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696" windowWidth="14880" windowHeight="7272"/>
  </bookViews>
  <sheets>
    <sheet name="INDEX" sheetId="59" r:id="rId1"/>
    <sheet name="Read Me" sheetId="135" r:id="rId2"/>
    <sheet name="Summary" sheetId="10" r:id="rId3"/>
    <sheet name="Asset Mgt Team" sheetId="134" r:id="rId4"/>
    <sheet name="Summary of PMs" sheetId="57" r:id="rId5"/>
    <sheet name="Chart Summary" sheetId="121" r:id="rId6"/>
    <sheet name="Modelling Assumptions" sheetId="14" r:id="rId7"/>
    <sheet name="0000 (1)" sheetId="74" r:id="rId8"/>
    <sheet name="0000 (2)" sheetId="120" r:id="rId9"/>
    <sheet name="0001" sheetId="75" r:id="rId10"/>
    <sheet name="0003" sheetId="83" r:id="rId11"/>
    <sheet name="0004" sheetId="84" r:id="rId12"/>
    <sheet name="0005" sheetId="85" r:id="rId13"/>
    <sheet name="0006" sheetId="86" r:id="rId14"/>
    <sheet name="0010 (1)" sheetId="69" r:id="rId15"/>
    <sheet name="0010 (2)" sheetId="70" r:id="rId16"/>
    <sheet name="0011" sheetId="71" r:id="rId17"/>
    <sheet name="0013" sheetId="72" r:id="rId18"/>
    <sheet name="0014" sheetId="46" r:id="rId19"/>
    <sheet name="0016" sheetId="45" r:id="rId20"/>
    <sheet name="0017" sheetId="73" r:id="rId21"/>
    <sheet name="0019" sheetId="82" r:id="rId22"/>
    <sheet name="0022" sheetId="42" r:id="rId23"/>
    <sheet name="0024" sheetId="41" r:id="rId24"/>
    <sheet name="0026" sheetId="40" r:id="rId25"/>
    <sheet name="0028" sheetId="39" r:id="rId26"/>
    <sheet name="0038 (1)" sheetId="38" r:id="rId27"/>
    <sheet name="0038 (2)" sheetId="108" r:id="rId28"/>
    <sheet name="0042" sheetId="64" r:id="rId29"/>
    <sheet name="0050 (1)" sheetId="87" r:id="rId30"/>
    <sheet name="0050 (2)" sheetId="126" r:id="rId31"/>
    <sheet name="0052" sheetId="88" r:id="rId32"/>
    <sheet name="0054" sheetId="89" r:id="rId33"/>
    <sheet name="0056" sheetId="90" r:id="rId34"/>
    <sheet name="0060" sheetId="91" r:id="rId35"/>
    <sheet name="0062" sheetId="92" r:id="rId36"/>
    <sheet name="0104 (1)" sheetId="65" r:id="rId37"/>
    <sheet name="0104 (2)" sheetId="101" r:id="rId38"/>
    <sheet name="0104 (3)" sheetId="119" r:id="rId39"/>
    <sheet name="0104 (4)" sheetId="107" r:id="rId40"/>
    <sheet name="0110" sheetId="66" r:id="rId41"/>
    <sheet name="0120" sheetId="67" r:id="rId42"/>
    <sheet name="0124" sheetId="93" r:id="rId43"/>
    <sheet name="0126" sheetId="109" r:id="rId44"/>
    <sheet name="0128" sheetId="94" r:id="rId45"/>
    <sheet name="0140" sheetId="76" r:id="rId46"/>
    <sheet name="0142" sheetId="77" r:id="rId47"/>
    <sheet name="0150" sheetId="78" r:id="rId48"/>
    <sheet name="0160 (1)" sheetId="79" r:id="rId49"/>
    <sheet name="0160 (2)" sheetId="96" r:id="rId50"/>
    <sheet name="0180" sheetId="97" r:id="rId51"/>
    <sheet name="Prestart Inspection" sheetId="102" r:id="rId52"/>
    <sheet name="Cable Repairs" sheetId="15" r:id="rId53"/>
    <sheet name="IGBT Repairs" sheetId="105" r:id="rId54"/>
    <sheet name="Control System Repairs" sheetId="99" r:id="rId55"/>
    <sheet name="Building ac" sheetId="103" r:id="rId56"/>
    <sheet name="Electricity Costs" sheetId="112" r:id="rId57"/>
    <sheet name="Control Room Costs" sheetId="113" r:id="rId58"/>
    <sheet name="Remote Comms" sheetId="117" r:id="rId59"/>
    <sheet name="DBYD" sheetId="98" r:id="rId60"/>
    <sheet name="Site Security" sheetId="118" r:id="rId61"/>
    <sheet name="Training Courses" sheetId="123" r:id="rId62"/>
    <sheet name="Onsite Test Equipment" sheetId="124" r:id="rId63"/>
    <sheet name="Incidental Investigations" sheetId="129" r:id="rId64"/>
    <sheet name="Travel" sheetId="130" r:id="rId65"/>
    <sheet name="Other Items" sheetId="81" r:id="rId66"/>
    <sheet name="Operations Manager" sheetId="122" r:id="rId67"/>
    <sheet name="Senior Reliability Engineer" sheetId="132" r:id="rId68"/>
    <sheet name="Reliability Engineer" sheetId="115" r:id="rId69"/>
    <sheet name="Works Planner" sheetId="133" r:id="rId70"/>
    <sheet name="Work Practices Specialist" sheetId="116" r:id="rId71"/>
    <sheet name="Blank" sheetId="104" r:id="rId72"/>
    <sheet name="DL PMs" sheetId="2" r:id="rId73"/>
    <sheet name="OnSite Contractors" sheetId="18" r:id="rId74"/>
    <sheet name="DL OPEX Budget" sheetId="128" r:id="rId75"/>
    <sheet name="Schematics" sheetId="20" r:id="rId76"/>
    <sheet name="Components in Schematic" sheetId="60" r:id="rId77"/>
    <sheet name="Grouped Components" sheetId="63" r:id="rId78"/>
    <sheet name="ABB Maintenance" sheetId="131" r:id="rId79"/>
    <sheet name="Byron Bay Trees" sheetId="110" r:id="rId80"/>
    <sheet name="Electricity Invoices" sheetId="125" r:id="rId81"/>
    <sheet name="Maintenance Documents" sheetId="127" r:id="rId82"/>
  </sheets>
  <definedNames>
    <definedName name="_xlnm._FilterDatabase" localSheetId="72" hidden="1">'DL PMs'!$A$1:$I$394</definedName>
    <definedName name="_xlnm._FilterDatabase" localSheetId="73" hidden="1">'OnSite Contractors'!$A$1:$AF$401</definedName>
    <definedName name="APASupervisorHours">'Modelling Assumptions'!$B$46</definedName>
    <definedName name="APATechnicianHours">'Modelling Assumptions'!$B$71</definedName>
    <definedName name="CapitaliseThisItem">'Modelling Assumptions'!$B$89</definedName>
    <definedName name="CostOfCablePerMetre">'Modelling Assumptions'!$B$93</definedName>
    <definedName name="CostPerCableJoint">'Modelling Assumptions'!$B$92</definedName>
    <definedName name="CostPerIGBT">'Modelling Assumptions'!$B$91</definedName>
    <definedName name="ElectricalContractorHourlyRate">'Modelling Assumptions'!$B$83</definedName>
    <definedName name="FullTimeHoursPerYear">'Modelling Assumptions'!$B$77</definedName>
    <definedName name="HCCPercentage">'Modelling Assumptions'!$B$30</definedName>
    <definedName name="HourlyRateAPAMaintenanceStaff">'Modelling Assumptions'!$B$14</definedName>
    <definedName name="HourlyRateAPAOMSupervisor">'Modelling Assumptions'!$B$15</definedName>
    <definedName name="HourlyRateAPAOperationsManager">'Modelling Assumptions'!$B$17</definedName>
    <definedName name="HourlyRateAPAReliabilityEng">'Modelling Assumptions'!$B$16</definedName>
    <definedName name="HourlyRateAPAWorkPracticesSpecialist">'Modelling Assumptions'!$B$20</definedName>
    <definedName name="HourlyRateAPAWorksPlanner">'Modelling Assumptions'!$B$19</definedName>
    <definedName name="HourlyRateSeniorReliabilityEng">'Modelling Assumptions'!$B$18</definedName>
    <definedName name="InflationContractorLabour">'Modelling Assumptions'!$B$38</definedName>
    <definedName name="InflationContractorMaterial">'Modelling Assumptions'!$B$39</definedName>
    <definedName name="LabourAdjustmentFactor">'Modelling Assumptions'!$E$101:$I$101</definedName>
    <definedName name="MaterialsAdjustmentFactor">'Modelling Assumptions'!$E$102:$I$102</definedName>
    <definedName name="MOMCSA_Multiplier">'Modelling Assumptions'!$B$105</definedName>
    <definedName name="TotalOPEXInAERPeriod">Summary!$I$10</definedName>
    <definedName name="VegetationManagement">'Modelling Assumptions'!$B$80</definedName>
    <definedName name="VegetationManagementCableRepairs" localSheetId="67">'Modelling Assumptions'!#REF!</definedName>
    <definedName name="VegetationManagementCableRepairs" localSheetId="69">'Modelling Assumptions'!#REF!</definedName>
    <definedName name="VegetationManagementCableRepairs">'Modelling Assumptions'!#REF!</definedName>
    <definedName name="VegetationManagementYardPercentage">'Modelling Assumptions'!$B$81</definedName>
  </definedNames>
  <calcPr calcId="145621"/>
</workbook>
</file>

<file path=xl/calcChain.xml><?xml version="1.0" encoding="utf-8"?>
<calcChain xmlns="http://schemas.openxmlformats.org/spreadsheetml/2006/main">
  <c r="B41" i="103" l="1"/>
  <c r="B1" i="135"/>
  <c r="A91" i="59" l="1"/>
  <c r="A90" i="59"/>
  <c r="A89" i="59"/>
  <c r="A88" i="59"/>
  <c r="A87" i="59"/>
  <c r="A86" i="59"/>
  <c r="A85" i="59"/>
  <c r="A84" i="59"/>
  <c r="A83" i="59"/>
  <c r="A82" i="59"/>
  <c r="A81" i="59"/>
  <c r="A80" i="59"/>
  <c r="A78" i="59"/>
  <c r="A77" i="59"/>
  <c r="C29" i="10"/>
  <c r="C30" i="10"/>
  <c r="C31" i="10"/>
  <c r="C32" i="10"/>
  <c r="C33" i="10"/>
  <c r="B27" i="122"/>
  <c r="B26" i="122"/>
  <c r="B1" i="122"/>
  <c r="B1" i="132"/>
  <c r="B1" i="115"/>
  <c r="B1" i="133"/>
  <c r="B1" i="116"/>
  <c r="B1" i="104"/>
  <c r="B1" i="128"/>
  <c r="B1" i="20"/>
  <c r="B1" i="60"/>
  <c r="B1" i="63"/>
  <c r="B1" i="131"/>
  <c r="B1" i="110"/>
  <c r="B1" i="125"/>
  <c r="B1" i="127"/>
  <c r="B1" i="10"/>
  <c r="B1" i="134"/>
  <c r="B1" i="57"/>
  <c r="B1" i="14"/>
  <c r="E161" i="112"/>
  <c r="B81" i="57"/>
  <c r="B77" i="57"/>
  <c r="B75" i="57"/>
  <c r="B72" i="57"/>
  <c r="B84" i="57"/>
  <c r="B80" i="57"/>
  <c r="B87" i="57"/>
  <c r="B85" i="57"/>
  <c r="B82" i="57"/>
  <c r="B78" i="57"/>
  <c r="B76" i="57"/>
  <c r="B83" i="57"/>
  <c r="B79" i="57"/>
  <c r="B86" i="57"/>
  <c r="B74" i="57"/>
  <c r="C91" i="59"/>
  <c r="C82" i="59"/>
  <c r="C75" i="59"/>
  <c r="C88" i="59"/>
  <c r="C78" i="59"/>
  <c r="C80" i="59"/>
  <c r="C76" i="59"/>
  <c r="C87" i="59"/>
  <c r="C90" i="59"/>
  <c r="C84" i="59"/>
  <c r="C83" i="59"/>
  <c r="C77" i="59"/>
  <c r="C81" i="59"/>
  <c r="C86" i="59"/>
  <c r="C85" i="59"/>
  <c r="B73" i="57"/>
  <c r="C80" i="57"/>
  <c r="C73" i="57"/>
  <c r="C82" i="57"/>
  <c r="C84" i="57"/>
  <c r="C79" i="57"/>
  <c r="C77" i="57"/>
  <c r="C72" i="57"/>
  <c r="C74" i="57"/>
  <c r="C83" i="57"/>
  <c r="C81" i="57"/>
  <c r="C76" i="57"/>
  <c r="C78" i="57"/>
  <c r="B46" i="14" l="1"/>
  <c r="B26" i="14"/>
  <c r="B70" i="70"/>
  <c r="A22" i="134"/>
  <c r="A23" i="134"/>
  <c r="A24" i="134"/>
  <c r="A21" i="134"/>
  <c r="A20" i="134"/>
  <c r="A19" i="134"/>
  <c r="B19" i="14"/>
  <c r="G106" i="10" l="1"/>
  <c r="D6" i="133"/>
  <c r="D5" i="133"/>
  <c r="D4" i="133"/>
  <c r="I2" i="133"/>
  <c r="H2" i="133"/>
  <c r="G2" i="133"/>
  <c r="F2" i="133"/>
  <c r="E2" i="133"/>
  <c r="B77" i="14"/>
  <c r="B16" i="14"/>
  <c r="B20" i="14"/>
  <c r="B51" i="10"/>
  <c r="B69" i="57"/>
  <c r="C73" i="59"/>
  <c r="C51" i="10"/>
  <c r="C69" i="57"/>
  <c r="B15" i="133" l="1"/>
  <c r="B14" i="116"/>
  <c r="B16" i="132"/>
  <c r="B47" i="115"/>
  <c r="B18" i="14"/>
  <c r="B33" i="76" l="1"/>
  <c r="B34" i="76" s="1"/>
  <c r="B54" i="76"/>
  <c r="B54" i="87"/>
  <c r="B55" i="87" s="1"/>
  <c r="B48" i="87"/>
  <c r="C31" i="39"/>
  <c r="B40" i="120"/>
  <c r="B27" i="109" l="1"/>
  <c r="B26" i="86"/>
  <c r="B26" i="91"/>
  <c r="B30" i="119"/>
  <c r="B31" i="119" s="1"/>
  <c r="B24" i="119"/>
  <c r="B27" i="84"/>
  <c r="B29" i="83"/>
  <c r="B43" i="67"/>
  <c r="B49" i="93"/>
  <c r="B29" i="93"/>
  <c r="B30" i="93" s="1"/>
  <c r="C16" i="40"/>
  <c r="B25" i="71"/>
  <c r="B33" i="79"/>
  <c r="B28" i="97"/>
  <c r="B27" i="97"/>
  <c r="B33" i="97"/>
  <c r="B28" i="78"/>
  <c r="B29" i="78" s="1"/>
  <c r="B34" i="96"/>
  <c r="B28" i="77"/>
  <c r="B138" i="112"/>
  <c r="B137" i="112"/>
  <c r="R107" i="112"/>
  <c r="R102" i="112"/>
  <c r="R84" i="112"/>
  <c r="R89" i="112"/>
  <c r="Q106" i="112"/>
  <c r="Q105" i="112"/>
  <c r="Q104" i="112"/>
  <c r="Q103" i="112"/>
  <c r="Q102" i="112"/>
  <c r="Q107" i="112" s="1"/>
  <c r="Q88" i="112"/>
  <c r="Q87" i="112"/>
  <c r="Q86" i="112"/>
  <c r="Q85" i="112"/>
  <c r="Q84" i="112"/>
  <c r="Q89" i="112" l="1"/>
  <c r="B26" i="87"/>
  <c r="B36" i="87"/>
  <c r="G105" i="10"/>
  <c r="B79" i="10"/>
  <c r="B105" i="10"/>
  <c r="B69" i="10"/>
  <c r="B61" i="10"/>
  <c r="B54" i="10"/>
  <c r="B86" i="10"/>
  <c r="B49" i="10"/>
  <c r="B56" i="10"/>
  <c r="B81" i="10"/>
  <c r="B99" i="10"/>
  <c r="B71" i="10"/>
  <c r="B55" i="10"/>
  <c r="B47" i="10"/>
  <c r="B77" i="10"/>
  <c r="B45" i="10"/>
  <c r="B60" i="10"/>
  <c r="B90" i="10"/>
  <c r="B106" i="10"/>
  <c r="B94" i="10"/>
  <c r="B96" i="10"/>
  <c r="B100" i="10"/>
  <c r="B58" i="10"/>
  <c r="B83" i="10"/>
  <c r="B87" i="10"/>
  <c r="B104" i="10"/>
  <c r="B70" i="10"/>
  <c r="B68" i="10"/>
  <c r="B59" i="10"/>
  <c r="B73" i="10"/>
  <c r="B44" i="10"/>
  <c r="B62" i="10"/>
  <c r="B98" i="10"/>
  <c r="B52" i="10"/>
  <c r="B78" i="10"/>
  <c r="B97" i="10"/>
  <c r="B102" i="10"/>
  <c r="B46" i="10"/>
  <c r="B95" i="10"/>
  <c r="B43" i="10"/>
  <c r="B93" i="10"/>
  <c r="B75" i="10"/>
  <c r="B101" i="10"/>
  <c r="B50" i="10"/>
  <c r="B74" i="10"/>
  <c r="B64" i="10"/>
  <c r="B72" i="10"/>
  <c r="B67" i="10"/>
  <c r="B76" i="10"/>
  <c r="B53" i="10"/>
  <c r="B80" i="10"/>
  <c r="B103" i="10"/>
  <c r="B57" i="10"/>
  <c r="B66" i="10"/>
  <c r="B84" i="10"/>
  <c r="B89" i="10"/>
  <c r="B63" i="10"/>
  <c r="B48" i="10"/>
  <c r="B88" i="10"/>
  <c r="B65" i="10"/>
  <c r="B82" i="10"/>
  <c r="B91" i="10"/>
  <c r="B85" i="10"/>
  <c r="B92" i="10"/>
  <c r="C72" i="59"/>
  <c r="C94" i="10"/>
  <c r="C59" i="10"/>
  <c r="C52" i="10"/>
  <c r="C48" i="10"/>
  <c r="C88" i="10"/>
  <c r="C65" i="10"/>
  <c r="C84" i="10"/>
  <c r="C85" i="10"/>
  <c r="C72" i="10"/>
  <c r="C71" i="10"/>
  <c r="C45" i="10"/>
  <c r="C100" i="10"/>
  <c r="C68" i="10"/>
  <c r="C78" i="10"/>
  <c r="C79" i="10"/>
  <c r="C101" i="10"/>
  <c r="C64" i="10"/>
  <c r="C46" i="10"/>
  <c r="C61" i="10"/>
  <c r="C93" i="10"/>
  <c r="C58" i="10"/>
  <c r="C92" i="10"/>
  <c r="C81" i="10"/>
  <c r="C75" i="10"/>
  <c r="C102" i="10"/>
  <c r="C74" i="10"/>
  <c r="C104" i="10"/>
  <c r="C98" i="10"/>
  <c r="C49" i="10"/>
  <c r="C53" i="10"/>
  <c r="C69" i="10"/>
  <c r="C96" i="10"/>
  <c r="C60" i="10"/>
  <c r="C56" i="10"/>
  <c r="C99" i="10"/>
  <c r="C91" i="10"/>
  <c r="C57" i="10"/>
  <c r="C44" i="10"/>
  <c r="C77" i="10"/>
  <c r="C105" i="10"/>
  <c r="C67" i="10"/>
  <c r="C95" i="10"/>
  <c r="C55" i="10"/>
  <c r="C90" i="10"/>
  <c r="C73" i="10"/>
  <c r="C70" i="10"/>
  <c r="C50" i="10"/>
  <c r="C87" i="10"/>
  <c r="C103" i="10"/>
  <c r="C54" i="10"/>
  <c r="C86" i="10"/>
  <c r="C76" i="10"/>
  <c r="C80" i="10"/>
  <c r="C63" i="10"/>
  <c r="C83" i="10"/>
  <c r="C82" i="10"/>
  <c r="C47" i="10"/>
  <c r="C66" i="10"/>
  <c r="C89" i="10"/>
  <c r="C97" i="10"/>
  <c r="C62" i="10"/>
  <c r="C43" i="10"/>
  <c r="C106" i="10"/>
  <c r="A73" i="59" l="1"/>
  <c r="A72" i="59"/>
  <c r="D4" i="132"/>
  <c r="B17" i="14"/>
  <c r="B15" i="14"/>
  <c r="B49" i="74" s="1"/>
  <c r="B14" i="14"/>
  <c r="B48" i="74" s="1"/>
  <c r="C48" i="74" s="1"/>
  <c r="D6" i="132"/>
  <c r="D5" i="132"/>
  <c r="I2" i="132"/>
  <c r="H2" i="132"/>
  <c r="G2" i="132"/>
  <c r="F2" i="132"/>
  <c r="E2" i="132"/>
  <c r="B66" i="57"/>
  <c r="G66" i="57"/>
  <c r="C66" i="57"/>
  <c r="H66" i="57"/>
  <c r="B21" i="98" l="1"/>
  <c r="B53" i="67"/>
  <c r="B37" i="84"/>
  <c r="B121" i="74"/>
  <c r="B102" i="15"/>
  <c r="B35" i="99"/>
  <c r="B50" i="126"/>
  <c r="B36" i="82"/>
  <c r="B37" i="72"/>
  <c r="B35" i="69"/>
  <c r="B101" i="74"/>
  <c r="B31" i="85"/>
  <c r="B60" i="66"/>
  <c r="B32" i="92"/>
  <c r="B33" i="90"/>
  <c r="B80" i="87"/>
  <c r="B35" i="73"/>
  <c r="B36" i="86"/>
  <c r="B36" i="75"/>
  <c r="B81" i="74"/>
  <c r="B80" i="70"/>
  <c r="B59" i="87"/>
  <c r="B55" i="120"/>
  <c r="B38" i="97"/>
  <c r="B37" i="102"/>
  <c r="B36" i="102"/>
  <c r="B35" i="102"/>
  <c r="B34" i="102"/>
  <c r="B149" i="112"/>
  <c r="E160" i="112"/>
  <c r="D160" i="112"/>
  <c r="B38" i="102" l="1"/>
  <c r="B20" i="122"/>
  <c r="B21" i="122"/>
  <c r="B80" i="14"/>
  <c r="D35" i="110"/>
  <c r="D36" i="110" s="1"/>
  <c r="D38" i="110" s="1"/>
  <c r="B97" i="15"/>
  <c r="B96" i="15"/>
  <c r="B104" i="15" l="1"/>
  <c r="B22" i="122"/>
  <c r="G18" i="10" l="1"/>
  <c r="F18" i="10"/>
  <c r="E18" i="10"/>
  <c r="D18" i="10"/>
  <c r="C18" i="10"/>
  <c r="B40" i="74" l="1"/>
  <c r="B65" i="74"/>
  <c r="B64" i="74"/>
  <c r="C46" i="83"/>
  <c r="B35" i="83"/>
  <c r="C34" i="120"/>
  <c r="B41" i="120" s="1"/>
  <c r="D38" i="118"/>
  <c r="B9" i="118" s="1"/>
  <c r="B29" i="113"/>
  <c r="B31" i="113" s="1"/>
  <c r="B22" i="113"/>
  <c r="B32" i="113" s="1"/>
  <c r="B21" i="113"/>
  <c r="B30" i="126"/>
  <c r="B39" i="126"/>
  <c r="B28" i="126"/>
  <c r="G104" i="10" l="1"/>
  <c r="D6" i="130"/>
  <c r="D4" i="130"/>
  <c r="I2" i="130"/>
  <c r="H2" i="130"/>
  <c r="G2" i="130"/>
  <c r="F2" i="130"/>
  <c r="E2" i="130"/>
  <c r="G103" i="10"/>
  <c r="C22" i="98"/>
  <c r="B22" i="98"/>
  <c r="D6" i="129"/>
  <c r="D4" i="129"/>
  <c r="I2" i="129"/>
  <c r="H2" i="129"/>
  <c r="G2" i="129"/>
  <c r="F2" i="129"/>
  <c r="E2" i="129"/>
  <c r="B67" i="57"/>
  <c r="B40" i="57"/>
  <c r="B20" i="57"/>
  <c r="B62" i="57"/>
  <c r="B44" i="57"/>
  <c r="B24" i="57"/>
  <c r="B64" i="57"/>
  <c r="B68" i="57"/>
  <c r="B28" i="57"/>
  <c r="B8" i="57"/>
  <c r="B51" i="57"/>
  <c r="B31" i="57"/>
  <c r="B11" i="57"/>
  <c r="B54" i="57"/>
  <c r="B34" i="57"/>
  <c r="B5" i="57"/>
  <c r="B65" i="57"/>
  <c r="B39" i="57"/>
  <c r="B19" i="57"/>
  <c r="B60" i="57"/>
  <c r="B43" i="57"/>
  <c r="B23" i="57"/>
  <c r="B63" i="57"/>
  <c r="B47" i="57"/>
  <c r="B27" i="57"/>
  <c r="B7" i="57"/>
  <c r="B50" i="57"/>
  <c r="B30" i="57"/>
  <c r="B10" i="57"/>
  <c r="B41" i="57"/>
  <c r="B21" i="57"/>
  <c r="B55" i="57"/>
  <c r="B15" i="57"/>
  <c r="B58" i="57"/>
  <c r="B38" i="57"/>
  <c r="B18" i="57"/>
  <c r="B59" i="57"/>
  <c r="B42" i="57"/>
  <c r="B22" i="57"/>
  <c r="B57" i="57"/>
  <c r="B46" i="57"/>
  <c r="B26" i="57"/>
  <c r="B6" i="57"/>
  <c r="B37" i="57"/>
  <c r="B17" i="57"/>
  <c r="B56" i="57"/>
  <c r="B36" i="57"/>
  <c r="B16" i="57"/>
  <c r="B14" i="57"/>
  <c r="B45" i="57"/>
  <c r="B25" i="57"/>
  <c r="B61" i="57"/>
  <c r="B53" i="57"/>
  <c r="B29" i="57"/>
  <c r="B9" i="57"/>
  <c r="B48" i="57"/>
  <c r="B33" i="57"/>
  <c r="B13" i="57"/>
  <c r="B52" i="57"/>
  <c r="B32" i="57"/>
  <c r="B12" i="57"/>
  <c r="B35" i="57"/>
  <c r="C23" i="59"/>
  <c r="C43" i="59"/>
  <c r="C24" i="59"/>
  <c r="C31" i="59"/>
  <c r="C28" i="59"/>
  <c r="C16" i="59"/>
  <c r="C22" i="59"/>
  <c r="C70" i="59"/>
  <c r="C30" i="59"/>
  <c r="C71" i="59"/>
  <c r="C58" i="59"/>
  <c r="C50" i="59"/>
  <c r="C65" i="59"/>
  <c r="C35" i="59"/>
  <c r="C21" i="59"/>
  <c r="C10" i="59"/>
  <c r="C25" i="59"/>
  <c r="C68" i="59"/>
  <c r="C34" i="59"/>
  <c r="C29" i="59"/>
  <c r="C57" i="59"/>
  <c r="C56" i="59"/>
  <c r="C48" i="59"/>
  <c r="C55" i="59"/>
  <c r="C51" i="59"/>
  <c r="C36" i="59"/>
  <c r="C60" i="59"/>
  <c r="C20" i="59"/>
  <c r="C32" i="59"/>
  <c r="C59" i="59"/>
  <c r="C39" i="59"/>
  <c r="C41" i="59"/>
  <c r="C19" i="59"/>
  <c r="C27" i="59"/>
  <c r="C54" i="59"/>
  <c r="C69" i="59"/>
  <c r="C37" i="59"/>
  <c r="C12" i="59"/>
  <c r="C67" i="59"/>
  <c r="C66" i="59"/>
  <c r="C26" i="59"/>
  <c r="C49" i="59"/>
  <c r="C53" i="59"/>
  <c r="C42" i="59"/>
  <c r="C13" i="59"/>
  <c r="C14" i="59"/>
  <c r="C47" i="59"/>
  <c r="C11" i="59"/>
  <c r="C33" i="59"/>
  <c r="C44" i="59"/>
  <c r="C63" i="59"/>
  <c r="C62" i="59"/>
  <c r="C45" i="59"/>
  <c r="C52" i="59"/>
  <c r="C61" i="59"/>
  <c r="C64" i="59"/>
  <c r="C40" i="59"/>
  <c r="C15" i="59"/>
  <c r="C38" i="59"/>
  <c r="C17" i="59"/>
  <c r="C46" i="59"/>
  <c r="C18" i="59"/>
  <c r="F63" i="57"/>
  <c r="H63" i="57"/>
  <c r="C63" i="57"/>
  <c r="H62" i="57"/>
  <c r="C62" i="57"/>
  <c r="F62" i="57"/>
  <c r="A71" i="59" l="1"/>
  <c r="C48" i="128"/>
  <c r="B48" i="128"/>
  <c r="N47" i="128"/>
  <c r="N46" i="128"/>
  <c r="T44" i="128"/>
  <c r="S44" i="128"/>
  <c r="S52" i="128" s="1"/>
  <c r="R44" i="128"/>
  <c r="Q44" i="128"/>
  <c r="P44" i="128"/>
  <c r="O44" i="128"/>
  <c r="M44" i="128"/>
  <c r="L44" i="128"/>
  <c r="K44" i="128"/>
  <c r="J44" i="128"/>
  <c r="I44" i="128"/>
  <c r="H44" i="128"/>
  <c r="G44" i="128"/>
  <c r="F44" i="128"/>
  <c r="E44" i="128"/>
  <c r="D44" i="128"/>
  <c r="B44" i="128"/>
  <c r="N42" i="128"/>
  <c r="N41" i="128"/>
  <c r="N40" i="128"/>
  <c r="N39" i="128"/>
  <c r="N38" i="128"/>
  <c r="N37" i="128"/>
  <c r="N36" i="128"/>
  <c r="N35" i="128"/>
  <c r="N34" i="128"/>
  <c r="N33" i="128"/>
  <c r="C32" i="128"/>
  <c r="C44" i="128" s="1"/>
  <c r="N31" i="128"/>
  <c r="N30" i="128"/>
  <c r="N29" i="128"/>
  <c r="N28" i="128"/>
  <c r="N27" i="128"/>
  <c r="N26" i="128"/>
  <c r="N25" i="128"/>
  <c r="N24" i="128"/>
  <c r="N23" i="128"/>
  <c r="N22" i="128"/>
  <c r="N21" i="128"/>
  <c r="N20" i="128"/>
  <c r="N19" i="128"/>
  <c r="N18" i="128"/>
  <c r="N17" i="128"/>
  <c r="T14" i="128"/>
  <c r="S14" i="128"/>
  <c r="R14" i="128"/>
  <c r="Q14" i="128"/>
  <c r="P14" i="128"/>
  <c r="O14" i="128"/>
  <c r="O50" i="128" s="1"/>
  <c r="M14" i="128"/>
  <c r="M50" i="128" s="1"/>
  <c r="L14" i="128"/>
  <c r="K14" i="128"/>
  <c r="K50" i="128" s="1"/>
  <c r="J14" i="128"/>
  <c r="J52" i="128" s="1"/>
  <c r="I14" i="128"/>
  <c r="I50" i="128" s="1"/>
  <c r="H14" i="128"/>
  <c r="G14" i="128"/>
  <c r="G50" i="128" s="1"/>
  <c r="F14" i="128"/>
  <c r="F50" i="128" s="1"/>
  <c r="E14" i="128"/>
  <c r="E50" i="128" s="1"/>
  <c r="D14" i="128"/>
  <c r="C14" i="128"/>
  <c r="C50" i="128" s="1"/>
  <c r="B14" i="128"/>
  <c r="N12" i="128"/>
  <c r="N11" i="128"/>
  <c r="N10" i="128"/>
  <c r="N9" i="128"/>
  <c r="R50" i="128" l="1"/>
  <c r="C52" i="128"/>
  <c r="B52" i="128"/>
  <c r="G52" i="128"/>
  <c r="K52" i="128"/>
  <c r="P52" i="128"/>
  <c r="T52" i="128"/>
  <c r="N48" i="128"/>
  <c r="S50" i="128"/>
  <c r="O52" i="128"/>
  <c r="N32" i="128"/>
  <c r="N44" i="128" s="1"/>
  <c r="N52" i="128" s="1"/>
  <c r="D52" i="128"/>
  <c r="H52" i="128"/>
  <c r="L52" i="128"/>
  <c r="Q50" i="128"/>
  <c r="Q52" i="128"/>
  <c r="A70" i="59"/>
  <c r="D50" i="128"/>
  <c r="L50" i="128"/>
  <c r="P50" i="128"/>
  <c r="E52" i="128"/>
  <c r="M52" i="128"/>
  <c r="F52" i="128"/>
  <c r="R52" i="128"/>
  <c r="B50" i="128"/>
  <c r="J50" i="128"/>
  <c r="H50" i="128"/>
  <c r="T50" i="128"/>
  <c r="I52" i="128"/>
  <c r="B105" i="14"/>
  <c r="N50" i="128" l="1"/>
  <c r="C17" i="42"/>
  <c r="C19" i="96"/>
  <c r="P106" i="112" l="1"/>
  <c r="O106" i="112"/>
  <c r="N106" i="112"/>
  <c r="M106" i="112"/>
  <c r="L106" i="112"/>
  <c r="K106" i="112"/>
  <c r="J106" i="112"/>
  <c r="I106" i="112"/>
  <c r="H106" i="112"/>
  <c r="G106" i="112"/>
  <c r="F106" i="112"/>
  <c r="P105" i="112"/>
  <c r="O105" i="112"/>
  <c r="N105" i="112"/>
  <c r="M105" i="112"/>
  <c r="L105" i="112"/>
  <c r="K105" i="112"/>
  <c r="J105" i="112"/>
  <c r="I105" i="112"/>
  <c r="H105" i="112"/>
  <c r="G105" i="112"/>
  <c r="F105" i="112"/>
  <c r="P104" i="112"/>
  <c r="O104" i="112"/>
  <c r="N104" i="112"/>
  <c r="M104" i="112"/>
  <c r="L104" i="112"/>
  <c r="K104" i="112"/>
  <c r="J104" i="112"/>
  <c r="I104" i="112"/>
  <c r="H104" i="112"/>
  <c r="G104" i="112"/>
  <c r="F104" i="112"/>
  <c r="P103" i="112"/>
  <c r="O103" i="112"/>
  <c r="N103" i="112"/>
  <c r="M103" i="112"/>
  <c r="L103" i="112"/>
  <c r="K103" i="112"/>
  <c r="J103" i="112"/>
  <c r="I103" i="112"/>
  <c r="H103" i="112"/>
  <c r="G103" i="112"/>
  <c r="F103" i="112"/>
  <c r="P102" i="112"/>
  <c r="O102" i="112"/>
  <c r="N102" i="112"/>
  <c r="M102" i="112"/>
  <c r="L102" i="112"/>
  <c r="K102" i="112"/>
  <c r="J102" i="112"/>
  <c r="I102" i="112"/>
  <c r="H102" i="112"/>
  <c r="G102" i="112"/>
  <c r="F102" i="112"/>
  <c r="E106" i="112"/>
  <c r="E105" i="112"/>
  <c r="E104" i="112"/>
  <c r="E103" i="112"/>
  <c r="P88" i="112"/>
  <c r="O88" i="112"/>
  <c r="N88" i="112"/>
  <c r="M88" i="112"/>
  <c r="L88" i="112"/>
  <c r="K88" i="112"/>
  <c r="J88" i="112"/>
  <c r="I88" i="112"/>
  <c r="H88" i="112"/>
  <c r="G88" i="112"/>
  <c r="F88" i="112"/>
  <c r="P87" i="112"/>
  <c r="O87" i="112"/>
  <c r="N87" i="112"/>
  <c r="M87" i="112"/>
  <c r="L87" i="112"/>
  <c r="K87" i="112"/>
  <c r="J87" i="112"/>
  <c r="I87" i="112"/>
  <c r="H87" i="112"/>
  <c r="G87" i="112"/>
  <c r="F87" i="112"/>
  <c r="P86" i="112"/>
  <c r="O86" i="112"/>
  <c r="N86" i="112"/>
  <c r="M86" i="112"/>
  <c r="L86" i="112"/>
  <c r="K86" i="112"/>
  <c r="J86" i="112"/>
  <c r="I86" i="112"/>
  <c r="H86" i="112"/>
  <c r="G86" i="112"/>
  <c r="F86" i="112"/>
  <c r="P85" i="112"/>
  <c r="O85" i="112"/>
  <c r="N85" i="112"/>
  <c r="M85" i="112"/>
  <c r="L85" i="112"/>
  <c r="K85" i="112"/>
  <c r="J85" i="112"/>
  <c r="I85" i="112"/>
  <c r="H85" i="112"/>
  <c r="G85" i="112"/>
  <c r="F85" i="112"/>
  <c r="P84" i="112"/>
  <c r="O84" i="112"/>
  <c r="N84" i="112"/>
  <c r="M84" i="112"/>
  <c r="L84" i="112"/>
  <c r="K84" i="112"/>
  <c r="J84" i="112"/>
  <c r="I84" i="112"/>
  <c r="H84" i="112"/>
  <c r="G84" i="112"/>
  <c r="F84" i="112"/>
  <c r="E88" i="112"/>
  <c r="E87" i="112"/>
  <c r="E86" i="112"/>
  <c r="E85" i="112"/>
  <c r="E84" i="112"/>
  <c r="E102" i="112"/>
  <c r="B166" i="112"/>
  <c r="I11" i="104"/>
  <c r="H11" i="104"/>
  <c r="G11" i="104"/>
  <c r="F11" i="104"/>
  <c r="E11" i="104"/>
  <c r="I2" i="81"/>
  <c r="H2" i="81"/>
  <c r="G2" i="81"/>
  <c r="F2" i="81"/>
  <c r="E2" i="81"/>
  <c r="I2" i="124"/>
  <c r="H2" i="124"/>
  <c r="G2" i="124"/>
  <c r="F2" i="124"/>
  <c r="E2" i="124"/>
  <c r="I2" i="123"/>
  <c r="H2" i="123"/>
  <c r="G2" i="123"/>
  <c r="F2" i="123"/>
  <c r="E2" i="123"/>
  <c r="I2" i="118"/>
  <c r="H2" i="118"/>
  <c r="G2" i="118"/>
  <c r="F2" i="118"/>
  <c r="E2" i="118"/>
  <c r="I2" i="116"/>
  <c r="H2" i="116"/>
  <c r="G2" i="116"/>
  <c r="F2" i="116"/>
  <c r="E2" i="116"/>
  <c r="I2" i="115"/>
  <c r="H2" i="115"/>
  <c r="G2" i="115"/>
  <c r="F2" i="115"/>
  <c r="E2" i="115"/>
  <c r="I2" i="122"/>
  <c r="F7" i="134" s="1"/>
  <c r="H2" i="122"/>
  <c r="E7" i="134" s="1"/>
  <c r="G2" i="122"/>
  <c r="D7" i="134" s="1"/>
  <c r="F2" i="122"/>
  <c r="C7" i="134" s="1"/>
  <c r="E2" i="122"/>
  <c r="B7" i="134" s="1"/>
  <c r="I20" i="98"/>
  <c r="H20" i="98"/>
  <c r="G20" i="98"/>
  <c r="F20" i="98"/>
  <c r="E20" i="98"/>
  <c r="I2" i="98"/>
  <c r="H2" i="98"/>
  <c r="G2" i="98"/>
  <c r="F2" i="98"/>
  <c r="E2" i="98"/>
  <c r="I2" i="117"/>
  <c r="H2" i="117"/>
  <c r="G2" i="117"/>
  <c r="F2" i="117"/>
  <c r="E2" i="117"/>
  <c r="I2" i="113"/>
  <c r="H2" i="113"/>
  <c r="G2" i="113"/>
  <c r="F2" i="113"/>
  <c r="E2" i="113"/>
  <c r="I152" i="112"/>
  <c r="H152" i="112"/>
  <c r="G152" i="112"/>
  <c r="F152" i="112"/>
  <c r="E152" i="112"/>
  <c r="I2" i="112"/>
  <c r="H2" i="112"/>
  <c r="G2" i="112"/>
  <c r="F2" i="112"/>
  <c r="E2" i="112"/>
  <c r="I52" i="103"/>
  <c r="H52" i="103"/>
  <c r="G52" i="103"/>
  <c r="F52" i="103"/>
  <c r="E52" i="103"/>
  <c r="I2" i="103"/>
  <c r="H2" i="103"/>
  <c r="G2" i="103"/>
  <c r="F2" i="103"/>
  <c r="E2" i="103"/>
  <c r="I34" i="99"/>
  <c r="H34" i="99"/>
  <c r="G34" i="99"/>
  <c r="F34" i="99"/>
  <c r="E34" i="99"/>
  <c r="I2" i="99"/>
  <c r="H2" i="99"/>
  <c r="G2" i="99"/>
  <c r="F2" i="99"/>
  <c r="E2" i="99"/>
  <c r="I55" i="105"/>
  <c r="H55" i="105"/>
  <c r="G55" i="105"/>
  <c r="F55" i="105"/>
  <c r="E55" i="105"/>
  <c r="I2" i="105"/>
  <c r="H2" i="105"/>
  <c r="G2" i="105"/>
  <c r="F2" i="105"/>
  <c r="E2" i="105"/>
  <c r="I101" i="15"/>
  <c r="H101" i="15"/>
  <c r="G101" i="15"/>
  <c r="F101" i="15"/>
  <c r="E101" i="15"/>
  <c r="I2" i="15"/>
  <c r="H2" i="15"/>
  <c r="G2" i="15"/>
  <c r="F2" i="15"/>
  <c r="E2" i="15"/>
  <c r="I41" i="102"/>
  <c r="H41" i="102"/>
  <c r="G41" i="102"/>
  <c r="F41" i="102"/>
  <c r="E41" i="102"/>
  <c r="I2" i="102"/>
  <c r="H2" i="102"/>
  <c r="G2" i="102"/>
  <c r="F2" i="102"/>
  <c r="E2" i="102"/>
  <c r="I37" i="97"/>
  <c r="H37" i="97"/>
  <c r="G37" i="97"/>
  <c r="F37" i="97"/>
  <c r="E37" i="97"/>
  <c r="I24" i="97"/>
  <c r="H24" i="97"/>
  <c r="G24" i="97"/>
  <c r="F24" i="97"/>
  <c r="E24" i="97"/>
  <c r="I2" i="97"/>
  <c r="H2" i="97"/>
  <c r="G2" i="97"/>
  <c r="F2" i="97"/>
  <c r="E2" i="97"/>
  <c r="I38" i="96"/>
  <c r="H38" i="96"/>
  <c r="G38" i="96"/>
  <c r="F38" i="96"/>
  <c r="E38" i="96"/>
  <c r="I25" i="96"/>
  <c r="H25" i="96"/>
  <c r="G25" i="96"/>
  <c r="F25" i="96"/>
  <c r="E25" i="96"/>
  <c r="I2" i="96"/>
  <c r="H2" i="96"/>
  <c r="G2" i="96"/>
  <c r="F2" i="96"/>
  <c r="E2" i="96"/>
  <c r="I37" i="79"/>
  <c r="H37" i="79"/>
  <c r="G37" i="79"/>
  <c r="F37" i="79"/>
  <c r="E37" i="79"/>
  <c r="I24" i="79"/>
  <c r="H24" i="79"/>
  <c r="G24" i="79"/>
  <c r="F24" i="79"/>
  <c r="E24" i="79"/>
  <c r="I2" i="79"/>
  <c r="H2" i="79"/>
  <c r="G2" i="79"/>
  <c r="F2" i="79"/>
  <c r="E2" i="79"/>
  <c r="I32" i="78"/>
  <c r="H32" i="78"/>
  <c r="G32" i="78"/>
  <c r="F32" i="78"/>
  <c r="E32" i="78"/>
  <c r="I19" i="78"/>
  <c r="H19" i="78"/>
  <c r="G19" i="78"/>
  <c r="F19" i="78"/>
  <c r="E19" i="78"/>
  <c r="I2" i="78"/>
  <c r="H2" i="78"/>
  <c r="G2" i="78"/>
  <c r="F2" i="78"/>
  <c r="E2" i="78"/>
  <c r="I32" i="77"/>
  <c r="H32" i="77"/>
  <c r="G32" i="77"/>
  <c r="F32" i="77"/>
  <c r="E32" i="77"/>
  <c r="I19" i="77"/>
  <c r="H19" i="77"/>
  <c r="G19" i="77"/>
  <c r="F19" i="77"/>
  <c r="E19" i="77"/>
  <c r="I2" i="77"/>
  <c r="H2" i="77"/>
  <c r="G2" i="77"/>
  <c r="F2" i="77"/>
  <c r="E2" i="77"/>
  <c r="I77" i="76"/>
  <c r="H77" i="76"/>
  <c r="G77" i="76"/>
  <c r="F77" i="76"/>
  <c r="E77" i="76"/>
  <c r="I64" i="76"/>
  <c r="H64" i="76"/>
  <c r="G64" i="76"/>
  <c r="F64" i="76"/>
  <c r="E64" i="76"/>
  <c r="I57" i="76"/>
  <c r="H57" i="76"/>
  <c r="G57" i="76"/>
  <c r="F57" i="76"/>
  <c r="E57" i="76"/>
  <c r="I44" i="76"/>
  <c r="H44" i="76"/>
  <c r="G44" i="76"/>
  <c r="F44" i="76"/>
  <c r="E44" i="76"/>
  <c r="I37" i="76"/>
  <c r="H37" i="76"/>
  <c r="G37" i="76"/>
  <c r="F37" i="76"/>
  <c r="E37" i="76"/>
  <c r="I24" i="76"/>
  <c r="H24" i="76"/>
  <c r="G24" i="76"/>
  <c r="F24" i="76"/>
  <c r="E24" i="76"/>
  <c r="I2" i="76"/>
  <c r="H2" i="76"/>
  <c r="G2" i="76"/>
  <c r="F2" i="76"/>
  <c r="E2" i="76"/>
  <c r="I33" i="94"/>
  <c r="H33" i="94"/>
  <c r="G33" i="94"/>
  <c r="F33" i="94"/>
  <c r="E33" i="94"/>
  <c r="I20" i="94"/>
  <c r="H20" i="94"/>
  <c r="G20" i="94"/>
  <c r="F20" i="94"/>
  <c r="E20" i="94"/>
  <c r="I2" i="94"/>
  <c r="H2" i="94"/>
  <c r="G2" i="94"/>
  <c r="F2" i="94"/>
  <c r="E2" i="94"/>
  <c r="I36" i="109"/>
  <c r="H36" i="109"/>
  <c r="G36" i="109"/>
  <c r="F36" i="109"/>
  <c r="E36" i="109"/>
  <c r="I23" i="109"/>
  <c r="H23" i="109"/>
  <c r="G23" i="109"/>
  <c r="F23" i="109"/>
  <c r="E23" i="109"/>
  <c r="I2" i="109"/>
  <c r="H2" i="109"/>
  <c r="G2" i="109"/>
  <c r="F2" i="109"/>
  <c r="E2" i="109"/>
  <c r="I53" i="93"/>
  <c r="H53" i="93"/>
  <c r="G53" i="93"/>
  <c r="F53" i="93"/>
  <c r="E53" i="93"/>
  <c r="I40" i="93"/>
  <c r="H40" i="93"/>
  <c r="G40" i="93"/>
  <c r="F40" i="93"/>
  <c r="E40" i="93"/>
  <c r="I33" i="93"/>
  <c r="H33" i="93"/>
  <c r="G33" i="93"/>
  <c r="F33" i="93"/>
  <c r="E33" i="93"/>
  <c r="I20" i="93"/>
  <c r="H20" i="93"/>
  <c r="G20" i="93"/>
  <c r="F20" i="93"/>
  <c r="E20" i="93"/>
  <c r="I2" i="93"/>
  <c r="H2" i="93"/>
  <c r="G2" i="93"/>
  <c r="F2" i="93"/>
  <c r="E2" i="93"/>
  <c r="I52" i="67"/>
  <c r="H52" i="67"/>
  <c r="G52" i="67"/>
  <c r="F52" i="67"/>
  <c r="E52" i="67"/>
  <c r="I39" i="67"/>
  <c r="H39" i="67"/>
  <c r="G39" i="67"/>
  <c r="F39" i="67"/>
  <c r="E39" i="67"/>
  <c r="I32" i="67"/>
  <c r="H32" i="67"/>
  <c r="G32" i="67"/>
  <c r="F32" i="67"/>
  <c r="E32" i="67"/>
  <c r="I19" i="67"/>
  <c r="H19" i="67"/>
  <c r="G19" i="67"/>
  <c r="F19" i="67"/>
  <c r="E19" i="67"/>
  <c r="I2" i="67"/>
  <c r="H2" i="67"/>
  <c r="G2" i="67"/>
  <c r="F2" i="67"/>
  <c r="E2" i="67"/>
  <c r="I59" i="66"/>
  <c r="H59" i="66"/>
  <c r="G59" i="66"/>
  <c r="F59" i="66"/>
  <c r="E59" i="66"/>
  <c r="I40" i="66"/>
  <c r="H40" i="66"/>
  <c r="G40" i="66"/>
  <c r="F40" i="66"/>
  <c r="E40" i="66"/>
  <c r="I25" i="66"/>
  <c r="H25" i="66"/>
  <c r="G25" i="66"/>
  <c r="F25" i="66"/>
  <c r="E25" i="66"/>
  <c r="I2" i="66"/>
  <c r="H2" i="66"/>
  <c r="G2" i="66"/>
  <c r="F2" i="66"/>
  <c r="E2" i="66"/>
  <c r="I31" i="107"/>
  <c r="H31" i="107"/>
  <c r="G31" i="107"/>
  <c r="F31" i="107"/>
  <c r="E31" i="107"/>
  <c r="I18" i="107"/>
  <c r="H18" i="107"/>
  <c r="G18" i="107"/>
  <c r="F18" i="107"/>
  <c r="E18" i="107"/>
  <c r="I2" i="107"/>
  <c r="H2" i="107"/>
  <c r="G2" i="107"/>
  <c r="F2" i="107"/>
  <c r="E2" i="107"/>
  <c r="I54" i="119"/>
  <c r="H54" i="119"/>
  <c r="G54" i="119"/>
  <c r="F54" i="119"/>
  <c r="E54" i="119"/>
  <c r="I41" i="119"/>
  <c r="H41" i="119"/>
  <c r="G41" i="119"/>
  <c r="F41" i="119"/>
  <c r="E41" i="119"/>
  <c r="I34" i="119"/>
  <c r="H34" i="119"/>
  <c r="G34" i="119"/>
  <c r="F34" i="119"/>
  <c r="E34" i="119"/>
  <c r="I21" i="119"/>
  <c r="H21" i="119"/>
  <c r="G21" i="119"/>
  <c r="F21" i="119"/>
  <c r="E21" i="119"/>
  <c r="I2" i="119"/>
  <c r="H2" i="119"/>
  <c r="G2" i="119"/>
  <c r="F2" i="119"/>
  <c r="E2" i="119"/>
  <c r="I37" i="101"/>
  <c r="H37" i="101"/>
  <c r="G37" i="101"/>
  <c r="F37" i="101"/>
  <c r="E37" i="101"/>
  <c r="I24" i="101"/>
  <c r="H24" i="101"/>
  <c r="G24" i="101"/>
  <c r="F24" i="101"/>
  <c r="E24" i="101"/>
  <c r="I2" i="101"/>
  <c r="H2" i="101"/>
  <c r="G2" i="101"/>
  <c r="F2" i="101"/>
  <c r="E2" i="101"/>
  <c r="I60" i="65"/>
  <c r="H60" i="65"/>
  <c r="G60" i="65"/>
  <c r="F60" i="65"/>
  <c r="E60" i="65"/>
  <c r="I47" i="65"/>
  <c r="H47" i="65"/>
  <c r="G47" i="65"/>
  <c r="F47" i="65"/>
  <c r="E47" i="65"/>
  <c r="I40" i="65"/>
  <c r="H40" i="65"/>
  <c r="G40" i="65"/>
  <c r="F40" i="65"/>
  <c r="E40" i="65"/>
  <c r="I27" i="65"/>
  <c r="H27" i="65"/>
  <c r="G27" i="65"/>
  <c r="F27" i="65"/>
  <c r="E27" i="65"/>
  <c r="I2" i="65"/>
  <c r="H2" i="65"/>
  <c r="G2" i="65"/>
  <c r="F2" i="65"/>
  <c r="E2" i="65"/>
  <c r="I31" i="92"/>
  <c r="H31" i="92"/>
  <c r="G31" i="92"/>
  <c r="F31" i="92"/>
  <c r="E31" i="92"/>
  <c r="I18" i="92"/>
  <c r="H18" i="92"/>
  <c r="G18" i="92"/>
  <c r="F18" i="92"/>
  <c r="E18" i="92"/>
  <c r="I2" i="92"/>
  <c r="H2" i="92"/>
  <c r="G2" i="92"/>
  <c r="F2" i="92"/>
  <c r="E2" i="92"/>
  <c r="I36" i="91"/>
  <c r="H36" i="91"/>
  <c r="G36" i="91"/>
  <c r="F36" i="91"/>
  <c r="E36" i="91"/>
  <c r="I23" i="91"/>
  <c r="H23" i="91"/>
  <c r="G23" i="91"/>
  <c r="F23" i="91"/>
  <c r="E23" i="91"/>
  <c r="I2" i="91"/>
  <c r="H2" i="91"/>
  <c r="G2" i="91"/>
  <c r="F2" i="91"/>
  <c r="E2" i="91"/>
  <c r="I71" i="90"/>
  <c r="H71" i="90"/>
  <c r="G71" i="90"/>
  <c r="F71" i="90"/>
  <c r="E71" i="90"/>
  <c r="I58" i="90"/>
  <c r="H58" i="90"/>
  <c r="G58" i="90"/>
  <c r="F58" i="90"/>
  <c r="E58" i="90"/>
  <c r="I38" i="90"/>
  <c r="H38" i="90"/>
  <c r="G38" i="90"/>
  <c r="F38" i="90"/>
  <c r="E38" i="90"/>
  <c r="I51" i="90"/>
  <c r="H51" i="90"/>
  <c r="G51" i="90"/>
  <c r="F51" i="90"/>
  <c r="E51" i="90"/>
  <c r="I32" i="90"/>
  <c r="H32" i="90"/>
  <c r="G32" i="90"/>
  <c r="F32" i="90"/>
  <c r="E32" i="90"/>
  <c r="I19" i="90"/>
  <c r="H19" i="90"/>
  <c r="G19" i="90"/>
  <c r="F19" i="90"/>
  <c r="E19" i="90"/>
  <c r="I2" i="90"/>
  <c r="H2" i="90"/>
  <c r="G2" i="90"/>
  <c r="F2" i="90"/>
  <c r="E2" i="90"/>
  <c r="I33" i="89"/>
  <c r="H33" i="89"/>
  <c r="G33" i="89"/>
  <c r="F33" i="89"/>
  <c r="E33" i="89"/>
  <c r="I20" i="89"/>
  <c r="H20" i="89"/>
  <c r="G20" i="89"/>
  <c r="F20" i="89"/>
  <c r="E20" i="89"/>
  <c r="I2" i="89"/>
  <c r="H2" i="89"/>
  <c r="G2" i="89"/>
  <c r="F2" i="89"/>
  <c r="E2" i="89"/>
  <c r="I34" i="88"/>
  <c r="H34" i="88"/>
  <c r="G34" i="88"/>
  <c r="F34" i="88"/>
  <c r="E34" i="88"/>
  <c r="I21" i="88"/>
  <c r="H21" i="88"/>
  <c r="G21" i="88"/>
  <c r="F21" i="88"/>
  <c r="E21" i="88"/>
  <c r="I2" i="88"/>
  <c r="H2" i="88"/>
  <c r="G2" i="88"/>
  <c r="F2" i="88"/>
  <c r="E2" i="88"/>
  <c r="I49" i="126"/>
  <c r="H49" i="126"/>
  <c r="G49" i="126"/>
  <c r="F49" i="126"/>
  <c r="E49" i="126"/>
  <c r="I25" i="126"/>
  <c r="H25" i="126"/>
  <c r="G25" i="126"/>
  <c r="F25" i="126"/>
  <c r="E25" i="126"/>
  <c r="I2" i="126"/>
  <c r="H2" i="126"/>
  <c r="G2" i="126"/>
  <c r="F2" i="126"/>
  <c r="E2" i="126"/>
  <c r="I79" i="87"/>
  <c r="H79" i="87"/>
  <c r="G79" i="87"/>
  <c r="F79" i="87"/>
  <c r="E79" i="87"/>
  <c r="I65" i="87"/>
  <c r="H65" i="87"/>
  <c r="G65" i="87"/>
  <c r="F65" i="87"/>
  <c r="E65" i="87"/>
  <c r="I58" i="87"/>
  <c r="H58" i="87"/>
  <c r="G58" i="87"/>
  <c r="F58" i="87"/>
  <c r="E58" i="87"/>
  <c r="I45" i="87"/>
  <c r="H45" i="87"/>
  <c r="G45" i="87"/>
  <c r="F45" i="87"/>
  <c r="E45" i="87"/>
  <c r="I38" i="87"/>
  <c r="H38" i="87"/>
  <c r="G38" i="87"/>
  <c r="F38" i="87"/>
  <c r="E38" i="87"/>
  <c r="I21" i="87"/>
  <c r="H21" i="87"/>
  <c r="G21" i="87"/>
  <c r="F21" i="87"/>
  <c r="E21" i="87"/>
  <c r="I2" i="87"/>
  <c r="H2" i="87"/>
  <c r="G2" i="87"/>
  <c r="F2" i="87"/>
  <c r="E2" i="87"/>
  <c r="I35" i="64"/>
  <c r="H35" i="64"/>
  <c r="G35" i="64"/>
  <c r="F35" i="64"/>
  <c r="E35" i="64"/>
  <c r="I22" i="64"/>
  <c r="H22" i="64"/>
  <c r="G22" i="64"/>
  <c r="F22" i="64"/>
  <c r="E22" i="64"/>
  <c r="I2" i="64"/>
  <c r="H2" i="64"/>
  <c r="G2" i="64"/>
  <c r="F2" i="64"/>
  <c r="E2" i="64"/>
  <c r="I32" i="108"/>
  <c r="H32" i="108"/>
  <c r="G32" i="108"/>
  <c r="F32" i="108"/>
  <c r="E32" i="108"/>
  <c r="I19" i="108"/>
  <c r="H19" i="108"/>
  <c r="G19" i="108"/>
  <c r="F19" i="108"/>
  <c r="E19" i="108"/>
  <c r="I2" i="108"/>
  <c r="H2" i="108"/>
  <c r="G2" i="108"/>
  <c r="F2" i="108"/>
  <c r="E2" i="108"/>
  <c r="I41" i="38"/>
  <c r="H41" i="38"/>
  <c r="G41" i="38"/>
  <c r="F41" i="38"/>
  <c r="E41" i="38"/>
  <c r="I28" i="38"/>
  <c r="H28" i="38"/>
  <c r="G28" i="38"/>
  <c r="F28" i="38"/>
  <c r="E28" i="38"/>
  <c r="I2" i="38"/>
  <c r="H2" i="38"/>
  <c r="G2" i="38"/>
  <c r="F2" i="38"/>
  <c r="E2" i="38"/>
  <c r="I34" i="39"/>
  <c r="H34" i="39"/>
  <c r="G34" i="39"/>
  <c r="F34" i="39"/>
  <c r="E34" i="39"/>
  <c r="I21" i="39"/>
  <c r="H21" i="39"/>
  <c r="G21" i="39"/>
  <c r="F21" i="39"/>
  <c r="E21" i="39"/>
  <c r="I2" i="39"/>
  <c r="H2" i="39"/>
  <c r="G2" i="39"/>
  <c r="F2" i="39"/>
  <c r="E2" i="39"/>
  <c r="I34" i="40"/>
  <c r="H34" i="40"/>
  <c r="G34" i="40"/>
  <c r="F34" i="40"/>
  <c r="E34" i="40"/>
  <c r="I21" i="40"/>
  <c r="H21" i="40"/>
  <c r="G21" i="40"/>
  <c r="F21" i="40"/>
  <c r="E21" i="40"/>
  <c r="I2" i="40"/>
  <c r="H2" i="40"/>
  <c r="G2" i="40"/>
  <c r="F2" i="40"/>
  <c r="E2" i="40"/>
  <c r="I35" i="41"/>
  <c r="H35" i="41"/>
  <c r="G35" i="41"/>
  <c r="F35" i="41"/>
  <c r="E35" i="41"/>
  <c r="I22" i="41"/>
  <c r="H22" i="41"/>
  <c r="G22" i="41"/>
  <c r="F22" i="41"/>
  <c r="E22" i="41"/>
  <c r="I2" i="41"/>
  <c r="H2" i="41"/>
  <c r="G2" i="41"/>
  <c r="F2" i="41"/>
  <c r="E2" i="41"/>
  <c r="I54" i="42"/>
  <c r="H54" i="42"/>
  <c r="G54" i="42"/>
  <c r="F54" i="42"/>
  <c r="E54" i="42"/>
  <c r="I41" i="42"/>
  <c r="H41" i="42"/>
  <c r="G41" i="42"/>
  <c r="F41" i="42"/>
  <c r="E41" i="42"/>
  <c r="I34" i="42"/>
  <c r="H34" i="42"/>
  <c r="G34" i="42"/>
  <c r="F34" i="42"/>
  <c r="E34" i="42"/>
  <c r="I21" i="42"/>
  <c r="H21" i="42"/>
  <c r="G21" i="42"/>
  <c r="F21" i="42"/>
  <c r="E21" i="42"/>
  <c r="I2" i="42"/>
  <c r="H2" i="42"/>
  <c r="G2" i="42"/>
  <c r="F2" i="42"/>
  <c r="E2" i="42"/>
  <c r="I35" i="82"/>
  <c r="H35" i="82"/>
  <c r="G35" i="82"/>
  <c r="F35" i="82"/>
  <c r="E35" i="82"/>
  <c r="I22" i="82"/>
  <c r="H22" i="82"/>
  <c r="G22" i="82"/>
  <c r="F22" i="82"/>
  <c r="E22" i="82"/>
  <c r="I2" i="82"/>
  <c r="H2" i="82"/>
  <c r="G2" i="82"/>
  <c r="F2" i="82"/>
  <c r="E2" i="82"/>
  <c r="I34" i="73"/>
  <c r="H34" i="73"/>
  <c r="G34" i="73"/>
  <c r="F34" i="73"/>
  <c r="E34" i="73"/>
  <c r="I21" i="73"/>
  <c r="H21" i="73"/>
  <c r="G21" i="73"/>
  <c r="F21" i="73"/>
  <c r="E21" i="73"/>
  <c r="I2" i="73"/>
  <c r="H2" i="73"/>
  <c r="G2" i="73"/>
  <c r="F2" i="73"/>
  <c r="E2" i="73"/>
  <c r="I35" i="45"/>
  <c r="H35" i="45"/>
  <c r="G35" i="45"/>
  <c r="F35" i="45"/>
  <c r="E35" i="45"/>
  <c r="I22" i="45"/>
  <c r="H22" i="45"/>
  <c r="G22" i="45"/>
  <c r="F22" i="45"/>
  <c r="E22" i="45"/>
  <c r="I2" i="45"/>
  <c r="H2" i="45"/>
  <c r="G2" i="45"/>
  <c r="F2" i="45"/>
  <c r="E2" i="45"/>
  <c r="I35" i="46"/>
  <c r="H35" i="46"/>
  <c r="G35" i="46"/>
  <c r="F35" i="46"/>
  <c r="E35" i="46"/>
  <c r="I22" i="46"/>
  <c r="H22" i="46"/>
  <c r="G22" i="46"/>
  <c r="F22" i="46"/>
  <c r="E22" i="46"/>
  <c r="I2" i="46"/>
  <c r="H2" i="46"/>
  <c r="G2" i="46"/>
  <c r="F2" i="46"/>
  <c r="E2" i="46"/>
  <c r="I36" i="72"/>
  <c r="H36" i="72"/>
  <c r="G36" i="72"/>
  <c r="F36" i="72"/>
  <c r="E36" i="72"/>
  <c r="I23" i="72"/>
  <c r="H23" i="72"/>
  <c r="G23" i="72"/>
  <c r="F23" i="72"/>
  <c r="E23" i="72"/>
  <c r="I2" i="72"/>
  <c r="H2" i="72"/>
  <c r="G2" i="72"/>
  <c r="F2" i="72"/>
  <c r="E2" i="72"/>
  <c r="I34" i="71"/>
  <c r="H34" i="71"/>
  <c r="G34" i="71"/>
  <c r="F34" i="71"/>
  <c r="E34" i="71"/>
  <c r="I21" i="71"/>
  <c r="H21" i="71"/>
  <c r="G21" i="71"/>
  <c r="F21" i="71"/>
  <c r="E21" i="71"/>
  <c r="I2" i="71"/>
  <c r="H2" i="71"/>
  <c r="G2" i="71"/>
  <c r="F2" i="71"/>
  <c r="E2" i="71"/>
  <c r="I79" i="70"/>
  <c r="H79" i="70"/>
  <c r="G79" i="70"/>
  <c r="F79" i="70"/>
  <c r="E79" i="70"/>
  <c r="I66" i="70"/>
  <c r="H66" i="70"/>
  <c r="G66" i="70"/>
  <c r="F66" i="70"/>
  <c r="E66" i="70"/>
  <c r="I47" i="70"/>
  <c r="H47" i="70"/>
  <c r="G47" i="70"/>
  <c r="F47" i="70"/>
  <c r="E47" i="70"/>
  <c r="I34" i="70"/>
  <c r="H34" i="70"/>
  <c r="G34" i="70"/>
  <c r="F34" i="70"/>
  <c r="E34" i="70"/>
  <c r="I2" i="70"/>
  <c r="H2" i="70"/>
  <c r="G2" i="70"/>
  <c r="F2" i="70"/>
  <c r="E2" i="70"/>
  <c r="I34" i="69"/>
  <c r="H34" i="69"/>
  <c r="G34" i="69"/>
  <c r="F34" i="69"/>
  <c r="I21" i="69"/>
  <c r="H21" i="69"/>
  <c r="G21" i="69"/>
  <c r="F21" i="69"/>
  <c r="I2" i="69"/>
  <c r="H2" i="69"/>
  <c r="G2" i="69"/>
  <c r="F2" i="69"/>
  <c r="E34" i="69"/>
  <c r="E21" i="69"/>
  <c r="E2" i="69"/>
  <c r="I35" i="86"/>
  <c r="H35" i="86"/>
  <c r="G35" i="86"/>
  <c r="F35" i="86"/>
  <c r="I22" i="86"/>
  <c r="H22" i="86"/>
  <c r="G22" i="86"/>
  <c r="F22" i="86"/>
  <c r="I2" i="86"/>
  <c r="H2" i="86"/>
  <c r="G2" i="86"/>
  <c r="F2" i="86"/>
  <c r="E35" i="86"/>
  <c r="E22" i="86"/>
  <c r="E2" i="86"/>
  <c r="I30" i="85"/>
  <c r="H30" i="85"/>
  <c r="G30" i="85"/>
  <c r="F30" i="85"/>
  <c r="I17" i="85"/>
  <c r="H17" i="85"/>
  <c r="G17" i="85"/>
  <c r="F17" i="85"/>
  <c r="I2" i="85"/>
  <c r="H2" i="85"/>
  <c r="G2" i="85"/>
  <c r="F2" i="85"/>
  <c r="E30" i="85"/>
  <c r="E17" i="85"/>
  <c r="E2" i="85"/>
  <c r="I36" i="84"/>
  <c r="H36" i="84"/>
  <c r="G36" i="84"/>
  <c r="F36" i="84"/>
  <c r="I23" i="84"/>
  <c r="H23" i="84"/>
  <c r="G23" i="84"/>
  <c r="F23" i="84"/>
  <c r="I2" i="84"/>
  <c r="H2" i="84"/>
  <c r="G2" i="84"/>
  <c r="F2" i="84"/>
  <c r="E36" i="84"/>
  <c r="E23" i="84"/>
  <c r="E2" i="84"/>
  <c r="I43" i="83"/>
  <c r="H43" i="83"/>
  <c r="G43" i="83"/>
  <c r="F43" i="83"/>
  <c r="I25" i="83"/>
  <c r="H25" i="83"/>
  <c r="G25" i="83"/>
  <c r="F25" i="83"/>
  <c r="I2" i="83"/>
  <c r="H2" i="83"/>
  <c r="G2" i="83"/>
  <c r="F2" i="83"/>
  <c r="E43" i="83"/>
  <c r="E25" i="83"/>
  <c r="E2" i="83"/>
  <c r="I35" i="75"/>
  <c r="H35" i="75"/>
  <c r="G35" i="75"/>
  <c r="F35" i="75"/>
  <c r="I22" i="75"/>
  <c r="H22" i="75"/>
  <c r="G22" i="75"/>
  <c r="F22" i="75"/>
  <c r="I2" i="75"/>
  <c r="H2" i="75"/>
  <c r="G2" i="75"/>
  <c r="F2" i="75"/>
  <c r="E35" i="75"/>
  <c r="E22" i="75"/>
  <c r="E2" i="75"/>
  <c r="I54" i="120"/>
  <c r="H54" i="120"/>
  <c r="G54" i="120"/>
  <c r="F54" i="120"/>
  <c r="E54" i="120"/>
  <c r="I37" i="120"/>
  <c r="H37" i="120"/>
  <c r="G37" i="120"/>
  <c r="F37" i="120"/>
  <c r="E37" i="120"/>
  <c r="I2" i="120"/>
  <c r="H2" i="120"/>
  <c r="G2" i="120"/>
  <c r="F2" i="120"/>
  <c r="E2" i="120"/>
  <c r="I120" i="74"/>
  <c r="H120" i="74"/>
  <c r="G120" i="74"/>
  <c r="F120" i="74"/>
  <c r="E120" i="74"/>
  <c r="I107" i="74"/>
  <c r="H107" i="74"/>
  <c r="G107" i="74"/>
  <c r="F107" i="74"/>
  <c r="E107" i="74"/>
  <c r="I100" i="74"/>
  <c r="H100" i="74"/>
  <c r="G100" i="74"/>
  <c r="F100" i="74"/>
  <c r="E100" i="74"/>
  <c r="I87" i="74"/>
  <c r="H87" i="74"/>
  <c r="G87" i="74"/>
  <c r="F87" i="74"/>
  <c r="E87" i="74"/>
  <c r="I80" i="74"/>
  <c r="H80" i="74"/>
  <c r="G80" i="74"/>
  <c r="F80" i="74"/>
  <c r="E80" i="74"/>
  <c r="E47" i="74"/>
  <c r="I67" i="74"/>
  <c r="H67" i="74"/>
  <c r="G67" i="74"/>
  <c r="F67" i="74"/>
  <c r="E67" i="74"/>
  <c r="I47" i="74"/>
  <c r="H47" i="74"/>
  <c r="G47" i="74"/>
  <c r="F47" i="74"/>
  <c r="I21" i="74"/>
  <c r="H21" i="74"/>
  <c r="G21" i="74"/>
  <c r="F21" i="74"/>
  <c r="E21" i="74"/>
  <c r="E99" i="14"/>
  <c r="F99" i="14"/>
  <c r="G99" i="14"/>
  <c r="H99" i="14"/>
  <c r="I99" i="14"/>
  <c r="D8" i="14"/>
  <c r="D18" i="134" l="1"/>
  <c r="E18" i="134"/>
  <c r="C18" i="134"/>
  <c r="B18" i="134"/>
  <c r="F18" i="134"/>
  <c r="H89" i="112"/>
  <c r="L89" i="112"/>
  <c r="P89" i="112"/>
  <c r="I89" i="112"/>
  <c r="M89" i="112"/>
  <c r="F107" i="112"/>
  <c r="J107" i="112"/>
  <c r="N107" i="112"/>
  <c r="F89" i="112"/>
  <c r="J89" i="112"/>
  <c r="N89" i="112"/>
  <c r="G89" i="112"/>
  <c r="K89" i="112"/>
  <c r="O89" i="112"/>
  <c r="G107" i="112"/>
  <c r="K107" i="112"/>
  <c r="O107" i="112"/>
  <c r="H107" i="112"/>
  <c r="L107" i="112"/>
  <c r="P107" i="112"/>
  <c r="I107" i="112"/>
  <c r="M107" i="112"/>
  <c r="E107" i="112"/>
  <c r="E89" i="112"/>
  <c r="E2" i="74" l="1"/>
  <c r="F2" i="74"/>
  <c r="G2" i="74"/>
  <c r="H2" i="74"/>
  <c r="I2" i="74"/>
  <c r="B150" i="112" l="1"/>
  <c r="P67" i="125"/>
  <c r="O67" i="125"/>
  <c r="N67" i="125"/>
  <c r="M67" i="125"/>
  <c r="L67" i="125"/>
  <c r="K67" i="125"/>
  <c r="P66" i="125"/>
  <c r="O66" i="125"/>
  <c r="N66" i="125"/>
  <c r="M66" i="125"/>
  <c r="L66" i="125"/>
  <c r="K66" i="125"/>
  <c r="P65" i="125"/>
  <c r="O65" i="125"/>
  <c r="N65" i="125"/>
  <c r="M65" i="125"/>
  <c r="L65" i="125"/>
  <c r="K65" i="125"/>
  <c r="P64" i="125"/>
  <c r="O64" i="125"/>
  <c r="O68" i="125" s="1"/>
  <c r="N64" i="125"/>
  <c r="M64" i="125"/>
  <c r="L64" i="125"/>
  <c r="K64" i="125"/>
  <c r="K68" i="125" s="1"/>
  <c r="P63" i="125"/>
  <c r="O63" i="125"/>
  <c r="N63" i="125"/>
  <c r="M63" i="125"/>
  <c r="M68" i="125" s="1"/>
  <c r="L63" i="125"/>
  <c r="K63" i="125"/>
  <c r="J67" i="125"/>
  <c r="J66" i="125"/>
  <c r="J65" i="125"/>
  <c r="J64" i="125"/>
  <c r="J63" i="125"/>
  <c r="I65" i="125"/>
  <c r="H65" i="125"/>
  <c r="G65" i="125"/>
  <c r="F65" i="125"/>
  <c r="I64" i="125"/>
  <c r="H64" i="125"/>
  <c r="G64" i="125"/>
  <c r="F64" i="125"/>
  <c r="E65" i="125"/>
  <c r="E64" i="125"/>
  <c r="I160" i="112" l="1"/>
  <c r="H160" i="112"/>
  <c r="G160" i="112"/>
  <c r="F160" i="112"/>
  <c r="J68" i="125"/>
  <c r="L68" i="125"/>
  <c r="P68" i="125"/>
  <c r="N68" i="125"/>
  <c r="E47" i="125"/>
  <c r="P47" i="125"/>
  <c r="O47" i="125"/>
  <c r="N47" i="125"/>
  <c r="M47" i="125"/>
  <c r="L47" i="125"/>
  <c r="K47" i="125"/>
  <c r="J47" i="125"/>
  <c r="I47" i="125"/>
  <c r="H47" i="125"/>
  <c r="G47" i="125"/>
  <c r="F47" i="125"/>
  <c r="P46" i="125"/>
  <c r="O46" i="125"/>
  <c r="N46" i="125"/>
  <c r="M46" i="125"/>
  <c r="L46" i="125"/>
  <c r="K46" i="125"/>
  <c r="J46" i="125"/>
  <c r="I46" i="125"/>
  <c r="H46" i="125"/>
  <c r="G46" i="125"/>
  <c r="F46" i="125"/>
  <c r="E46" i="125"/>
  <c r="B42" i="70" l="1"/>
  <c r="B57" i="70"/>
  <c r="B65" i="70"/>
  <c r="B39" i="70" s="1"/>
  <c r="C20" i="76" l="1"/>
  <c r="G102" i="10" l="1"/>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A65" i="59" l="1"/>
  <c r="A35" i="59"/>
  <c r="A53" i="59"/>
  <c r="A67" i="59"/>
  <c r="A43" i="59"/>
  <c r="A51" i="59"/>
  <c r="A49" i="59"/>
  <c r="A44" i="59"/>
  <c r="A27" i="59"/>
  <c r="A33" i="59"/>
  <c r="A32" i="59"/>
  <c r="A20" i="59"/>
  <c r="A63" i="59"/>
  <c r="A31" i="59"/>
  <c r="A57" i="59"/>
  <c r="A22" i="59"/>
  <c r="A39" i="59"/>
  <c r="A21" i="59"/>
  <c r="A50" i="59"/>
  <c r="A17" i="59"/>
  <c r="A69" i="59"/>
  <c r="A42" i="59"/>
  <c r="A41" i="59"/>
  <c r="A56" i="59"/>
  <c r="A62" i="59"/>
  <c r="A24" i="59"/>
  <c r="A54" i="59"/>
  <c r="A60" i="59"/>
  <c r="A26" i="59"/>
  <c r="A23" i="59"/>
  <c r="A29" i="59"/>
  <c r="A59" i="59"/>
  <c r="A64" i="59"/>
  <c r="A34" i="59"/>
  <c r="A25" i="59"/>
  <c r="A38" i="59"/>
  <c r="A19" i="59"/>
  <c r="A14" i="59"/>
  <c r="A36" i="59"/>
  <c r="A37" i="59"/>
  <c r="A11" i="59"/>
  <c r="A30" i="59"/>
  <c r="A68" i="59"/>
  <c r="A18" i="59"/>
  <c r="A66" i="59"/>
  <c r="A58" i="59"/>
  <c r="A40" i="59"/>
  <c r="A45" i="59"/>
  <c r="A52" i="59"/>
  <c r="A46" i="59"/>
  <c r="A12" i="59"/>
  <c r="A61" i="59"/>
  <c r="A13" i="59"/>
  <c r="A55" i="59"/>
  <c r="A15" i="59"/>
  <c r="A47" i="59"/>
  <c r="A16" i="59"/>
  <c r="A48" i="59"/>
  <c r="A28" i="59"/>
  <c r="A10" i="59"/>
  <c r="B51" i="126"/>
  <c r="B53" i="126"/>
  <c r="C15" i="126"/>
  <c r="B29" i="126" s="1"/>
  <c r="B19" i="102"/>
  <c r="I67" i="125"/>
  <c r="H67" i="125"/>
  <c r="G67" i="125"/>
  <c r="F67" i="125"/>
  <c r="I66" i="125"/>
  <c r="H66" i="125"/>
  <c r="G66" i="125"/>
  <c r="F66" i="125"/>
  <c r="I63" i="125"/>
  <c r="H63" i="125"/>
  <c r="H68" i="125" s="1"/>
  <c r="G63" i="125"/>
  <c r="F63" i="125"/>
  <c r="E67" i="125"/>
  <c r="E66" i="125"/>
  <c r="E63" i="125"/>
  <c r="P49" i="125"/>
  <c r="O49" i="125"/>
  <c r="N49" i="125"/>
  <c r="M49" i="125"/>
  <c r="L49" i="125"/>
  <c r="K49" i="125"/>
  <c r="J49" i="125"/>
  <c r="I49" i="125"/>
  <c r="H49" i="125"/>
  <c r="G49" i="125"/>
  <c r="F49" i="125"/>
  <c r="P48" i="125"/>
  <c r="O48" i="125"/>
  <c r="N48" i="125"/>
  <c r="M48" i="125"/>
  <c r="L48" i="125"/>
  <c r="K48" i="125"/>
  <c r="J48" i="125"/>
  <c r="I48" i="125"/>
  <c r="H48" i="125"/>
  <c r="G48" i="125"/>
  <c r="F48" i="125"/>
  <c r="P45" i="125"/>
  <c r="O45" i="125"/>
  <c r="N45" i="125"/>
  <c r="M45" i="125"/>
  <c r="L45" i="125"/>
  <c r="K45" i="125"/>
  <c r="J45" i="125"/>
  <c r="I45" i="125"/>
  <c r="H45" i="125"/>
  <c r="G45" i="125"/>
  <c r="F45" i="125"/>
  <c r="E49" i="125"/>
  <c r="E48" i="125"/>
  <c r="E45" i="125"/>
  <c r="C28" i="57"/>
  <c r="I68" i="125" l="1"/>
  <c r="E50" i="125"/>
  <c r="F68" i="125"/>
  <c r="K50" i="125"/>
  <c r="O50" i="125"/>
  <c r="L50" i="125"/>
  <c r="I50" i="125"/>
  <c r="G68" i="125"/>
  <c r="M50" i="125"/>
  <c r="G50" i="125"/>
  <c r="H50" i="125"/>
  <c r="P50" i="125"/>
  <c r="C53" i="126"/>
  <c r="B52" i="126"/>
  <c r="C52" i="126" s="1"/>
  <c r="C50" i="126"/>
  <c r="C51" i="126"/>
  <c r="F50" i="125"/>
  <c r="J50" i="125"/>
  <c r="N50" i="125"/>
  <c r="E68" i="125"/>
  <c r="P165" i="125"/>
  <c r="O165" i="125"/>
  <c r="N165" i="125"/>
  <c r="M165" i="125"/>
  <c r="L165" i="125"/>
  <c r="K165" i="125"/>
  <c r="J165" i="125"/>
  <c r="I165" i="125"/>
  <c r="H165" i="125"/>
  <c r="G165" i="125"/>
  <c r="F165" i="125"/>
  <c r="E165" i="125"/>
  <c r="D117" i="125"/>
  <c r="D146" i="125"/>
  <c r="P114" i="125"/>
  <c r="P113" i="125"/>
  <c r="P111" i="125"/>
  <c r="P122" i="125" s="1"/>
  <c r="P121" i="125"/>
  <c r="P150" i="125"/>
  <c r="P143" i="125"/>
  <c r="P167" i="125" s="1"/>
  <c r="P142" i="125"/>
  <c r="P140" i="125"/>
  <c r="P151" i="125" s="1"/>
  <c r="O121" i="125"/>
  <c r="O111" i="125"/>
  <c r="O114" i="125"/>
  <c r="O113" i="125"/>
  <c r="O150" i="125"/>
  <c r="O143" i="125"/>
  <c r="O142" i="125"/>
  <c r="O140" i="125"/>
  <c r="O151" i="125" s="1"/>
  <c r="N121" i="125"/>
  <c r="N114" i="125"/>
  <c r="N113" i="125"/>
  <c r="N111" i="125"/>
  <c r="N150" i="125"/>
  <c r="N143" i="125"/>
  <c r="N142" i="125"/>
  <c r="N140" i="125"/>
  <c r="N151" i="125" s="1"/>
  <c r="M150" i="125"/>
  <c r="M143" i="125"/>
  <c r="M142" i="125"/>
  <c r="M140" i="125"/>
  <c r="M121" i="125"/>
  <c r="M114" i="125"/>
  <c r="M113" i="125"/>
  <c r="M111" i="125"/>
  <c r="M122" i="125" s="1"/>
  <c r="L121" i="125"/>
  <c r="L111" i="125"/>
  <c r="L114" i="125"/>
  <c r="L113" i="125"/>
  <c r="L150" i="125"/>
  <c r="L143" i="125"/>
  <c r="L167" i="125" s="1"/>
  <c r="L142" i="125"/>
  <c r="L140" i="125"/>
  <c r="L151" i="125" s="1"/>
  <c r="K121" i="125"/>
  <c r="K114" i="125"/>
  <c r="K113" i="125"/>
  <c r="K111" i="125"/>
  <c r="K122" i="125" s="1"/>
  <c r="K150" i="125"/>
  <c r="K143" i="125"/>
  <c r="K167" i="125" s="1"/>
  <c r="K142" i="125"/>
  <c r="K140" i="125"/>
  <c r="K151" i="125" s="1"/>
  <c r="J111" i="125"/>
  <c r="J122" i="125" s="1"/>
  <c r="J121" i="125"/>
  <c r="J114" i="125"/>
  <c r="J166" i="125" s="1"/>
  <c r="J113" i="125"/>
  <c r="I113" i="125"/>
  <c r="H113" i="125"/>
  <c r="G113" i="125"/>
  <c r="F113" i="125"/>
  <c r="E113" i="125"/>
  <c r="J142" i="125"/>
  <c r="I142" i="125"/>
  <c r="H142" i="125"/>
  <c r="G142" i="125"/>
  <c r="F142" i="125"/>
  <c r="E142" i="125"/>
  <c r="J150" i="125"/>
  <c r="J143" i="125"/>
  <c r="J140" i="125"/>
  <c r="J151" i="125" s="1"/>
  <c r="I150" i="125"/>
  <c r="I143" i="125"/>
  <c r="I140" i="125"/>
  <c r="I151" i="125" s="1"/>
  <c r="I121" i="125"/>
  <c r="I114" i="125"/>
  <c r="I111" i="125"/>
  <c r="I122" i="125" s="1"/>
  <c r="H150" i="125"/>
  <c r="H143" i="125"/>
  <c r="H167" i="125" s="1"/>
  <c r="H140" i="125"/>
  <c r="H151" i="125" s="1"/>
  <c r="H121" i="125"/>
  <c r="H114" i="125"/>
  <c r="H166" i="125" s="1"/>
  <c r="H111" i="125"/>
  <c r="H122" i="125" s="1"/>
  <c r="G150" i="125"/>
  <c r="G143" i="125"/>
  <c r="G167" i="125" s="1"/>
  <c r="G140" i="125"/>
  <c r="G151" i="125" s="1"/>
  <c r="F150" i="125"/>
  <c r="F143" i="125"/>
  <c r="F140" i="125"/>
  <c r="F151" i="125" s="1"/>
  <c r="E150" i="125"/>
  <c r="E143" i="125"/>
  <c r="E140" i="125"/>
  <c r="E151" i="125" s="1"/>
  <c r="G121" i="125"/>
  <c r="G114" i="125"/>
  <c r="G111" i="125"/>
  <c r="G122" i="125" s="1"/>
  <c r="F121" i="125"/>
  <c r="E121" i="125"/>
  <c r="F114" i="125"/>
  <c r="F166" i="125" s="1"/>
  <c r="F111" i="125"/>
  <c r="F122" i="125" s="1"/>
  <c r="E111" i="125"/>
  <c r="E122" i="125" s="1"/>
  <c r="E114" i="125"/>
  <c r="K152" i="125" l="1"/>
  <c r="K154" i="125" s="1"/>
  <c r="L152" i="125"/>
  <c r="L154" i="125" s="1"/>
  <c r="L123" i="125"/>
  <c r="P152" i="125"/>
  <c r="P154" i="125" s="1"/>
  <c r="E123" i="125"/>
  <c r="E152" i="125"/>
  <c r="E154" i="125" s="1"/>
  <c r="M152" i="125"/>
  <c r="N123" i="125"/>
  <c r="O155" i="125"/>
  <c r="O126" i="125"/>
  <c r="G123" i="125"/>
  <c r="G125" i="125" s="1"/>
  <c r="P123" i="125"/>
  <c r="P125" i="125" s="1"/>
  <c r="J123" i="125"/>
  <c r="J125" i="125" s="1"/>
  <c r="M155" i="125"/>
  <c r="N126" i="125"/>
  <c r="O122" i="125"/>
  <c r="F155" i="125"/>
  <c r="L166" i="125"/>
  <c r="P166" i="125"/>
  <c r="I167" i="125"/>
  <c r="M167" i="125"/>
  <c r="F123" i="125"/>
  <c r="F125" i="125" s="1"/>
  <c r="H123" i="125"/>
  <c r="H125" i="125" s="1"/>
  <c r="J155" i="125"/>
  <c r="E126" i="125"/>
  <c r="I123" i="125"/>
  <c r="I125" i="125" s="1"/>
  <c r="K155" i="125"/>
  <c r="K123" i="125"/>
  <c r="K125" i="125" s="1"/>
  <c r="L126" i="125"/>
  <c r="M126" i="125"/>
  <c r="N155" i="125"/>
  <c r="O152" i="125"/>
  <c r="O154" i="125" s="1"/>
  <c r="O123" i="125"/>
  <c r="I166" i="125"/>
  <c r="M166" i="125"/>
  <c r="F167" i="125"/>
  <c r="J167" i="125"/>
  <c r="N167" i="125"/>
  <c r="E166" i="125"/>
  <c r="N166" i="125"/>
  <c r="O167" i="125"/>
  <c r="L122" i="125"/>
  <c r="J126" i="125"/>
  <c r="E167" i="125"/>
  <c r="G166" i="125"/>
  <c r="K166" i="125"/>
  <c r="O166" i="125"/>
  <c r="M123" i="125"/>
  <c r="M125" i="125" s="1"/>
  <c r="I126" i="125"/>
  <c r="M151" i="125"/>
  <c r="N122" i="125"/>
  <c r="F126" i="125"/>
  <c r="G155" i="125"/>
  <c r="G126" i="125"/>
  <c r="K126" i="125"/>
  <c r="H155" i="125"/>
  <c r="L155" i="125"/>
  <c r="P155" i="125"/>
  <c r="N152" i="125"/>
  <c r="N154" i="125" s="1"/>
  <c r="H126" i="125"/>
  <c r="P126" i="125"/>
  <c r="E155" i="125"/>
  <c r="I155" i="125"/>
  <c r="J152" i="125"/>
  <c r="J154" i="125" s="1"/>
  <c r="G152" i="125"/>
  <c r="G154" i="125" s="1"/>
  <c r="F152" i="125"/>
  <c r="F154" i="125" s="1"/>
  <c r="H152" i="125"/>
  <c r="H154" i="125" s="1"/>
  <c r="I152" i="125"/>
  <c r="I154" i="125" s="1"/>
  <c r="D6" i="124"/>
  <c r="D4" i="124"/>
  <c r="D6" i="123"/>
  <c r="H60" i="57"/>
  <c r="F61" i="57"/>
  <c r="C60" i="57"/>
  <c r="C61" i="57"/>
  <c r="H61" i="57"/>
  <c r="O125" i="125" l="1"/>
  <c r="E125" i="125"/>
  <c r="L125" i="125"/>
  <c r="M154" i="125"/>
  <c r="N125" i="125"/>
  <c r="C159" i="125"/>
  <c r="C160" i="125"/>
  <c r="B80" i="15"/>
  <c r="B79" i="15"/>
  <c r="B66" i="105"/>
  <c r="B62" i="70"/>
  <c r="D4" i="122"/>
  <c r="D6" i="122"/>
  <c r="D5" i="122"/>
  <c r="F65" i="57"/>
  <c r="G65" i="57"/>
  <c r="C65" i="57"/>
  <c r="H65" i="57"/>
  <c r="B83" i="15" l="1"/>
  <c r="B41" i="90"/>
  <c r="B46" i="90"/>
  <c r="B40" i="103" l="1"/>
  <c r="B21" i="103"/>
  <c r="B175" i="112"/>
  <c r="B53" i="103" l="1"/>
  <c r="B30" i="88"/>
  <c r="B70" i="87"/>
  <c r="B49" i="87"/>
  <c r="B30" i="87"/>
  <c r="B29" i="87"/>
  <c r="B51" i="120"/>
  <c r="B48" i="120" s="1"/>
  <c r="B57" i="120" s="1"/>
  <c r="B58" i="120"/>
  <c r="B56" i="120"/>
  <c r="B22" i="77"/>
  <c r="B45" i="98"/>
  <c r="B39" i="98"/>
  <c r="C6" i="57"/>
  <c r="B31" i="87" l="1"/>
  <c r="C57" i="120"/>
  <c r="C56" i="120"/>
  <c r="C58" i="120"/>
  <c r="B58" i="70"/>
  <c r="B24" i="39"/>
  <c r="B26" i="39"/>
  <c r="B43" i="39"/>
  <c r="D102" i="76"/>
  <c r="B107" i="76"/>
  <c r="B106" i="76"/>
  <c r="B102" i="76"/>
  <c r="C102" i="76"/>
  <c r="C55" i="120" l="1"/>
  <c r="E99" i="76"/>
  <c r="B45" i="119"/>
  <c r="B44" i="119"/>
  <c r="B58" i="119"/>
  <c r="B50" i="119"/>
  <c r="B51" i="119" s="1"/>
  <c r="B57" i="119" s="1"/>
  <c r="B46" i="119"/>
  <c r="B56" i="119" s="1"/>
  <c r="B38" i="119"/>
  <c r="C14" i="119"/>
  <c r="B25" i="119" s="1"/>
  <c r="B35" i="119" s="1"/>
  <c r="C37" i="57"/>
  <c r="B55" i="119" l="1"/>
  <c r="C55" i="119" s="1"/>
  <c r="C56" i="119"/>
  <c r="B37" i="119"/>
  <c r="C37" i="119" s="1"/>
  <c r="C38" i="119"/>
  <c r="C58" i="119"/>
  <c r="C35" i="119"/>
  <c r="C57" i="119"/>
  <c r="B36" i="119"/>
  <c r="C36" i="119" s="1"/>
  <c r="B13" i="15"/>
  <c r="B8" i="15" l="1"/>
  <c r="B18" i="102" s="1"/>
  <c r="B22" i="102" s="1"/>
  <c r="D6" i="118" l="1"/>
  <c r="D5" i="118"/>
  <c r="D6" i="117"/>
  <c r="D5" i="117"/>
  <c r="H59" i="57"/>
  <c r="G59" i="57"/>
  <c r="C57" i="57"/>
  <c r="H57" i="57"/>
  <c r="G57" i="57"/>
  <c r="C59" i="57"/>
  <c r="B63" i="66" l="1"/>
  <c r="B23" i="90"/>
  <c r="A18" i="39"/>
  <c r="A19" i="73"/>
  <c r="A19" i="69"/>
  <c r="B46" i="105" l="1"/>
  <c r="B45" i="105"/>
  <c r="B35" i="105"/>
  <c r="B24" i="105" s="1"/>
  <c r="B56" i="105" l="1"/>
  <c r="C56" i="105" s="1"/>
  <c r="B60" i="99"/>
  <c r="B47" i="90"/>
  <c r="B48" i="90" s="1"/>
  <c r="B54" i="90" s="1"/>
  <c r="B55" i="90"/>
  <c r="B22" i="90"/>
  <c r="B36" i="90"/>
  <c r="B35" i="90"/>
  <c r="D6" i="116"/>
  <c r="D5" i="116"/>
  <c r="B64" i="101"/>
  <c r="B65" i="101" s="1"/>
  <c r="D6" i="115"/>
  <c r="D5" i="115"/>
  <c r="C250" i="112"/>
  <c r="C251" i="112"/>
  <c r="C252" i="112"/>
  <c r="C253" i="112"/>
  <c r="C254" i="112"/>
  <c r="C255" i="112"/>
  <c r="C256" i="112"/>
  <c r="C257" i="112"/>
  <c r="C258" i="112"/>
  <c r="C259" i="112"/>
  <c r="C260" i="112"/>
  <c r="C261" i="112"/>
  <c r="C262" i="112"/>
  <c r="C263" i="112"/>
  <c r="C264" i="112"/>
  <c r="C265" i="112"/>
  <c r="C266" i="112"/>
  <c r="C267" i="112"/>
  <c r="C268" i="112"/>
  <c r="C269" i="112"/>
  <c r="C51" i="57"/>
  <c r="H68" i="57"/>
  <c r="C54" i="57"/>
  <c r="H69" i="57"/>
  <c r="G67" i="57"/>
  <c r="C55" i="57"/>
  <c r="C50" i="57"/>
  <c r="C68" i="57"/>
  <c r="C53" i="57"/>
  <c r="C56" i="57"/>
  <c r="C67" i="57"/>
  <c r="G69" i="57"/>
  <c r="C58" i="57"/>
  <c r="H67" i="57"/>
  <c r="B167" i="112" l="1"/>
  <c r="B168" i="112" s="1"/>
  <c r="B174" i="112" s="1"/>
  <c r="B176" i="112" s="1"/>
  <c r="B23" i="77"/>
  <c r="B33" i="77" s="1"/>
  <c r="B24" i="94"/>
  <c r="B23" i="94"/>
  <c r="B34" i="94" s="1"/>
  <c r="B23" i="67"/>
  <c r="B22" i="67"/>
  <c r="B22" i="107"/>
  <c r="B21" i="107"/>
  <c r="B27" i="91"/>
  <c r="B37" i="91" s="1"/>
  <c r="B26" i="64"/>
  <c r="B25" i="64"/>
  <c r="B23" i="108"/>
  <c r="B22" i="108"/>
  <c r="B26" i="41"/>
  <c r="B25" i="41"/>
  <c r="B26" i="82"/>
  <c r="B9" i="113"/>
  <c r="D6" i="113"/>
  <c r="D5" i="113"/>
  <c r="B26" i="109"/>
  <c r="B37" i="109" s="1"/>
  <c r="D6" i="112"/>
  <c r="D5" i="112"/>
  <c r="C64" i="57"/>
  <c r="H55" i="57"/>
  <c r="C52" i="57"/>
  <c r="G55" i="57"/>
  <c r="G68" i="57"/>
  <c r="B36" i="41" l="1"/>
  <c r="B36" i="64"/>
  <c r="B33" i="67"/>
  <c r="B32" i="107"/>
  <c r="B33" i="108"/>
  <c r="B139" i="112"/>
  <c r="B28" i="67"/>
  <c r="B55" i="66"/>
  <c r="B36" i="66"/>
  <c r="B27" i="107"/>
  <c r="B56" i="65"/>
  <c r="B36" i="65"/>
  <c r="B67" i="90"/>
  <c r="B34" i="90" s="1"/>
  <c r="B31" i="64"/>
  <c r="B28" i="108"/>
  <c r="B75" i="70"/>
  <c r="B37" i="38"/>
  <c r="B30" i="40"/>
  <c r="B31" i="41"/>
  <c r="B30" i="42"/>
  <c r="B31" i="46"/>
  <c r="B43" i="70"/>
  <c r="B51" i="105"/>
  <c r="B67" i="105"/>
  <c r="B31" i="73"/>
  <c r="B31" i="69"/>
  <c r="D59" i="110"/>
  <c r="D33" i="110"/>
  <c r="C33" i="110"/>
  <c r="G56" i="57"/>
  <c r="H56" i="57"/>
  <c r="D139" i="112" l="1"/>
  <c r="B26" i="45"/>
  <c r="B25" i="45"/>
  <c r="B36" i="45" l="1"/>
  <c r="B26" i="46"/>
  <c r="B25" i="46"/>
  <c r="B24" i="71"/>
  <c r="B35" i="71" s="1"/>
  <c r="B28" i="83"/>
  <c r="B44" i="83" s="1"/>
  <c r="B25" i="69"/>
  <c r="B27" i="86"/>
  <c r="B20" i="85"/>
  <c r="C15" i="83"/>
  <c r="B36" i="46" l="1"/>
  <c r="B39" i="109"/>
  <c r="C39" i="109" s="1"/>
  <c r="B40" i="109"/>
  <c r="C40" i="109" s="1"/>
  <c r="B38" i="109"/>
  <c r="C38" i="109" s="1"/>
  <c r="C37" i="109"/>
  <c r="C14" i="109"/>
  <c r="B36" i="108"/>
  <c r="B34" i="108"/>
  <c r="B29" i="108"/>
  <c r="B35" i="108" s="1"/>
  <c r="C14" i="108"/>
  <c r="C33" i="108" s="1"/>
  <c r="B28" i="107"/>
  <c r="B34" i="107" s="1"/>
  <c r="B35" i="107"/>
  <c r="B33" i="107"/>
  <c r="C14" i="107"/>
  <c r="B59" i="105"/>
  <c r="B52" i="105"/>
  <c r="B58" i="105" s="1"/>
  <c r="C15" i="105"/>
  <c r="C5" i="57"/>
  <c r="C10" i="57"/>
  <c r="C58" i="105" l="1"/>
  <c r="B36" i="105"/>
  <c r="B47" i="105" s="1"/>
  <c r="C34" i="108"/>
  <c r="C36" i="108"/>
  <c r="C35" i="108"/>
  <c r="C35" i="107"/>
  <c r="C34" i="107"/>
  <c r="C32" i="107"/>
  <c r="C33" i="107"/>
  <c r="C23" i="57"/>
  <c r="C8" i="57"/>
  <c r="C30" i="57"/>
  <c r="C12" i="57"/>
  <c r="C32" i="57"/>
  <c r="C25" i="57"/>
  <c r="C9" i="57"/>
  <c r="C11" i="57"/>
  <c r="C18" i="57"/>
  <c r="C40" i="57"/>
  <c r="C36" i="57"/>
  <c r="C33" i="57"/>
  <c r="C29" i="57"/>
  <c r="C35" i="57"/>
  <c r="C38" i="57"/>
  <c r="C31" i="57"/>
  <c r="C43" i="57"/>
  <c r="C42" i="57"/>
  <c r="C46" i="57"/>
  <c r="C26" i="57"/>
  <c r="C34" i="57"/>
  <c r="C48" i="57"/>
  <c r="C14" i="57"/>
  <c r="C17" i="57"/>
  <c r="C22" i="57"/>
  <c r="C15" i="57"/>
  <c r="C44" i="57"/>
  <c r="C21" i="57"/>
  <c r="C19" i="57"/>
  <c r="C47" i="57"/>
  <c r="C7" i="57"/>
  <c r="C13" i="57"/>
  <c r="C41" i="57"/>
  <c r="C24" i="57"/>
  <c r="C45" i="57"/>
  <c r="C39" i="57"/>
  <c r="C20" i="57"/>
  <c r="C27" i="57"/>
  <c r="C16" i="57"/>
  <c r="C59" i="105" l="1"/>
  <c r="B57" i="105"/>
  <c r="C57" i="105" s="1"/>
  <c r="C12" i="98"/>
  <c r="B29" i="98" s="1"/>
  <c r="C21" i="98" s="1"/>
  <c r="B44" i="15" l="1"/>
  <c r="C27" i="103"/>
  <c r="C35" i="103" s="1"/>
  <c r="B54" i="103"/>
  <c r="B34" i="101"/>
  <c r="B40" i="101" s="1"/>
  <c r="B42" i="102"/>
  <c r="C42" i="102" s="1"/>
  <c r="C45" i="102"/>
  <c r="C44" i="102"/>
  <c r="C43" i="102"/>
  <c r="B41" i="101"/>
  <c r="C14" i="101"/>
  <c r="B50" i="101" s="1"/>
  <c r="C14" i="99"/>
  <c r="B61" i="99" s="1"/>
  <c r="B26" i="99" s="1"/>
  <c r="B36" i="99" s="1"/>
  <c r="C104" i="15"/>
  <c r="C105" i="15"/>
  <c r="B51" i="15"/>
  <c r="B50" i="15"/>
  <c r="B103" i="15"/>
  <c r="C103" i="15" s="1"/>
  <c r="B47" i="15"/>
  <c r="B38" i="99"/>
  <c r="B37" i="99"/>
  <c r="B25" i="86"/>
  <c r="B44" i="86"/>
  <c r="B50" i="86"/>
  <c r="B53" i="84"/>
  <c r="B45" i="84" s="1"/>
  <c r="B26" i="84" s="1"/>
  <c r="B88" i="90"/>
  <c r="B90" i="90"/>
  <c r="B84" i="90"/>
  <c r="B82" i="90"/>
  <c r="B43" i="90" s="1"/>
  <c r="B53" i="90" s="1"/>
  <c r="B49" i="101" l="1"/>
  <c r="B28" i="101" s="1"/>
  <c r="B45" i="101"/>
  <c r="B27" i="101" s="1"/>
  <c r="B69" i="101"/>
  <c r="B29" i="101" s="1"/>
  <c r="B39" i="101" s="1"/>
  <c r="C39" i="101" s="1"/>
  <c r="C36" i="99"/>
  <c r="C24" i="98"/>
  <c r="C53" i="103"/>
  <c r="C54" i="103"/>
  <c r="C41" i="101"/>
  <c r="C40" i="101"/>
  <c r="C38" i="99"/>
  <c r="C37" i="99"/>
  <c r="C35" i="99"/>
  <c r="B66" i="15"/>
  <c r="C23" i="98"/>
  <c r="B55" i="84"/>
  <c r="B28" i="84" s="1"/>
  <c r="C18" i="86"/>
  <c r="B83" i="70"/>
  <c r="B81" i="70"/>
  <c r="B76" i="70"/>
  <c r="B82" i="70" s="1"/>
  <c r="B24" i="74"/>
  <c r="B35" i="74"/>
  <c r="C18" i="97"/>
  <c r="C102" i="15" l="1"/>
  <c r="B38" i="101"/>
  <c r="D6" i="81"/>
  <c r="C19" i="79"/>
  <c r="B41" i="97"/>
  <c r="B39" i="97"/>
  <c r="B34" i="97"/>
  <c r="B40" i="97" s="1"/>
  <c r="B42" i="96"/>
  <c r="B40" i="96"/>
  <c r="B35" i="96"/>
  <c r="B41" i="96" s="1"/>
  <c r="B37" i="94"/>
  <c r="B35" i="94"/>
  <c r="B36" i="94"/>
  <c r="C14" i="94"/>
  <c r="H64" i="57"/>
  <c r="C38" i="101" l="1"/>
  <c r="B27" i="79"/>
  <c r="B28" i="79"/>
  <c r="C40" i="96"/>
  <c r="B28" i="96"/>
  <c r="B29" i="96"/>
  <c r="C36" i="94"/>
  <c r="C34" i="94"/>
  <c r="C37" i="94"/>
  <c r="C35" i="94"/>
  <c r="C39" i="97"/>
  <c r="C40" i="97"/>
  <c r="C41" i="97"/>
  <c r="C38" i="97"/>
  <c r="C42" i="96"/>
  <c r="C41" i="96"/>
  <c r="C15" i="93"/>
  <c r="B57" i="93"/>
  <c r="B55" i="93"/>
  <c r="B50" i="93"/>
  <c r="B56" i="93" s="1"/>
  <c r="B37" i="93"/>
  <c r="B35" i="93"/>
  <c r="B36" i="93"/>
  <c r="B35" i="92"/>
  <c r="B33" i="92"/>
  <c r="C33" i="92" s="1"/>
  <c r="B28" i="92"/>
  <c r="B34" i="92" s="1"/>
  <c r="C14" i="92"/>
  <c r="B40" i="91"/>
  <c r="B38" i="91"/>
  <c r="B33" i="91"/>
  <c r="B39" i="91" s="1"/>
  <c r="C14" i="91"/>
  <c r="C37" i="91" s="1"/>
  <c r="C13" i="90"/>
  <c r="C14" i="90" s="1"/>
  <c r="B75" i="90"/>
  <c r="B73" i="90"/>
  <c r="B68" i="90"/>
  <c r="B74" i="90" s="1"/>
  <c r="B35" i="89"/>
  <c r="C14" i="89"/>
  <c r="B38" i="88"/>
  <c r="B36" i="88"/>
  <c r="B31" i="88"/>
  <c r="B37" i="88" s="1"/>
  <c r="C14" i="88"/>
  <c r="B83" i="87"/>
  <c r="B82" i="87"/>
  <c r="B81" i="87"/>
  <c r="B62" i="87"/>
  <c r="B61" i="87"/>
  <c r="B60" i="87"/>
  <c r="B42" i="87"/>
  <c r="B41" i="87"/>
  <c r="B40" i="87"/>
  <c r="C15" i="87"/>
  <c r="C24" i="38"/>
  <c r="B34" i="74"/>
  <c r="B32" i="74"/>
  <c r="B33" i="74"/>
  <c r="B38" i="79" l="1"/>
  <c r="B39" i="96"/>
  <c r="C39" i="96" s="1"/>
  <c r="B24" i="89"/>
  <c r="B23" i="89"/>
  <c r="B31" i="89"/>
  <c r="B37" i="89" s="1"/>
  <c r="C37" i="89" s="1"/>
  <c r="B30" i="89"/>
  <c r="B36" i="89" s="1"/>
  <c r="C36" i="89" s="1"/>
  <c r="B24" i="93"/>
  <c r="B23" i="93"/>
  <c r="B44" i="93"/>
  <c r="B43" i="93"/>
  <c r="B32" i="38"/>
  <c r="B31" i="38"/>
  <c r="B25" i="88"/>
  <c r="B24" i="88"/>
  <c r="B42" i="90"/>
  <c r="C33" i="90"/>
  <c r="C35" i="90"/>
  <c r="C54" i="90"/>
  <c r="B62" i="90"/>
  <c r="C36" i="90"/>
  <c r="B61" i="90"/>
  <c r="C55" i="90"/>
  <c r="C34" i="90"/>
  <c r="C53" i="90"/>
  <c r="C40" i="91"/>
  <c r="C39" i="91"/>
  <c r="C38" i="91"/>
  <c r="B25" i="87"/>
  <c r="B24" i="87"/>
  <c r="C36" i="93"/>
  <c r="C35" i="93"/>
  <c r="C56" i="93"/>
  <c r="C55" i="93"/>
  <c r="C37" i="93"/>
  <c r="C57" i="93"/>
  <c r="C35" i="92"/>
  <c r="C34" i="92"/>
  <c r="C32" i="92"/>
  <c r="C75" i="90"/>
  <c r="C73" i="90"/>
  <c r="C74" i="90"/>
  <c r="C35" i="89"/>
  <c r="C37" i="88"/>
  <c r="C38" i="88"/>
  <c r="C36" i="88"/>
  <c r="C59" i="87"/>
  <c r="C80" i="87"/>
  <c r="C40" i="87"/>
  <c r="C60" i="87"/>
  <c r="C81" i="87"/>
  <c r="C41" i="87"/>
  <c r="C61" i="87"/>
  <c r="C82" i="87"/>
  <c r="C42" i="87"/>
  <c r="C62" i="87"/>
  <c r="C83" i="87"/>
  <c r="B42" i="38" l="1"/>
  <c r="B34" i="93"/>
  <c r="C34" i="93" s="1"/>
  <c r="B34" i="89"/>
  <c r="C34" i="89" s="1"/>
  <c r="B35" i="88"/>
  <c r="C35" i="88" s="1"/>
  <c r="B52" i="90"/>
  <c r="C52" i="90" s="1"/>
  <c r="B39" i="87"/>
  <c r="C39" i="87" s="1"/>
  <c r="B72" i="90"/>
  <c r="C72" i="90" s="1"/>
  <c r="B54" i="93"/>
  <c r="C54" i="93" s="1"/>
  <c r="B42" i="67"/>
  <c r="B29" i="67"/>
  <c r="B56" i="66"/>
  <c r="B37" i="65"/>
  <c r="B38" i="38"/>
  <c r="B31" i="40"/>
  <c r="B32" i="41"/>
  <c r="B51" i="42"/>
  <c r="B31" i="42"/>
  <c r="B32" i="46"/>
  <c r="B62" i="66" l="1"/>
  <c r="B39" i="86"/>
  <c r="B38" i="86"/>
  <c r="B37" i="86"/>
  <c r="C36" i="86"/>
  <c r="B34" i="85"/>
  <c r="C34" i="85" s="1"/>
  <c r="B33" i="85"/>
  <c r="C33" i="85" s="1"/>
  <c r="B32" i="85"/>
  <c r="C32" i="85" s="1"/>
  <c r="C31" i="85"/>
  <c r="C15" i="85"/>
  <c r="A8" i="10"/>
  <c r="A22" i="10" s="1"/>
  <c r="A7" i="10"/>
  <c r="A21" i="10" s="1"/>
  <c r="A6" i="10"/>
  <c r="A20" i="10" s="1"/>
  <c r="A5" i="10"/>
  <c r="A19" i="10" s="1"/>
  <c r="I4" i="10"/>
  <c r="B40" i="84"/>
  <c r="B39" i="84"/>
  <c r="B38" i="84"/>
  <c r="C15" i="84"/>
  <c r="B47" i="83"/>
  <c r="C47" i="83" s="1"/>
  <c r="C45" i="83"/>
  <c r="B45" i="83"/>
  <c r="C44" i="83"/>
  <c r="B46" i="83"/>
  <c r="B39" i="82"/>
  <c r="C39" i="82" s="1"/>
  <c r="B37" i="82"/>
  <c r="C36" i="82"/>
  <c r="B38" i="82"/>
  <c r="C38" i="82" s="1"/>
  <c r="C15" i="82"/>
  <c r="B41" i="79"/>
  <c r="B39" i="79"/>
  <c r="B34" i="79"/>
  <c r="B40" i="79" s="1"/>
  <c r="B36" i="78"/>
  <c r="B34" i="78"/>
  <c r="B35" i="78"/>
  <c r="C14" i="78"/>
  <c r="B23" i="78" s="1"/>
  <c r="B33" i="78" s="1"/>
  <c r="C14" i="77"/>
  <c r="B36" i="77"/>
  <c r="B34" i="77"/>
  <c r="B29" i="77"/>
  <c r="B35" i="77" s="1"/>
  <c r="B91" i="76"/>
  <c r="E101" i="76"/>
  <c r="E100" i="76"/>
  <c r="B81" i="76"/>
  <c r="B61" i="76"/>
  <c r="B60" i="76"/>
  <c r="B59" i="76"/>
  <c r="B41" i="76"/>
  <c r="B40" i="76"/>
  <c r="B39" i="76"/>
  <c r="B39" i="75"/>
  <c r="B37" i="75"/>
  <c r="C37" i="75" s="1"/>
  <c r="C36" i="75"/>
  <c r="B38" i="75"/>
  <c r="C38" i="75" s="1"/>
  <c r="C15" i="75"/>
  <c r="B84" i="74"/>
  <c r="B83" i="74"/>
  <c r="B82" i="74"/>
  <c r="B52" i="74"/>
  <c r="B51" i="74"/>
  <c r="B50" i="74"/>
  <c r="C15" i="74"/>
  <c r="B124" i="74"/>
  <c r="B122" i="74"/>
  <c r="B123" i="74"/>
  <c r="B104" i="74"/>
  <c r="B103" i="74"/>
  <c r="B102" i="74"/>
  <c r="B38" i="73"/>
  <c r="B36" i="73"/>
  <c r="B37" i="73"/>
  <c r="C15" i="73"/>
  <c r="B25" i="73" s="1"/>
  <c r="C35" i="73" s="1"/>
  <c r="B40" i="72"/>
  <c r="B38" i="72"/>
  <c r="B39" i="72"/>
  <c r="C15" i="72"/>
  <c r="B38" i="71"/>
  <c r="C38" i="71" s="1"/>
  <c r="B36" i="71"/>
  <c r="C36" i="71" s="1"/>
  <c r="C35" i="71"/>
  <c r="B37" i="71"/>
  <c r="C37" i="71" s="1"/>
  <c r="C15" i="71"/>
  <c r="C26" i="70"/>
  <c r="C15" i="69"/>
  <c r="B51" i="70"/>
  <c r="B44" i="70"/>
  <c r="B50" i="70" s="1"/>
  <c r="B38" i="69"/>
  <c r="B36" i="69"/>
  <c r="B37" i="69"/>
  <c r="C15" i="67"/>
  <c r="B56" i="67"/>
  <c r="B54" i="67"/>
  <c r="B49" i="67"/>
  <c r="B55" i="67" s="1"/>
  <c r="B36" i="67"/>
  <c r="B35" i="67"/>
  <c r="B34" i="67"/>
  <c r="E102" i="76" l="1"/>
  <c r="B109" i="76"/>
  <c r="B74" i="76" s="1"/>
  <c r="B80" i="76" s="1"/>
  <c r="C80" i="76" s="1"/>
  <c r="B67" i="76"/>
  <c r="B92" i="76"/>
  <c r="B59" i="70"/>
  <c r="B38" i="70"/>
  <c r="B37" i="70"/>
  <c r="C81" i="70"/>
  <c r="C83" i="70"/>
  <c r="C80" i="70"/>
  <c r="C82" i="70"/>
  <c r="B68" i="76"/>
  <c r="B78" i="76" s="1"/>
  <c r="B28" i="76"/>
  <c r="B27" i="76"/>
  <c r="B48" i="76"/>
  <c r="B47" i="76"/>
  <c r="C36" i="73"/>
  <c r="C51" i="74"/>
  <c r="C83" i="74"/>
  <c r="C37" i="86"/>
  <c r="C38" i="86"/>
  <c r="C39" i="86"/>
  <c r="C40" i="84"/>
  <c r="C37" i="84"/>
  <c r="C38" i="84"/>
  <c r="C39" i="84"/>
  <c r="C37" i="82"/>
  <c r="C39" i="79"/>
  <c r="C40" i="79"/>
  <c r="C38" i="79"/>
  <c r="C41" i="79"/>
  <c r="C36" i="78"/>
  <c r="C35" i="78"/>
  <c r="C33" i="78"/>
  <c r="C34" i="78"/>
  <c r="C34" i="77"/>
  <c r="C35" i="77"/>
  <c r="C36" i="77"/>
  <c r="C33" i="77"/>
  <c r="B69" i="76"/>
  <c r="B79" i="76" s="1"/>
  <c r="C79" i="76" s="1"/>
  <c r="C81" i="76"/>
  <c r="C39" i="76"/>
  <c r="C59" i="76"/>
  <c r="C40" i="76"/>
  <c r="C60" i="76"/>
  <c r="C41" i="76"/>
  <c r="C61" i="76"/>
  <c r="C39" i="75"/>
  <c r="C50" i="74"/>
  <c r="C82" i="74"/>
  <c r="C84" i="74"/>
  <c r="C49" i="74"/>
  <c r="C81" i="74"/>
  <c r="C52" i="74"/>
  <c r="C102" i="74"/>
  <c r="C103" i="74"/>
  <c r="C123" i="74"/>
  <c r="C104" i="74"/>
  <c r="C101" i="74"/>
  <c r="C121" i="74"/>
  <c r="C122" i="74"/>
  <c r="C124" i="74"/>
  <c r="C37" i="73"/>
  <c r="C38" i="73"/>
  <c r="C37" i="72"/>
  <c r="C38" i="72"/>
  <c r="C39" i="72"/>
  <c r="C40" i="72"/>
  <c r="C50" i="70"/>
  <c r="C36" i="69"/>
  <c r="C38" i="69"/>
  <c r="C35" i="69"/>
  <c r="C37" i="69"/>
  <c r="C51" i="70"/>
  <c r="C56" i="67"/>
  <c r="C53" i="67"/>
  <c r="C54" i="67"/>
  <c r="C35" i="67"/>
  <c r="C36" i="67"/>
  <c r="C33" i="67"/>
  <c r="C55" i="67"/>
  <c r="C34" i="67"/>
  <c r="B58" i="76" l="1"/>
  <c r="C58" i="76" s="1"/>
  <c r="B38" i="76"/>
  <c r="C38" i="76" s="1"/>
  <c r="B48" i="70"/>
  <c r="C48" i="70" s="1"/>
  <c r="C78" i="76"/>
  <c r="C15" i="66"/>
  <c r="B44" i="66"/>
  <c r="B37" i="66"/>
  <c r="B43" i="66" s="1"/>
  <c r="C75" i="65"/>
  <c r="B75" i="65"/>
  <c r="C74" i="65"/>
  <c r="B74" i="65"/>
  <c r="C73" i="65"/>
  <c r="B73" i="65"/>
  <c r="E73" i="65" s="1"/>
  <c r="C72" i="65"/>
  <c r="B72" i="65"/>
  <c r="C71" i="65"/>
  <c r="B71" i="65"/>
  <c r="C70" i="65"/>
  <c r="B70" i="65"/>
  <c r="C25" i="65"/>
  <c r="B64" i="65"/>
  <c r="B57" i="65"/>
  <c r="B63" i="65" s="1"/>
  <c r="B44" i="65"/>
  <c r="B43" i="65"/>
  <c r="B42" i="65"/>
  <c r="B39" i="64"/>
  <c r="B37" i="64"/>
  <c r="C37" i="64" s="1"/>
  <c r="C36" i="64"/>
  <c r="B32" i="64"/>
  <c r="B38" i="64" s="1"/>
  <c r="C18" i="64"/>
  <c r="B51" i="65" l="1"/>
  <c r="B31" i="65"/>
  <c r="B30" i="65"/>
  <c r="C63" i="66"/>
  <c r="C60" i="66"/>
  <c r="B30" i="66"/>
  <c r="C62" i="66"/>
  <c r="E71" i="65"/>
  <c r="C44" i="66"/>
  <c r="C43" i="66"/>
  <c r="B51" i="66" s="1"/>
  <c r="E70" i="65"/>
  <c r="E75" i="65"/>
  <c r="E72" i="65"/>
  <c r="E74" i="65"/>
  <c r="B83" i="65"/>
  <c r="B84" i="65" s="1"/>
  <c r="B85" i="65" s="1"/>
  <c r="B86" i="65" s="1"/>
  <c r="B52" i="65" s="1"/>
  <c r="B62" i="65" s="1"/>
  <c r="C62" i="65" s="1"/>
  <c r="C44" i="65"/>
  <c r="C63" i="65"/>
  <c r="C64" i="65"/>
  <c r="C42" i="65"/>
  <c r="C43" i="65"/>
  <c r="C38" i="64"/>
  <c r="C39" i="64"/>
  <c r="B45" i="38"/>
  <c r="B44" i="38"/>
  <c r="B43" i="38"/>
  <c r="C42" i="38"/>
  <c r="B38" i="39"/>
  <c r="B36" i="39"/>
  <c r="C14" i="39"/>
  <c r="B31" i="39" s="1"/>
  <c r="B38" i="40"/>
  <c r="B37" i="40"/>
  <c r="B36" i="40"/>
  <c r="B39" i="41"/>
  <c r="C39" i="41" s="1"/>
  <c r="B38" i="41"/>
  <c r="C38" i="41" s="1"/>
  <c r="B37" i="41"/>
  <c r="C37" i="41" s="1"/>
  <c r="C36" i="41"/>
  <c r="C18" i="41"/>
  <c r="B57" i="42"/>
  <c r="C57" i="42" s="1"/>
  <c r="B58" i="42"/>
  <c r="B56" i="42"/>
  <c r="B38" i="42"/>
  <c r="B37" i="42"/>
  <c r="B36" i="42"/>
  <c r="B39" i="45"/>
  <c r="B37" i="45"/>
  <c r="C36" i="45"/>
  <c r="B32" i="45"/>
  <c r="B38" i="45" s="1"/>
  <c r="B39" i="46"/>
  <c r="B38" i="46"/>
  <c r="B37" i="46"/>
  <c r="C18" i="45"/>
  <c r="I102" i="14"/>
  <c r="H102" i="14"/>
  <c r="G102" i="14"/>
  <c r="F102" i="14"/>
  <c r="E102" i="14"/>
  <c r="I101" i="14"/>
  <c r="I48" i="74" s="1"/>
  <c r="H101" i="14"/>
  <c r="H48" i="74" s="1"/>
  <c r="G101" i="14"/>
  <c r="G48" i="74" s="1"/>
  <c r="F101" i="14"/>
  <c r="F48" i="74" s="1"/>
  <c r="E101" i="14"/>
  <c r="E48" i="74" l="1"/>
  <c r="D48" i="74"/>
  <c r="H3" i="133"/>
  <c r="H3" i="132"/>
  <c r="F3" i="133"/>
  <c r="F3" i="132"/>
  <c r="G3" i="133"/>
  <c r="G3" i="132"/>
  <c r="E3" i="133"/>
  <c r="E3" i="132"/>
  <c r="I3" i="133"/>
  <c r="I3" i="132"/>
  <c r="E3" i="116"/>
  <c r="F3" i="116"/>
  <c r="G3" i="116"/>
  <c r="I3" i="116"/>
  <c r="H3" i="116"/>
  <c r="G3" i="81"/>
  <c r="G3" i="113"/>
  <c r="G23" i="124"/>
  <c r="G18" i="123"/>
  <c r="G17" i="123"/>
  <c r="G3" i="118"/>
  <c r="G3" i="112"/>
  <c r="G3" i="117"/>
  <c r="G3" i="130"/>
  <c r="G16" i="124"/>
  <c r="G3" i="115"/>
  <c r="B41" i="65"/>
  <c r="C41" i="65" s="1"/>
  <c r="I41" i="65" s="1"/>
  <c r="H17" i="123"/>
  <c r="H23" i="124"/>
  <c r="H3" i="112"/>
  <c r="H16" i="124"/>
  <c r="H3" i="81"/>
  <c r="H3" i="118"/>
  <c r="H3" i="113"/>
  <c r="H3" i="130"/>
  <c r="H18" i="123"/>
  <c r="H3" i="117"/>
  <c r="H3" i="115"/>
  <c r="B41" i="66"/>
  <c r="C41" i="66" s="1"/>
  <c r="F18" i="123"/>
  <c r="F17" i="123"/>
  <c r="F3" i="113"/>
  <c r="F3" i="115"/>
  <c r="F3" i="81"/>
  <c r="F16" i="124"/>
  <c r="F23" i="124"/>
  <c r="F3" i="118"/>
  <c r="F3" i="112"/>
  <c r="F3" i="130"/>
  <c r="F3" i="117"/>
  <c r="E3" i="118"/>
  <c r="E17" i="123"/>
  <c r="E3" i="113"/>
  <c r="E3" i="130"/>
  <c r="E3" i="115"/>
  <c r="E3" i="81"/>
  <c r="E16" i="124"/>
  <c r="E23" i="124"/>
  <c r="E18" i="123"/>
  <c r="E3" i="117"/>
  <c r="E3" i="112"/>
  <c r="I17" i="123"/>
  <c r="I3" i="113"/>
  <c r="I3" i="130"/>
  <c r="I3" i="81"/>
  <c r="I3" i="115"/>
  <c r="I16" i="124"/>
  <c r="I18" i="123"/>
  <c r="I3" i="117"/>
  <c r="I3" i="118"/>
  <c r="I3" i="112"/>
  <c r="I23" i="124"/>
  <c r="B61" i="65"/>
  <c r="C61" i="65" s="1"/>
  <c r="F153" i="112"/>
  <c r="F154" i="112" s="1"/>
  <c r="H153" i="112"/>
  <c r="H154" i="112" s="1"/>
  <c r="I153" i="112"/>
  <c r="I154" i="112" s="1"/>
  <c r="G153" i="112"/>
  <c r="G154" i="112" s="1"/>
  <c r="E22" i="98"/>
  <c r="E153" i="112"/>
  <c r="E154" i="112" s="1"/>
  <c r="H20" i="129"/>
  <c r="H33" i="81"/>
  <c r="H28" i="81"/>
  <c r="H15" i="130"/>
  <c r="H5" i="130" s="1"/>
  <c r="H24" i="81"/>
  <c r="H17" i="129"/>
  <c r="H20" i="81"/>
  <c r="F20" i="129"/>
  <c r="F20" i="81"/>
  <c r="F15" i="130"/>
  <c r="F5" i="130" s="1"/>
  <c r="F28" i="81"/>
  <c r="F33" i="81"/>
  <c r="F24" i="81"/>
  <c r="F17" i="129"/>
  <c r="G20" i="129"/>
  <c r="G28" i="81"/>
  <c r="G24" i="81"/>
  <c r="G17" i="129"/>
  <c r="G20" i="81"/>
  <c r="G33" i="81"/>
  <c r="G15" i="130"/>
  <c r="G5" i="130" s="1"/>
  <c r="E20" i="129"/>
  <c r="E15" i="130"/>
  <c r="E5" i="130" s="1"/>
  <c r="E24" i="81"/>
  <c r="E17" i="129"/>
  <c r="E28" i="81"/>
  <c r="E33" i="81"/>
  <c r="E20" i="81"/>
  <c r="I20" i="129"/>
  <c r="I15" i="130"/>
  <c r="I5" i="130" s="1"/>
  <c r="I24" i="81"/>
  <c r="I17" i="129"/>
  <c r="I20" i="81"/>
  <c r="I28" i="81"/>
  <c r="I33" i="81"/>
  <c r="C38" i="40"/>
  <c r="C37" i="40"/>
  <c r="H37" i="40" s="1"/>
  <c r="H5" i="40" s="1"/>
  <c r="B24" i="40"/>
  <c r="B25" i="40"/>
  <c r="C36" i="40"/>
  <c r="C58" i="42"/>
  <c r="C56" i="42"/>
  <c r="B45" i="42"/>
  <c r="B25" i="42"/>
  <c r="B44" i="42"/>
  <c r="B24" i="42"/>
  <c r="H50" i="126"/>
  <c r="H3" i="126" s="1"/>
  <c r="H52" i="126"/>
  <c r="H5" i="126" s="1"/>
  <c r="H159" i="125"/>
  <c r="G53" i="126"/>
  <c r="G6" i="126" s="1"/>
  <c r="G51" i="126"/>
  <c r="G4" i="126" s="1"/>
  <c r="G160" i="125"/>
  <c r="D50" i="126"/>
  <c r="E52" i="126"/>
  <c r="E5" i="126" s="1"/>
  <c r="E50" i="126"/>
  <c r="E3" i="126" s="1"/>
  <c r="D52" i="126"/>
  <c r="E159" i="125"/>
  <c r="I51" i="126"/>
  <c r="I4" i="126" s="1"/>
  <c r="I53" i="126"/>
  <c r="I6" i="126" s="1"/>
  <c r="I160" i="125"/>
  <c r="I52" i="126"/>
  <c r="I5" i="126" s="1"/>
  <c r="I50" i="126"/>
  <c r="I3" i="126" s="1"/>
  <c r="I159" i="125"/>
  <c r="H53" i="126"/>
  <c r="H6" i="126" s="1"/>
  <c r="H51" i="126"/>
  <c r="H4" i="126" s="1"/>
  <c r="H160" i="125"/>
  <c r="F52" i="126"/>
  <c r="F5" i="126" s="1"/>
  <c r="F50" i="126"/>
  <c r="F3" i="126" s="1"/>
  <c r="F159" i="125"/>
  <c r="B63" i="70"/>
  <c r="B64" i="70" s="1"/>
  <c r="D53" i="126"/>
  <c r="E53" i="126"/>
  <c r="E6" i="126" s="1"/>
  <c r="D51" i="126"/>
  <c r="E51" i="126"/>
  <c r="E4" i="126" s="1"/>
  <c r="E160" i="125"/>
  <c r="G50" i="126"/>
  <c r="G3" i="126" s="1"/>
  <c r="G52" i="126"/>
  <c r="G5" i="126" s="1"/>
  <c r="G159" i="125"/>
  <c r="F51" i="126"/>
  <c r="F4" i="126" s="1"/>
  <c r="F53" i="126"/>
  <c r="F6" i="126" s="1"/>
  <c r="F160" i="125"/>
  <c r="I17" i="124"/>
  <c r="I24" i="124"/>
  <c r="I15" i="124"/>
  <c r="I22" i="124"/>
  <c r="H22" i="124"/>
  <c r="H17" i="124"/>
  <c r="H24" i="124"/>
  <c r="H15" i="124"/>
  <c r="E17" i="124"/>
  <c r="E24" i="124"/>
  <c r="E15" i="124"/>
  <c r="E22" i="124"/>
  <c r="F24" i="124"/>
  <c r="F15" i="124"/>
  <c r="F22" i="124"/>
  <c r="F17" i="124"/>
  <c r="G15" i="124"/>
  <c r="G22" i="124"/>
  <c r="G17" i="124"/>
  <c r="G24" i="124"/>
  <c r="E3" i="122"/>
  <c r="E21" i="123"/>
  <c r="G3" i="122"/>
  <c r="G21" i="123"/>
  <c r="H3" i="122"/>
  <c r="H21" i="123"/>
  <c r="I3" i="122"/>
  <c r="I21" i="123"/>
  <c r="F3" i="122"/>
  <c r="F21" i="123"/>
  <c r="B49" i="70"/>
  <c r="C49" i="70" s="1"/>
  <c r="E49" i="70" s="1"/>
  <c r="B22" i="103"/>
  <c r="F56" i="120"/>
  <c r="F4" i="120" s="1"/>
  <c r="F58" i="120"/>
  <c r="F6" i="120" s="1"/>
  <c r="H57" i="120"/>
  <c r="H5" i="120" s="1"/>
  <c r="H55" i="120"/>
  <c r="H3" i="120" s="1"/>
  <c r="I57" i="120"/>
  <c r="I5" i="120" s="1"/>
  <c r="I55" i="120"/>
  <c r="I3" i="120" s="1"/>
  <c r="H56" i="120"/>
  <c r="H4" i="120" s="1"/>
  <c r="H58" i="120"/>
  <c r="H6" i="120" s="1"/>
  <c r="G55" i="120"/>
  <c r="G3" i="120" s="1"/>
  <c r="G57" i="120"/>
  <c r="G5" i="120" s="1"/>
  <c r="G58" i="120"/>
  <c r="G6" i="120" s="1"/>
  <c r="G56" i="120"/>
  <c r="G4" i="120" s="1"/>
  <c r="E55" i="120"/>
  <c r="E57" i="120"/>
  <c r="F57" i="120"/>
  <c r="F5" i="120" s="1"/>
  <c r="F55" i="120"/>
  <c r="F3" i="120" s="1"/>
  <c r="E56" i="120"/>
  <c r="E58" i="120"/>
  <c r="I56" i="120"/>
  <c r="I4" i="120" s="1"/>
  <c r="I58" i="120"/>
  <c r="I6" i="120" s="1"/>
  <c r="E49" i="74"/>
  <c r="H55" i="119"/>
  <c r="H37" i="119"/>
  <c r="H35" i="119"/>
  <c r="H57" i="119"/>
  <c r="H4" i="118"/>
  <c r="H56" i="105"/>
  <c r="H3" i="105" s="1"/>
  <c r="H58" i="105"/>
  <c r="H5" i="105" s="1"/>
  <c r="G36" i="119"/>
  <c r="G58" i="119"/>
  <c r="G38" i="119"/>
  <c r="G56" i="119"/>
  <c r="D35" i="119"/>
  <c r="E57" i="119"/>
  <c r="E37" i="119"/>
  <c r="E35" i="119"/>
  <c r="D37" i="119"/>
  <c r="E55" i="119"/>
  <c r="E4" i="118"/>
  <c r="E56" i="105"/>
  <c r="E3" i="105" s="1"/>
  <c r="E58" i="105"/>
  <c r="I35" i="119"/>
  <c r="I55" i="119"/>
  <c r="I57" i="119"/>
  <c r="I37" i="119"/>
  <c r="I4" i="118"/>
  <c r="I56" i="105"/>
  <c r="I3" i="105" s="1"/>
  <c r="I58" i="105"/>
  <c r="I5" i="105" s="1"/>
  <c r="H56" i="119"/>
  <c r="H36" i="119"/>
  <c r="H58" i="119"/>
  <c r="H38" i="119"/>
  <c r="F37" i="119"/>
  <c r="F57" i="119"/>
  <c r="F55" i="119"/>
  <c r="F35" i="119"/>
  <c r="F4" i="118"/>
  <c r="F56" i="105"/>
  <c r="F3" i="105" s="1"/>
  <c r="F58" i="105"/>
  <c r="F5" i="105" s="1"/>
  <c r="E38" i="119"/>
  <c r="D38" i="119"/>
  <c r="E36" i="119"/>
  <c r="E58" i="119"/>
  <c r="D36" i="119"/>
  <c r="E56" i="119"/>
  <c r="I38" i="119"/>
  <c r="I58" i="119"/>
  <c r="I36" i="119"/>
  <c r="I56" i="119"/>
  <c r="G37" i="119"/>
  <c r="G35" i="119"/>
  <c r="G55" i="119"/>
  <c r="G57" i="119"/>
  <c r="G4" i="118"/>
  <c r="G56" i="105"/>
  <c r="G3" i="105" s="1"/>
  <c r="G58" i="105"/>
  <c r="G5" i="105" s="1"/>
  <c r="F36" i="119"/>
  <c r="F58" i="119"/>
  <c r="F56" i="119"/>
  <c r="F38" i="119"/>
  <c r="E4" i="117"/>
  <c r="F4" i="117"/>
  <c r="G4" i="117"/>
  <c r="H4" i="117"/>
  <c r="I4" i="117"/>
  <c r="E35" i="90"/>
  <c r="E33" i="90"/>
  <c r="E54" i="90"/>
  <c r="E52" i="90"/>
  <c r="G53" i="90"/>
  <c r="G36" i="90"/>
  <c r="G34" i="90"/>
  <c r="G55" i="90"/>
  <c r="H34" i="90"/>
  <c r="H36" i="90"/>
  <c r="H55" i="90"/>
  <c r="H53" i="90"/>
  <c r="E55" i="90"/>
  <c r="E53" i="90"/>
  <c r="E34" i="90"/>
  <c r="E36" i="90"/>
  <c r="I34" i="90"/>
  <c r="I36" i="90"/>
  <c r="I55" i="90"/>
  <c r="I53" i="90"/>
  <c r="H54" i="90"/>
  <c r="H33" i="90"/>
  <c r="H35" i="90"/>
  <c r="H52" i="90"/>
  <c r="I52" i="90"/>
  <c r="I35" i="90"/>
  <c r="I54" i="90"/>
  <c r="I33" i="90"/>
  <c r="F52" i="90"/>
  <c r="F35" i="90"/>
  <c r="F54" i="90"/>
  <c r="F33" i="90"/>
  <c r="G54" i="90"/>
  <c r="G35" i="90"/>
  <c r="G33" i="90"/>
  <c r="G52" i="90"/>
  <c r="F36" i="90"/>
  <c r="F55" i="90"/>
  <c r="F53" i="90"/>
  <c r="F34" i="90"/>
  <c r="I62" i="66"/>
  <c r="G62" i="66"/>
  <c r="F62" i="66"/>
  <c r="E62" i="66"/>
  <c r="H62" i="66"/>
  <c r="D62" i="66"/>
  <c r="E60" i="66"/>
  <c r="G60" i="66"/>
  <c r="H60" i="66"/>
  <c r="F60" i="66"/>
  <c r="D60" i="66"/>
  <c r="I60" i="66"/>
  <c r="B42" i="66"/>
  <c r="C42" i="66" s="1"/>
  <c r="E42" i="66" s="1"/>
  <c r="B61" i="66"/>
  <c r="C61" i="66" s="1"/>
  <c r="F63" i="66"/>
  <c r="D63" i="66"/>
  <c r="I63" i="66"/>
  <c r="E63" i="66"/>
  <c r="G63" i="66"/>
  <c r="H63" i="66"/>
  <c r="B25" i="39"/>
  <c r="B35" i="39" s="1"/>
  <c r="B37" i="39"/>
  <c r="C37" i="39" s="1"/>
  <c r="E37" i="39" s="1"/>
  <c r="E5" i="39" s="1"/>
  <c r="C36" i="39"/>
  <c r="H36" i="39" s="1"/>
  <c r="H4" i="39" s="1"/>
  <c r="F4" i="115"/>
  <c r="G4" i="115"/>
  <c r="H4" i="115"/>
  <c r="E4" i="115"/>
  <c r="I4" i="115"/>
  <c r="H9" i="113"/>
  <c r="E9" i="113"/>
  <c r="E4" i="113" s="1"/>
  <c r="I9" i="113"/>
  <c r="I4" i="113" s="1"/>
  <c r="G9" i="113"/>
  <c r="F9" i="113"/>
  <c r="G37" i="109"/>
  <c r="G3" i="109" s="1"/>
  <c r="G39" i="109"/>
  <c r="G5" i="109" s="1"/>
  <c r="H39" i="109"/>
  <c r="H5" i="109" s="1"/>
  <c r="H37" i="109"/>
  <c r="H3" i="109" s="1"/>
  <c r="G40" i="109"/>
  <c r="G6" i="109" s="1"/>
  <c r="G38" i="109"/>
  <c r="G4" i="109" s="1"/>
  <c r="E37" i="109"/>
  <c r="E3" i="109" s="1"/>
  <c r="D39" i="109"/>
  <c r="D5" i="109" s="1"/>
  <c r="D37" i="109"/>
  <c r="D3" i="109" s="1"/>
  <c r="E39" i="109"/>
  <c r="E5" i="109" s="1"/>
  <c r="I37" i="109"/>
  <c r="I3" i="109" s="1"/>
  <c r="I39" i="109"/>
  <c r="I5" i="109" s="1"/>
  <c r="H38" i="109"/>
  <c r="H4" i="109" s="1"/>
  <c r="H40" i="109"/>
  <c r="H6" i="109" s="1"/>
  <c r="F37" i="109"/>
  <c r="F3" i="109" s="1"/>
  <c r="F39" i="109"/>
  <c r="F5" i="109" s="1"/>
  <c r="D38" i="109"/>
  <c r="D4" i="109" s="1"/>
  <c r="E40" i="109"/>
  <c r="E6" i="109" s="1"/>
  <c r="E38" i="109"/>
  <c r="E4" i="109" s="1"/>
  <c r="D40" i="109"/>
  <c r="D6" i="109" s="1"/>
  <c r="I40" i="109"/>
  <c r="I6" i="109" s="1"/>
  <c r="I38" i="109"/>
  <c r="I4" i="109" s="1"/>
  <c r="F40" i="109"/>
  <c r="F6" i="109" s="1"/>
  <c r="F38" i="109"/>
  <c r="F4" i="109" s="1"/>
  <c r="H33" i="108"/>
  <c r="H3" i="108" s="1"/>
  <c r="H35" i="108"/>
  <c r="H5" i="108" s="1"/>
  <c r="G36" i="108"/>
  <c r="G6" i="108" s="1"/>
  <c r="G34" i="108"/>
  <c r="G4" i="108" s="1"/>
  <c r="E35" i="108"/>
  <c r="E5" i="108" s="1"/>
  <c r="D35" i="108"/>
  <c r="D5" i="108" s="1"/>
  <c r="E33" i="108"/>
  <c r="E3" i="108" s="1"/>
  <c r="D33" i="108"/>
  <c r="D3" i="108" s="1"/>
  <c r="H34" i="108"/>
  <c r="H4" i="108" s="1"/>
  <c r="H36" i="108"/>
  <c r="H6" i="108" s="1"/>
  <c r="F33" i="108"/>
  <c r="F3" i="108" s="1"/>
  <c r="F35" i="108"/>
  <c r="F5" i="108" s="1"/>
  <c r="E36" i="108"/>
  <c r="E6" i="108" s="1"/>
  <c r="D36" i="108"/>
  <c r="D6" i="108" s="1"/>
  <c r="E34" i="108"/>
  <c r="E4" i="108" s="1"/>
  <c r="D34" i="108"/>
  <c r="D4" i="108" s="1"/>
  <c r="I34" i="108"/>
  <c r="I4" i="108" s="1"/>
  <c r="I36" i="108"/>
  <c r="I6" i="108" s="1"/>
  <c r="I33" i="108"/>
  <c r="I3" i="108" s="1"/>
  <c r="I35" i="108"/>
  <c r="I5" i="108" s="1"/>
  <c r="G35" i="108"/>
  <c r="G5" i="108" s="1"/>
  <c r="G33" i="108"/>
  <c r="G3" i="108" s="1"/>
  <c r="F34" i="108"/>
  <c r="F4" i="108" s="1"/>
  <c r="F36" i="108"/>
  <c r="F6" i="108" s="1"/>
  <c r="H34" i="107"/>
  <c r="H5" i="107" s="1"/>
  <c r="H32" i="107"/>
  <c r="H3" i="107" s="1"/>
  <c r="G33" i="107"/>
  <c r="G4" i="107" s="1"/>
  <c r="G35" i="107"/>
  <c r="G6" i="107" s="1"/>
  <c r="I34" i="107"/>
  <c r="I5" i="107" s="1"/>
  <c r="I32" i="107"/>
  <c r="I3" i="107" s="1"/>
  <c r="F32" i="107"/>
  <c r="F3" i="107" s="1"/>
  <c r="F34" i="107"/>
  <c r="F5" i="107" s="1"/>
  <c r="E35" i="107"/>
  <c r="E6" i="107" s="1"/>
  <c r="D33" i="107"/>
  <c r="D4" i="107" s="1"/>
  <c r="D35" i="107"/>
  <c r="D6" i="107" s="1"/>
  <c r="E33" i="107"/>
  <c r="E4" i="107" s="1"/>
  <c r="I33" i="107"/>
  <c r="I4" i="107" s="1"/>
  <c r="I35" i="107"/>
  <c r="I6" i="107" s="1"/>
  <c r="D34" i="107"/>
  <c r="D5" i="107" s="1"/>
  <c r="E32" i="107"/>
  <c r="E3" i="107" s="1"/>
  <c r="E34" i="107"/>
  <c r="E5" i="107" s="1"/>
  <c r="D32" i="107"/>
  <c r="D3" i="107" s="1"/>
  <c r="H35" i="107"/>
  <c r="H6" i="107" s="1"/>
  <c r="H33" i="107"/>
  <c r="H4" i="107" s="1"/>
  <c r="G34" i="107"/>
  <c r="G5" i="107" s="1"/>
  <c r="G32" i="107"/>
  <c r="G3" i="107" s="1"/>
  <c r="F35" i="107"/>
  <c r="F6" i="107" s="1"/>
  <c r="F33" i="107"/>
  <c r="F4" i="107" s="1"/>
  <c r="H57" i="105"/>
  <c r="H4" i="105" s="1"/>
  <c r="H59" i="105"/>
  <c r="H6" i="105" s="1"/>
  <c r="G57" i="105"/>
  <c r="G4" i="105" s="1"/>
  <c r="G59" i="105"/>
  <c r="G6" i="105" s="1"/>
  <c r="E57" i="105"/>
  <c r="E4" i="105" s="1"/>
  <c r="D57" i="105"/>
  <c r="D4" i="105" s="1"/>
  <c r="E59" i="105"/>
  <c r="E6" i="105" s="1"/>
  <c r="D59" i="105"/>
  <c r="D6" i="105" s="1"/>
  <c r="I57" i="105"/>
  <c r="I4" i="105" s="1"/>
  <c r="I59" i="105"/>
  <c r="I6" i="105" s="1"/>
  <c r="F57" i="105"/>
  <c r="F4" i="105" s="1"/>
  <c r="F59" i="105"/>
  <c r="F6" i="105" s="1"/>
  <c r="I53" i="103"/>
  <c r="I3" i="103" s="1"/>
  <c r="H54" i="103"/>
  <c r="H4" i="103" s="1"/>
  <c r="H56" i="103"/>
  <c r="H6" i="103" s="1"/>
  <c r="F56" i="103"/>
  <c r="F6" i="103" s="1"/>
  <c r="F54" i="103"/>
  <c r="F4" i="103" s="1"/>
  <c r="E53" i="103"/>
  <c r="F53" i="103"/>
  <c r="F3" i="103" s="1"/>
  <c r="E54" i="103"/>
  <c r="E56" i="103"/>
  <c r="I54" i="103"/>
  <c r="I4" i="103" s="1"/>
  <c r="I56" i="103"/>
  <c r="I6" i="103" s="1"/>
  <c r="G53" i="103"/>
  <c r="G3" i="103" s="1"/>
  <c r="H53" i="103"/>
  <c r="H3" i="103" s="1"/>
  <c r="G56" i="103"/>
  <c r="G6" i="103" s="1"/>
  <c r="G54" i="103"/>
  <c r="G4" i="103" s="1"/>
  <c r="I42" i="102"/>
  <c r="I3" i="102" s="1"/>
  <c r="I44" i="102"/>
  <c r="I5" i="102" s="1"/>
  <c r="I45" i="102"/>
  <c r="I6" i="102" s="1"/>
  <c r="I43" i="102"/>
  <c r="I4" i="102" s="1"/>
  <c r="E42" i="102"/>
  <c r="E44" i="102"/>
  <c r="H45" i="102"/>
  <c r="H6" i="102" s="1"/>
  <c r="H43" i="102"/>
  <c r="H4" i="102" s="1"/>
  <c r="F42" i="102"/>
  <c r="F3" i="102" s="1"/>
  <c r="F44" i="102"/>
  <c r="F5" i="102" s="1"/>
  <c r="E43" i="102"/>
  <c r="E45" i="102"/>
  <c r="G44" i="102"/>
  <c r="G5" i="102" s="1"/>
  <c r="G42" i="102"/>
  <c r="G3" i="102" s="1"/>
  <c r="F45" i="102"/>
  <c r="F6" i="102" s="1"/>
  <c r="F43" i="102"/>
  <c r="F4" i="102" s="1"/>
  <c r="H42" i="102"/>
  <c r="H3" i="102" s="1"/>
  <c r="H44" i="102"/>
  <c r="H5" i="102" s="1"/>
  <c r="G45" i="102"/>
  <c r="G6" i="102" s="1"/>
  <c r="G43" i="102"/>
  <c r="G4" i="102" s="1"/>
  <c r="F23" i="98"/>
  <c r="F40" i="101"/>
  <c r="F5" i="101" s="1"/>
  <c r="F38" i="101"/>
  <c r="F3" i="101" s="1"/>
  <c r="F21" i="98"/>
  <c r="F3" i="98" s="1"/>
  <c r="E24" i="98"/>
  <c r="D39" i="101"/>
  <c r="E41" i="101"/>
  <c r="E6" i="101" s="1"/>
  <c r="D41" i="101"/>
  <c r="E39" i="101"/>
  <c r="E4" i="101" s="1"/>
  <c r="I24" i="98"/>
  <c r="I22" i="98"/>
  <c r="I39" i="101"/>
  <c r="I4" i="101" s="1"/>
  <c r="I41" i="101"/>
  <c r="I6" i="101" s="1"/>
  <c r="G23" i="98"/>
  <c r="G40" i="101"/>
  <c r="G5" i="101" s="1"/>
  <c r="G38" i="101"/>
  <c r="G3" i="101" s="1"/>
  <c r="G21" i="98"/>
  <c r="G3" i="98" s="1"/>
  <c r="E23" i="98"/>
  <c r="E38" i="101"/>
  <c r="E3" i="101" s="1"/>
  <c r="E21" i="98"/>
  <c r="E3" i="98" s="1"/>
  <c r="E40" i="101"/>
  <c r="E5" i="101" s="1"/>
  <c r="D40" i="101"/>
  <c r="D38" i="101"/>
  <c r="I23" i="98"/>
  <c r="I21" i="98"/>
  <c r="I3" i="98" s="1"/>
  <c r="I40" i="101"/>
  <c r="I5" i="101" s="1"/>
  <c r="I38" i="101"/>
  <c r="I3" i="101" s="1"/>
  <c r="H24" i="98"/>
  <c r="H22" i="98"/>
  <c r="H39" i="101"/>
  <c r="H4" i="101" s="1"/>
  <c r="H41" i="101"/>
  <c r="H6" i="101" s="1"/>
  <c r="F24" i="98"/>
  <c r="F22" i="98"/>
  <c r="F41" i="101"/>
  <c r="F6" i="101" s="1"/>
  <c r="F39" i="101"/>
  <c r="F4" i="101" s="1"/>
  <c r="H23" i="98"/>
  <c r="H21" i="98"/>
  <c r="H3" i="98" s="1"/>
  <c r="H40" i="101"/>
  <c r="H5" i="101" s="1"/>
  <c r="H38" i="101"/>
  <c r="H3" i="101" s="1"/>
  <c r="G24" i="98"/>
  <c r="G22" i="98"/>
  <c r="G39" i="101"/>
  <c r="G4" i="101" s="1"/>
  <c r="G41" i="101"/>
  <c r="G6" i="101" s="1"/>
  <c r="E104" i="15"/>
  <c r="E37" i="99"/>
  <c r="E5" i="99" s="1"/>
  <c r="E35" i="99"/>
  <c r="E102" i="15"/>
  <c r="I104" i="15"/>
  <c r="I5" i="15" s="1"/>
  <c r="I102" i="15"/>
  <c r="I3" i="15" s="1"/>
  <c r="I37" i="99"/>
  <c r="I5" i="99" s="1"/>
  <c r="I35" i="99"/>
  <c r="I3" i="99" s="1"/>
  <c r="H105" i="15"/>
  <c r="H6" i="15" s="1"/>
  <c r="H103" i="15"/>
  <c r="H4" i="15" s="1"/>
  <c r="H38" i="99"/>
  <c r="H6" i="99" s="1"/>
  <c r="H36" i="99"/>
  <c r="H4" i="99" s="1"/>
  <c r="F37" i="99"/>
  <c r="F5" i="99" s="1"/>
  <c r="F104" i="15"/>
  <c r="F5" i="15" s="1"/>
  <c r="F102" i="15"/>
  <c r="F3" i="15" s="1"/>
  <c r="F35" i="99"/>
  <c r="F3" i="99" s="1"/>
  <c r="E36" i="99"/>
  <c r="E38" i="99"/>
  <c r="E6" i="99" s="1"/>
  <c r="E103" i="15"/>
  <c r="E105" i="15"/>
  <c r="I38" i="99"/>
  <c r="I6" i="99" s="1"/>
  <c r="I36" i="99"/>
  <c r="I4" i="99" s="1"/>
  <c r="I105" i="15"/>
  <c r="I6" i="15" s="1"/>
  <c r="I103" i="15"/>
  <c r="I4" i="15" s="1"/>
  <c r="G104" i="15"/>
  <c r="G5" i="15" s="1"/>
  <c r="G37" i="99"/>
  <c r="G5" i="99" s="1"/>
  <c r="G102" i="15"/>
  <c r="G3" i="15" s="1"/>
  <c r="G35" i="99"/>
  <c r="G3" i="99" s="1"/>
  <c r="F38" i="99"/>
  <c r="F6" i="99" s="1"/>
  <c r="F36" i="99"/>
  <c r="F4" i="99" s="1"/>
  <c r="F105" i="15"/>
  <c r="F6" i="15" s="1"/>
  <c r="F103" i="15"/>
  <c r="F4" i="15" s="1"/>
  <c r="H104" i="15"/>
  <c r="H5" i="15" s="1"/>
  <c r="H37" i="99"/>
  <c r="H5" i="99" s="1"/>
  <c r="H102" i="15"/>
  <c r="H3" i="15" s="1"/>
  <c r="H35" i="99"/>
  <c r="H3" i="99" s="1"/>
  <c r="G38" i="99"/>
  <c r="G6" i="99" s="1"/>
  <c r="G36" i="99"/>
  <c r="G4" i="99" s="1"/>
  <c r="G105" i="15"/>
  <c r="G6" i="15" s="1"/>
  <c r="G103" i="15"/>
  <c r="G4" i="15" s="1"/>
  <c r="D82" i="70"/>
  <c r="E82" i="70"/>
  <c r="D80" i="70"/>
  <c r="E80" i="70"/>
  <c r="H83" i="70"/>
  <c r="H81" i="70"/>
  <c r="F82" i="70"/>
  <c r="F80" i="70"/>
  <c r="E83" i="70"/>
  <c r="D81" i="70"/>
  <c r="E81" i="70"/>
  <c r="D83" i="70"/>
  <c r="I83" i="70"/>
  <c r="I81" i="70"/>
  <c r="G82" i="70"/>
  <c r="G80" i="70"/>
  <c r="F83" i="70"/>
  <c r="F81" i="70"/>
  <c r="H82" i="70"/>
  <c r="H80" i="70"/>
  <c r="G83" i="70"/>
  <c r="G81" i="70"/>
  <c r="I82" i="70"/>
  <c r="I80" i="70"/>
  <c r="F38" i="97"/>
  <c r="F3" i="97" s="1"/>
  <c r="F40" i="97"/>
  <c r="F5" i="97" s="1"/>
  <c r="G38" i="97"/>
  <c r="G3" i="97" s="1"/>
  <c r="G40" i="97"/>
  <c r="G5" i="97" s="1"/>
  <c r="F41" i="97"/>
  <c r="F6" i="97" s="1"/>
  <c r="F39" i="97"/>
  <c r="F4" i="97" s="1"/>
  <c r="H38" i="97"/>
  <c r="H3" i="97" s="1"/>
  <c r="H40" i="97"/>
  <c r="H5" i="97" s="1"/>
  <c r="G41" i="97"/>
  <c r="G6" i="97" s="1"/>
  <c r="G39" i="97"/>
  <c r="G4" i="97" s="1"/>
  <c r="E41" i="97"/>
  <c r="E6" i="97" s="1"/>
  <c r="E39" i="97"/>
  <c r="E4" i="97" s="1"/>
  <c r="D41" i="97"/>
  <c r="D6" i="97" s="1"/>
  <c r="D39" i="97"/>
  <c r="D4" i="97" s="1"/>
  <c r="I41" i="97"/>
  <c r="I6" i="97" s="1"/>
  <c r="I39" i="97"/>
  <c r="I4" i="97" s="1"/>
  <c r="D38" i="97"/>
  <c r="D3" i="97" s="1"/>
  <c r="D40" i="97"/>
  <c r="D5" i="97" s="1"/>
  <c r="E38" i="97"/>
  <c r="E3" i="97" s="1"/>
  <c r="E40" i="97"/>
  <c r="E5" i="97" s="1"/>
  <c r="I38" i="97"/>
  <c r="I3" i="97" s="1"/>
  <c r="I40" i="97"/>
  <c r="I5" i="97" s="1"/>
  <c r="H41" i="97"/>
  <c r="H6" i="97" s="1"/>
  <c r="H39" i="97"/>
  <c r="H4" i="97" s="1"/>
  <c r="H41" i="96"/>
  <c r="H5" i="96" s="1"/>
  <c r="H39" i="96"/>
  <c r="H3" i="96" s="1"/>
  <c r="G42" i="96"/>
  <c r="G6" i="96" s="1"/>
  <c r="G40" i="96"/>
  <c r="G4" i="96" s="1"/>
  <c r="I39" i="96"/>
  <c r="I3" i="96" s="1"/>
  <c r="I41" i="96"/>
  <c r="I5" i="96" s="1"/>
  <c r="F41" i="96"/>
  <c r="F5" i="96" s="1"/>
  <c r="F39" i="96"/>
  <c r="F3" i="96" s="1"/>
  <c r="E40" i="96"/>
  <c r="E4" i="96" s="1"/>
  <c r="D40" i="96"/>
  <c r="D4" i="96" s="1"/>
  <c r="E42" i="96"/>
  <c r="E6" i="96" s="1"/>
  <c r="D42" i="96"/>
  <c r="D6" i="96" s="1"/>
  <c r="I40" i="96"/>
  <c r="I4" i="96" s="1"/>
  <c r="I42" i="96"/>
  <c r="I6" i="96" s="1"/>
  <c r="G41" i="96"/>
  <c r="G5" i="96" s="1"/>
  <c r="G39" i="96"/>
  <c r="G3" i="96" s="1"/>
  <c r="F42" i="96"/>
  <c r="F6" i="96" s="1"/>
  <c r="F40" i="96"/>
  <c r="F4" i="96" s="1"/>
  <c r="E41" i="96"/>
  <c r="E5" i="96" s="1"/>
  <c r="D39" i="96"/>
  <c r="D3" i="96" s="1"/>
  <c r="D41" i="96"/>
  <c r="D5" i="96" s="1"/>
  <c r="E39" i="96"/>
  <c r="E3" i="96" s="1"/>
  <c r="H40" i="96"/>
  <c r="H4" i="96" s="1"/>
  <c r="H42" i="96"/>
  <c r="H6" i="96" s="1"/>
  <c r="F36" i="94"/>
  <c r="F5" i="94" s="1"/>
  <c r="F34" i="94"/>
  <c r="F3" i="94" s="1"/>
  <c r="D35" i="94"/>
  <c r="D4" i="94" s="1"/>
  <c r="E37" i="94"/>
  <c r="E6" i="94" s="1"/>
  <c r="E35" i="94"/>
  <c r="E4" i="94" s="1"/>
  <c r="D37" i="94"/>
  <c r="D6" i="94" s="1"/>
  <c r="I35" i="94"/>
  <c r="I4" i="94" s="1"/>
  <c r="I37" i="94"/>
  <c r="I6" i="94" s="1"/>
  <c r="G36" i="94"/>
  <c r="G5" i="94" s="1"/>
  <c r="G34" i="94"/>
  <c r="G3" i="94" s="1"/>
  <c r="F35" i="94"/>
  <c r="F4" i="94" s="1"/>
  <c r="F37" i="94"/>
  <c r="F6" i="94" s="1"/>
  <c r="H34" i="94"/>
  <c r="H3" i="94" s="1"/>
  <c r="H36" i="94"/>
  <c r="H5" i="94" s="1"/>
  <c r="G35" i="94"/>
  <c r="G4" i="94" s="1"/>
  <c r="G37" i="94"/>
  <c r="G6" i="94" s="1"/>
  <c r="E36" i="94"/>
  <c r="E5" i="94" s="1"/>
  <c r="D36" i="94"/>
  <c r="D5" i="94" s="1"/>
  <c r="E34" i="94"/>
  <c r="E3" i="94" s="1"/>
  <c r="D34" i="94"/>
  <c r="D3" i="94" s="1"/>
  <c r="I36" i="94"/>
  <c r="I5" i="94" s="1"/>
  <c r="I34" i="94"/>
  <c r="I3" i="94" s="1"/>
  <c r="H37" i="94"/>
  <c r="H6" i="94" s="1"/>
  <c r="H35" i="94"/>
  <c r="H4" i="94" s="1"/>
  <c r="E36" i="93"/>
  <c r="E34" i="93"/>
  <c r="E54" i="93"/>
  <c r="D36" i="93"/>
  <c r="D34" i="93"/>
  <c r="D54" i="93"/>
  <c r="D56" i="93"/>
  <c r="E56" i="93"/>
  <c r="F36" i="93"/>
  <c r="F34" i="93"/>
  <c r="F54" i="93"/>
  <c r="F56" i="93"/>
  <c r="D35" i="93"/>
  <c r="E55" i="93"/>
  <c r="D37" i="93"/>
  <c r="E35" i="93"/>
  <c r="D55" i="93"/>
  <c r="E37" i="93"/>
  <c r="E57" i="93"/>
  <c r="D57" i="93"/>
  <c r="I55" i="93"/>
  <c r="I35" i="93"/>
  <c r="I37" i="93"/>
  <c r="I57" i="93"/>
  <c r="G36" i="93"/>
  <c r="G34" i="93"/>
  <c r="G54" i="93"/>
  <c r="G56" i="93"/>
  <c r="F57" i="93"/>
  <c r="F35" i="93"/>
  <c r="F55" i="93"/>
  <c r="F37" i="93"/>
  <c r="H36" i="93"/>
  <c r="H34" i="93"/>
  <c r="H54" i="93"/>
  <c r="H56" i="93"/>
  <c r="G57" i="93"/>
  <c r="G35" i="93"/>
  <c r="G55" i="93"/>
  <c r="G37" i="93"/>
  <c r="I36" i="93"/>
  <c r="I34" i="93"/>
  <c r="I54" i="93"/>
  <c r="I56" i="93"/>
  <c r="H37" i="93"/>
  <c r="H57" i="93"/>
  <c r="H55" i="93"/>
  <c r="H35" i="93"/>
  <c r="D34" i="92"/>
  <c r="D5" i="92" s="1"/>
  <c r="E32" i="92"/>
  <c r="E3" i="92" s="1"/>
  <c r="E34" i="92"/>
  <c r="E5" i="92" s="1"/>
  <c r="D32" i="92"/>
  <c r="D3" i="92" s="1"/>
  <c r="I32" i="92"/>
  <c r="I3" i="92" s="1"/>
  <c r="I34" i="92"/>
  <c r="I5" i="92" s="1"/>
  <c r="F32" i="92"/>
  <c r="F3" i="92" s="1"/>
  <c r="F34" i="92"/>
  <c r="F5" i="92" s="1"/>
  <c r="D33" i="92"/>
  <c r="D4" i="92" s="1"/>
  <c r="E35" i="92"/>
  <c r="E6" i="92" s="1"/>
  <c r="E33" i="92"/>
  <c r="E4" i="92" s="1"/>
  <c r="D35" i="92"/>
  <c r="D6" i="92" s="1"/>
  <c r="I33" i="92"/>
  <c r="I4" i="92" s="1"/>
  <c r="I35" i="92"/>
  <c r="I6" i="92" s="1"/>
  <c r="G32" i="92"/>
  <c r="G3" i="92" s="1"/>
  <c r="G34" i="92"/>
  <c r="G5" i="92" s="1"/>
  <c r="F35" i="92"/>
  <c r="F6" i="92" s="1"/>
  <c r="F33" i="92"/>
  <c r="F4" i="92" s="1"/>
  <c r="H34" i="92"/>
  <c r="H5" i="92" s="1"/>
  <c r="H32" i="92"/>
  <c r="H3" i="92" s="1"/>
  <c r="G35" i="92"/>
  <c r="G6" i="92" s="1"/>
  <c r="G33" i="92"/>
  <c r="G4" i="92" s="1"/>
  <c r="H33" i="92"/>
  <c r="H4" i="92" s="1"/>
  <c r="H35" i="92"/>
  <c r="H6" i="92" s="1"/>
  <c r="F37" i="91"/>
  <c r="F3" i="91" s="1"/>
  <c r="F39" i="91"/>
  <c r="F5" i="91" s="1"/>
  <c r="D38" i="91"/>
  <c r="D4" i="91" s="1"/>
  <c r="E40" i="91"/>
  <c r="E6" i="91" s="1"/>
  <c r="D40" i="91"/>
  <c r="D6" i="91" s="1"/>
  <c r="E38" i="91"/>
  <c r="E4" i="91" s="1"/>
  <c r="I40" i="91"/>
  <c r="I6" i="91" s="1"/>
  <c r="I38" i="91"/>
  <c r="I4" i="91" s="1"/>
  <c r="G39" i="91"/>
  <c r="G5" i="91" s="1"/>
  <c r="G37" i="91"/>
  <c r="G3" i="91" s="1"/>
  <c r="F40" i="91"/>
  <c r="F6" i="91" s="1"/>
  <c r="F38" i="91"/>
  <c r="F4" i="91" s="1"/>
  <c r="H37" i="91"/>
  <c r="H3" i="91" s="1"/>
  <c r="H39" i="91"/>
  <c r="H5" i="91" s="1"/>
  <c r="G38" i="91"/>
  <c r="G4" i="91" s="1"/>
  <c r="G40" i="91"/>
  <c r="G6" i="91" s="1"/>
  <c r="D39" i="91"/>
  <c r="D5" i="91" s="1"/>
  <c r="E37" i="91"/>
  <c r="E3" i="91" s="1"/>
  <c r="D37" i="91"/>
  <c r="D3" i="91" s="1"/>
  <c r="E39" i="91"/>
  <c r="E5" i="91" s="1"/>
  <c r="I37" i="91"/>
  <c r="I3" i="91" s="1"/>
  <c r="I39" i="91"/>
  <c r="I5" i="91" s="1"/>
  <c r="H40" i="91"/>
  <c r="H6" i="91" s="1"/>
  <c r="H38" i="91"/>
  <c r="H4" i="91" s="1"/>
  <c r="D74" i="90"/>
  <c r="D72" i="90"/>
  <c r="E74" i="90"/>
  <c r="E72" i="90"/>
  <c r="H75" i="90"/>
  <c r="H73" i="90"/>
  <c r="F74" i="90"/>
  <c r="F72" i="90"/>
  <c r="E75" i="90"/>
  <c r="E73" i="90"/>
  <c r="D75" i="90"/>
  <c r="D73" i="90"/>
  <c r="I75" i="90"/>
  <c r="I73" i="90"/>
  <c r="G74" i="90"/>
  <c r="G72" i="90"/>
  <c r="F75" i="90"/>
  <c r="F73" i="90"/>
  <c r="H74" i="90"/>
  <c r="H72" i="90"/>
  <c r="G75" i="90"/>
  <c r="G73" i="90"/>
  <c r="I74" i="90"/>
  <c r="I72" i="90"/>
  <c r="H34" i="89"/>
  <c r="H3" i="89" s="1"/>
  <c r="H36" i="89"/>
  <c r="H5" i="89" s="1"/>
  <c r="G35" i="89"/>
  <c r="G4" i="89" s="1"/>
  <c r="G37" i="89"/>
  <c r="G6" i="89" s="1"/>
  <c r="F34" i="89"/>
  <c r="F3" i="89" s="1"/>
  <c r="F36" i="89"/>
  <c r="F5" i="89" s="1"/>
  <c r="D35" i="89"/>
  <c r="D4" i="89" s="1"/>
  <c r="D37" i="89"/>
  <c r="D6" i="89" s="1"/>
  <c r="E35" i="89"/>
  <c r="E4" i="89" s="1"/>
  <c r="E37" i="89"/>
  <c r="E6" i="89" s="1"/>
  <c r="I35" i="89"/>
  <c r="I4" i="89" s="1"/>
  <c r="I37" i="89"/>
  <c r="I6" i="89" s="1"/>
  <c r="G34" i="89"/>
  <c r="G3" i="89" s="1"/>
  <c r="G36" i="89"/>
  <c r="G5" i="89" s="1"/>
  <c r="F35" i="89"/>
  <c r="F4" i="89" s="1"/>
  <c r="F37" i="89"/>
  <c r="F6" i="89" s="1"/>
  <c r="E34" i="89"/>
  <c r="E3" i="89" s="1"/>
  <c r="E36" i="89"/>
  <c r="E5" i="89" s="1"/>
  <c r="D34" i="89"/>
  <c r="D3" i="89" s="1"/>
  <c r="D36" i="89"/>
  <c r="D5" i="89" s="1"/>
  <c r="I34" i="89"/>
  <c r="I3" i="89" s="1"/>
  <c r="I36" i="89"/>
  <c r="I5" i="89" s="1"/>
  <c r="H35" i="89"/>
  <c r="H4" i="89" s="1"/>
  <c r="H37" i="89"/>
  <c r="H6" i="89" s="1"/>
  <c r="H37" i="88"/>
  <c r="H5" i="88" s="1"/>
  <c r="H35" i="88"/>
  <c r="H3" i="88" s="1"/>
  <c r="G38" i="88"/>
  <c r="G6" i="88" s="1"/>
  <c r="G36" i="88"/>
  <c r="G4" i="88" s="1"/>
  <c r="D37" i="88"/>
  <c r="D5" i="88" s="1"/>
  <c r="D35" i="88"/>
  <c r="D3" i="88" s="1"/>
  <c r="E37" i="88"/>
  <c r="E5" i="88" s="1"/>
  <c r="E35" i="88"/>
  <c r="E3" i="88" s="1"/>
  <c r="I37" i="88"/>
  <c r="I5" i="88" s="1"/>
  <c r="I35" i="88"/>
  <c r="I3" i="88" s="1"/>
  <c r="H38" i="88"/>
  <c r="H6" i="88" s="1"/>
  <c r="H36" i="88"/>
  <c r="H4" i="88" s="1"/>
  <c r="F37" i="88"/>
  <c r="F5" i="88" s="1"/>
  <c r="F35" i="88"/>
  <c r="F3" i="88" s="1"/>
  <c r="E38" i="88"/>
  <c r="E6" i="88" s="1"/>
  <c r="E36" i="88"/>
  <c r="E4" i="88" s="1"/>
  <c r="D38" i="88"/>
  <c r="D6" i="88" s="1"/>
  <c r="D36" i="88"/>
  <c r="D4" i="88" s="1"/>
  <c r="I38" i="88"/>
  <c r="I6" i="88" s="1"/>
  <c r="I36" i="88"/>
  <c r="I4" i="88" s="1"/>
  <c r="G37" i="88"/>
  <c r="G5" i="88" s="1"/>
  <c r="G35" i="88"/>
  <c r="G3" i="88" s="1"/>
  <c r="F38" i="88"/>
  <c r="F6" i="88" s="1"/>
  <c r="F36" i="88"/>
  <c r="F4" i="88" s="1"/>
  <c r="G42" i="87"/>
  <c r="G40" i="87"/>
  <c r="G60" i="87"/>
  <c r="G81" i="87"/>
  <c r="G62" i="87"/>
  <c r="G83" i="87"/>
  <c r="F59" i="87"/>
  <c r="F41" i="87"/>
  <c r="F80" i="87"/>
  <c r="F61" i="87"/>
  <c r="F39" i="87"/>
  <c r="F82" i="87"/>
  <c r="E40" i="87"/>
  <c r="D40" i="87"/>
  <c r="D60" i="87"/>
  <c r="D81" i="87"/>
  <c r="E60" i="87"/>
  <c r="D62" i="87"/>
  <c r="E42" i="87"/>
  <c r="E83" i="87"/>
  <c r="E81" i="87"/>
  <c r="D42" i="87"/>
  <c r="D83" i="87"/>
  <c r="E62" i="87"/>
  <c r="I83" i="87"/>
  <c r="I62" i="87"/>
  <c r="I42" i="87"/>
  <c r="I40" i="87"/>
  <c r="I81" i="87"/>
  <c r="I60" i="87"/>
  <c r="G61" i="87"/>
  <c r="G39" i="87"/>
  <c r="G59" i="87"/>
  <c r="G41" i="87"/>
  <c r="G82" i="87"/>
  <c r="G80" i="87"/>
  <c r="F42" i="87"/>
  <c r="F83" i="87"/>
  <c r="F40" i="87"/>
  <c r="F60" i="87"/>
  <c r="F81" i="87"/>
  <c r="F62" i="87"/>
  <c r="H39" i="87"/>
  <c r="H59" i="87"/>
  <c r="H41" i="87"/>
  <c r="H82" i="87"/>
  <c r="H80" i="87"/>
  <c r="H61" i="87"/>
  <c r="E82" i="87"/>
  <c r="E61" i="87"/>
  <c r="E41" i="87"/>
  <c r="E39" i="87"/>
  <c r="E80" i="87"/>
  <c r="D39" i="87"/>
  <c r="D59" i="87"/>
  <c r="E59" i="87"/>
  <c r="D41" i="87"/>
  <c r="D82" i="87"/>
  <c r="D80" i="87"/>
  <c r="D61" i="87"/>
  <c r="I82" i="87"/>
  <c r="I61" i="87"/>
  <c r="I41" i="87"/>
  <c r="I80" i="87"/>
  <c r="I59" i="87"/>
  <c r="I39" i="87"/>
  <c r="H40" i="87"/>
  <c r="H60" i="87"/>
  <c r="H81" i="87"/>
  <c r="H42" i="87"/>
  <c r="H83" i="87"/>
  <c r="H62" i="87"/>
  <c r="C43" i="38"/>
  <c r="G43" i="38" s="1"/>
  <c r="G4" i="38" s="1"/>
  <c r="C44" i="38"/>
  <c r="D44" i="38" s="1"/>
  <c r="D5" i="38" s="1"/>
  <c r="C45" i="38"/>
  <c r="D45" i="38" s="1"/>
  <c r="D6" i="38" s="1"/>
  <c r="C38" i="39"/>
  <c r="E38" i="39" s="1"/>
  <c r="E6" i="39" s="1"/>
  <c r="I36" i="86"/>
  <c r="I3" i="86" s="1"/>
  <c r="I38" i="86"/>
  <c r="I5" i="86" s="1"/>
  <c r="D37" i="86"/>
  <c r="D4" i="86" s="1"/>
  <c r="D39" i="86"/>
  <c r="D6" i="86" s="1"/>
  <c r="E39" i="86"/>
  <c r="E6" i="86" s="1"/>
  <c r="E37" i="86"/>
  <c r="E4" i="86" s="1"/>
  <c r="I37" i="86"/>
  <c r="I4" i="86" s="1"/>
  <c r="I39" i="86"/>
  <c r="I6" i="86" s="1"/>
  <c r="H36" i="86"/>
  <c r="H3" i="86" s="1"/>
  <c r="H38" i="86"/>
  <c r="H5" i="86" s="1"/>
  <c r="G37" i="86"/>
  <c r="G4" i="86" s="1"/>
  <c r="G39" i="86"/>
  <c r="G6" i="86" s="1"/>
  <c r="E36" i="86"/>
  <c r="E3" i="86" s="1"/>
  <c r="D36" i="86"/>
  <c r="D3" i="86" s="1"/>
  <c r="D38" i="86"/>
  <c r="D5" i="86" s="1"/>
  <c r="E38" i="86"/>
  <c r="E5" i="86" s="1"/>
  <c r="H37" i="86"/>
  <c r="H4" i="86" s="1"/>
  <c r="H39" i="86"/>
  <c r="H6" i="86" s="1"/>
  <c r="F36" i="86"/>
  <c r="F3" i="86" s="1"/>
  <c r="F38" i="86"/>
  <c r="F5" i="86" s="1"/>
  <c r="G36" i="86"/>
  <c r="G3" i="86" s="1"/>
  <c r="G38" i="86"/>
  <c r="G5" i="86" s="1"/>
  <c r="F39" i="86"/>
  <c r="F6" i="86" s="1"/>
  <c r="F37" i="86"/>
  <c r="F4" i="86" s="1"/>
  <c r="D31" i="85"/>
  <c r="D3" i="85" s="1"/>
  <c r="D33" i="85"/>
  <c r="D5" i="85" s="1"/>
  <c r="E31" i="85"/>
  <c r="E3" i="85" s="1"/>
  <c r="E33" i="85"/>
  <c r="E5" i="85" s="1"/>
  <c r="H34" i="85"/>
  <c r="H6" i="85" s="1"/>
  <c r="H32" i="85"/>
  <c r="H4" i="85" s="1"/>
  <c r="F33" i="85"/>
  <c r="F5" i="85" s="1"/>
  <c r="F31" i="85"/>
  <c r="F3" i="85" s="1"/>
  <c r="E32" i="85"/>
  <c r="E4" i="85" s="1"/>
  <c r="D34" i="85"/>
  <c r="D6" i="85" s="1"/>
  <c r="D32" i="85"/>
  <c r="D4" i="85" s="1"/>
  <c r="E34" i="85"/>
  <c r="E6" i="85" s="1"/>
  <c r="I32" i="85"/>
  <c r="I4" i="85" s="1"/>
  <c r="I34" i="85"/>
  <c r="I6" i="85" s="1"/>
  <c r="H33" i="85"/>
  <c r="H5" i="85" s="1"/>
  <c r="H31" i="85"/>
  <c r="H3" i="85" s="1"/>
  <c r="G32" i="85"/>
  <c r="G4" i="85" s="1"/>
  <c r="G34" i="85"/>
  <c r="G6" i="85" s="1"/>
  <c r="I31" i="85"/>
  <c r="I3" i="85" s="1"/>
  <c r="I33" i="85"/>
  <c r="I5" i="85" s="1"/>
  <c r="G33" i="85"/>
  <c r="G5" i="85" s="1"/>
  <c r="G31" i="85"/>
  <c r="G3" i="85" s="1"/>
  <c r="F34" i="85"/>
  <c r="F6" i="85" s="1"/>
  <c r="F32" i="85"/>
  <c r="F4" i="85" s="1"/>
  <c r="D37" i="84"/>
  <c r="D3" i="84" s="1"/>
  <c r="E39" i="84"/>
  <c r="E5" i="84" s="1"/>
  <c r="E37" i="84"/>
  <c r="E3" i="84" s="1"/>
  <c r="D39" i="84"/>
  <c r="D5" i="84" s="1"/>
  <c r="H38" i="84"/>
  <c r="H4" i="84" s="1"/>
  <c r="H40" i="84"/>
  <c r="H6" i="84" s="1"/>
  <c r="F39" i="84"/>
  <c r="F5" i="84" s="1"/>
  <c r="F37" i="84"/>
  <c r="F3" i="84" s="1"/>
  <c r="D38" i="84"/>
  <c r="D4" i="84" s="1"/>
  <c r="D40" i="84"/>
  <c r="D6" i="84" s="1"/>
  <c r="E38" i="84"/>
  <c r="E4" i="84" s="1"/>
  <c r="E40" i="84"/>
  <c r="E6" i="84" s="1"/>
  <c r="I38" i="84"/>
  <c r="I4" i="84" s="1"/>
  <c r="I40" i="84"/>
  <c r="I6" i="84" s="1"/>
  <c r="H39" i="84"/>
  <c r="H5" i="84" s="1"/>
  <c r="H37" i="84"/>
  <c r="H3" i="84" s="1"/>
  <c r="G40" i="84"/>
  <c r="G6" i="84" s="1"/>
  <c r="G38" i="84"/>
  <c r="G4" i="84" s="1"/>
  <c r="I39" i="84"/>
  <c r="I5" i="84" s="1"/>
  <c r="I37" i="84"/>
  <c r="I3" i="84" s="1"/>
  <c r="G37" i="84"/>
  <c r="G3" i="84" s="1"/>
  <c r="G39" i="84"/>
  <c r="G5" i="84" s="1"/>
  <c r="F40" i="84"/>
  <c r="F6" i="84" s="1"/>
  <c r="F38" i="84"/>
  <c r="F4" i="84" s="1"/>
  <c r="D44" i="83"/>
  <c r="D3" i="83" s="1"/>
  <c r="E44" i="83"/>
  <c r="E3" i="83" s="1"/>
  <c r="E46" i="83"/>
  <c r="E5" i="83" s="1"/>
  <c r="D46" i="83"/>
  <c r="D5" i="83" s="1"/>
  <c r="H45" i="83"/>
  <c r="H4" i="83" s="1"/>
  <c r="H47" i="83"/>
  <c r="H6" i="83" s="1"/>
  <c r="F44" i="83"/>
  <c r="F3" i="83" s="1"/>
  <c r="F46" i="83"/>
  <c r="F5" i="83" s="1"/>
  <c r="D45" i="83"/>
  <c r="D4" i="83" s="1"/>
  <c r="E45" i="83"/>
  <c r="E4" i="83" s="1"/>
  <c r="E47" i="83"/>
  <c r="E6" i="83" s="1"/>
  <c r="D47" i="83"/>
  <c r="D6" i="83" s="1"/>
  <c r="I47" i="83"/>
  <c r="I6" i="83" s="1"/>
  <c r="I45" i="83"/>
  <c r="I4" i="83" s="1"/>
  <c r="H44" i="83"/>
  <c r="H3" i="83" s="1"/>
  <c r="H46" i="83"/>
  <c r="H5" i="83" s="1"/>
  <c r="G45" i="83"/>
  <c r="G4" i="83" s="1"/>
  <c r="G47" i="83"/>
  <c r="G6" i="83" s="1"/>
  <c r="I44" i="83"/>
  <c r="I3" i="83" s="1"/>
  <c r="I46" i="83"/>
  <c r="I5" i="83" s="1"/>
  <c r="G46" i="83"/>
  <c r="G5" i="83" s="1"/>
  <c r="G44" i="83"/>
  <c r="G3" i="83" s="1"/>
  <c r="F45" i="83"/>
  <c r="F4" i="83" s="1"/>
  <c r="F47" i="83"/>
  <c r="F6" i="83" s="1"/>
  <c r="I36" i="82"/>
  <c r="I3" i="82" s="1"/>
  <c r="I38" i="82"/>
  <c r="I5" i="82" s="1"/>
  <c r="F36" i="82"/>
  <c r="F3" i="82" s="1"/>
  <c r="F38" i="82"/>
  <c r="F5" i="82" s="1"/>
  <c r="G38" i="82"/>
  <c r="G5" i="82" s="1"/>
  <c r="G36" i="82"/>
  <c r="G3" i="82" s="1"/>
  <c r="H38" i="82"/>
  <c r="H5" i="82" s="1"/>
  <c r="H36" i="82"/>
  <c r="H3" i="82" s="1"/>
  <c r="G39" i="82"/>
  <c r="G6" i="82" s="1"/>
  <c r="G37" i="82"/>
  <c r="G4" i="82" s="1"/>
  <c r="D38" i="82"/>
  <c r="D5" i="82" s="1"/>
  <c r="D36" i="82"/>
  <c r="D3" i="82" s="1"/>
  <c r="E38" i="82"/>
  <c r="E5" i="82" s="1"/>
  <c r="E36" i="82"/>
  <c r="E3" i="82" s="1"/>
  <c r="H39" i="82"/>
  <c r="H6" i="82" s="1"/>
  <c r="H37" i="82"/>
  <c r="H4" i="82" s="1"/>
  <c r="E39" i="82"/>
  <c r="E6" i="82" s="1"/>
  <c r="D39" i="82"/>
  <c r="D6" i="82" s="1"/>
  <c r="D37" i="82"/>
  <c r="D4" i="82" s="1"/>
  <c r="E37" i="82"/>
  <c r="E4" i="82" s="1"/>
  <c r="I39" i="82"/>
  <c r="I6" i="82" s="1"/>
  <c r="I37" i="82"/>
  <c r="I4" i="82" s="1"/>
  <c r="F37" i="82"/>
  <c r="F4" i="82" s="1"/>
  <c r="F39" i="82"/>
  <c r="F6" i="82" s="1"/>
  <c r="H38" i="79"/>
  <c r="H3" i="79" s="1"/>
  <c r="H40" i="79"/>
  <c r="H5" i="79" s="1"/>
  <c r="G39" i="79"/>
  <c r="G4" i="79" s="1"/>
  <c r="G41" i="79"/>
  <c r="G6" i="79" s="1"/>
  <c r="E38" i="79"/>
  <c r="E3" i="79" s="1"/>
  <c r="E40" i="79"/>
  <c r="E5" i="79" s="1"/>
  <c r="D38" i="79"/>
  <c r="D3" i="79" s="1"/>
  <c r="D40" i="79"/>
  <c r="D5" i="79" s="1"/>
  <c r="I38" i="79"/>
  <c r="I3" i="79" s="1"/>
  <c r="I40" i="79"/>
  <c r="I5" i="79" s="1"/>
  <c r="H39" i="79"/>
  <c r="H4" i="79" s="1"/>
  <c r="H41" i="79"/>
  <c r="H6" i="79" s="1"/>
  <c r="F38" i="79"/>
  <c r="F3" i="79" s="1"/>
  <c r="F40" i="79"/>
  <c r="F5" i="79" s="1"/>
  <c r="D39" i="79"/>
  <c r="D4" i="79" s="1"/>
  <c r="D41" i="79"/>
  <c r="D6" i="79" s="1"/>
  <c r="E39" i="79"/>
  <c r="E4" i="79" s="1"/>
  <c r="E41" i="79"/>
  <c r="E6" i="79" s="1"/>
  <c r="I39" i="79"/>
  <c r="I4" i="79" s="1"/>
  <c r="I41" i="79"/>
  <c r="I6" i="79" s="1"/>
  <c r="G38" i="79"/>
  <c r="G3" i="79" s="1"/>
  <c r="G40" i="79"/>
  <c r="G5" i="79" s="1"/>
  <c r="F39" i="79"/>
  <c r="F4" i="79" s="1"/>
  <c r="F41" i="79"/>
  <c r="F6" i="79" s="1"/>
  <c r="I35" i="78"/>
  <c r="I5" i="78" s="1"/>
  <c r="I33" i="78"/>
  <c r="I3" i="78" s="1"/>
  <c r="F35" i="78"/>
  <c r="F5" i="78" s="1"/>
  <c r="F33" i="78"/>
  <c r="F3" i="78" s="1"/>
  <c r="G35" i="78"/>
  <c r="G5" i="78" s="1"/>
  <c r="G33" i="78"/>
  <c r="G3" i="78" s="1"/>
  <c r="H35" i="78"/>
  <c r="H5" i="78" s="1"/>
  <c r="H33" i="78"/>
  <c r="H3" i="78" s="1"/>
  <c r="G34" i="78"/>
  <c r="G4" i="78" s="1"/>
  <c r="G36" i="78"/>
  <c r="G6" i="78" s="1"/>
  <c r="E35" i="78"/>
  <c r="E5" i="78" s="1"/>
  <c r="E33" i="78"/>
  <c r="E3" i="78" s="1"/>
  <c r="D35" i="78"/>
  <c r="D5" i="78" s="1"/>
  <c r="D33" i="78"/>
  <c r="D3" i="78" s="1"/>
  <c r="H34" i="78"/>
  <c r="H4" i="78" s="1"/>
  <c r="H36" i="78"/>
  <c r="H6" i="78" s="1"/>
  <c r="D34" i="78"/>
  <c r="D4" i="78" s="1"/>
  <c r="D36" i="78"/>
  <c r="D6" i="78" s="1"/>
  <c r="E34" i="78"/>
  <c r="E4" i="78" s="1"/>
  <c r="E36" i="78"/>
  <c r="E6" i="78" s="1"/>
  <c r="I34" i="78"/>
  <c r="I4" i="78" s="1"/>
  <c r="I36" i="78"/>
  <c r="I6" i="78" s="1"/>
  <c r="F34" i="78"/>
  <c r="F4" i="78" s="1"/>
  <c r="F36" i="78"/>
  <c r="F6" i="78" s="1"/>
  <c r="D35" i="77"/>
  <c r="D5" i="77" s="1"/>
  <c r="D33" i="77"/>
  <c r="D3" i="77" s="1"/>
  <c r="E33" i="77"/>
  <c r="E3" i="77" s="1"/>
  <c r="E35" i="77"/>
  <c r="E5" i="77" s="1"/>
  <c r="F33" i="77"/>
  <c r="F3" i="77" s="1"/>
  <c r="F35" i="77"/>
  <c r="F5" i="77" s="1"/>
  <c r="I36" i="77"/>
  <c r="I6" i="77" s="1"/>
  <c r="I34" i="77"/>
  <c r="I4" i="77" s="1"/>
  <c r="G35" i="77"/>
  <c r="G5" i="77" s="1"/>
  <c r="G33" i="77"/>
  <c r="G3" i="77" s="1"/>
  <c r="F36" i="77"/>
  <c r="F6" i="77" s="1"/>
  <c r="F34" i="77"/>
  <c r="F4" i="77" s="1"/>
  <c r="H35" i="77"/>
  <c r="H5" i="77" s="1"/>
  <c r="H33" i="77"/>
  <c r="H3" i="77" s="1"/>
  <c r="G36" i="77"/>
  <c r="G6" i="77" s="1"/>
  <c r="G34" i="77"/>
  <c r="G4" i="77" s="1"/>
  <c r="I35" i="77"/>
  <c r="I5" i="77" s="1"/>
  <c r="I33" i="77"/>
  <c r="I3" i="77" s="1"/>
  <c r="H36" i="77"/>
  <c r="H6" i="77" s="1"/>
  <c r="H34" i="77"/>
  <c r="H4" i="77" s="1"/>
  <c r="D36" i="77"/>
  <c r="D6" i="77" s="1"/>
  <c r="E36" i="77"/>
  <c r="E6" i="77" s="1"/>
  <c r="E34" i="77"/>
  <c r="E4" i="77" s="1"/>
  <c r="D34" i="77"/>
  <c r="D4" i="77" s="1"/>
  <c r="F60" i="76"/>
  <c r="F38" i="76"/>
  <c r="F78" i="76"/>
  <c r="F40" i="76"/>
  <c r="F58" i="76"/>
  <c r="F80" i="76"/>
  <c r="I59" i="76"/>
  <c r="I41" i="76"/>
  <c r="I39" i="76"/>
  <c r="I61" i="76"/>
  <c r="I81" i="76"/>
  <c r="I79" i="76"/>
  <c r="H60" i="76"/>
  <c r="H78" i="76"/>
  <c r="H40" i="76"/>
  <c r="H58" i="76"/>
  <c r="H80" i="76"/>
  <c r="H38" i="76"/>
  <c r="G59" i="76"/>
  <c r="G81" i="76"/>
  <c r="G39" i="76"/>
  <c r="G61" i="76"/>
  <c r="G79" i="76"/>
  <c r="G41" i="76"/>
  <c r="E40" i="76"/>
  <c r="D40" i="76"/>
  <c r="E60" i="76"/>
  <c r="E38" i="76"/>
  <c r="D58" i="76"/>
  <c r="D80" i="76"/>
  <c r="E80" i="76"/>
  <c r="D60" i="76"/>
  <c r="D38" i="76"/>
  <c r="E58" i="76"/>
  <c r="E78" i="76"/>
  <c r="D78" i="76"/>
  <c r="I40" i="76"/>
  <c r="I60" i="76"/>
  <c r="I38" i="76"/>
  <c r="I80" i="76"/>
  <c r="I78" i="76"/>
  <c r="I58" i="76"/>
  <c r="H39" i="76"/>
  <c r="H61" i="76"/>
  <c r="H79" i="76"/>
  <c r="H81" i="76"/>
  <c r="H59" i="76"/>
  <c r="H41" i="76"/>
  <c r="E41" i="76"/>
  <c r="D61" i="76"/>
  <c r="D79" i="76"/>
  <c r="E39" i="76"/>
  <c r="D59" i="76"/>
  <c r="D41" i="76"/>
  <c r="E61" i="76"/>
  <c r="E79" i="76"/>
  <c r="D81" i="76"/>
  <c r="D39" i="76"/>
  <c r="E59" i="76"/>
  <c r="E81" i="76"/>
  <c r="G40" i="76"/>
  <c r="G58" i="76"/>
  <c r="G60" i="76"/>
  <c r="G38" i="76"/>
  <c r="G78" i="76"/>
  <c r="G80" i="76"/>
  <c r="F41" i="76"/>
  <c r="F39" i="76"/>
  <c r="F61" i="76"/>
  <c r="F79" i="76"/>
  <c r="F59" i="76"/>
  <c r="F81" i="76"/>
  <c r="D83" i="74"/>
  <c r="E38" i="75"/>
  <c r="E5" i="75" s="1"/>
  <c r="E51" i="74"/>
  <c r="D36" i="75"/>
  <c r="D3" i="75" s="1"/>
  <c r="D38" i="75"/>
  <c r="D5" i="75" s="1"/>
  <c r="E83" i="74"/>
  <c r="D51" i="74"/>
  <c r="E36" i="75"/>
  <c r="E3" i="75" s="1"/>
  <c r="D121" i="74"/>
  <c r="D81" i="74"/>
  <c r="E81" i="74"/>
  <c r="D49" i="74"/>
  <c r="H39" i="75"/>
  <c r="H6" i="75" s="1"/>
  <c r="H37" i="75"/>
  <c r="H4" i="75" s="1"/>
  <c r="H50" i="74"/>
  <c r="H52" i="74"/>
  <c r="H82" i="74"/>
  <c r="H84" i="74"/>
  <c r="F51" i="74"/>
  <c r="F83" i="74"/>
  <c r="F36" i="75"/>
  <c r="F3" i="75" s="1"/>
  <c r="F38" i="75"/>
  <c r="F5" i="75" s="1"/>
  <c r="F81" i="74"/>
  <c r="F49" i="74"/>
  <c r="D39" i="75"/>
  <c r="D6" i="75" s="1"/>
  <c r="E39" i="75"/>
  <c r="E6" i="75" s="1"/>
  <c r="E37" i="75"/>
  <c r="E4" i="75" s="1"/>
  <c r="D37" i="75"/>
  <c r="D4" i="75" s="1"/>
  <c r="D50" i="74"/>
  <c r="E52" i="74"/>
  <c r="E84" i="74"/>
  <c r="E82" i="74"/>
  <c r="D84" i="74"/>
  <c r="E50" i="74"/>
  <c r="D52" i="74"/>
  <c r="D82" i="74"/>
  <c r="I39" i="75"/>
  <c r="I6" i="75" s="1"/>
  <c r="I37" i="75"/>
  <c r="I4" i="75" s="1"/>
  <c r="I82" i="74"/>
  <c r="I50" i="74"/>
  <c r="I52" i="74"/>
  <c r="I84" i="74"/>
  <c r="H36" i="75"/>
  <c r="H3" i="75" s="1"/>
  <c r="H38" i="75"/>
  <c r="H5" i="75" s="1"/>
  <c r="H83" i="74"/>
  <c r="H51" i="74"/>
  <c r="H81" i="74"/>
  <c r="H49" i="74"/>
  <c r="G39" i="75"/>
  <c r="G6" i="75" s="1"/>
  <c r="G37" i="75"/>
  <c r="G4" i="75" s="1"/>
  <c r="G50" i="74"/>
  <c r="G82" i="74"/>
  <c r="G84" i="74"/>
  <c r="G52" i="74"/>
  <c r="I38" i="75"/>
  <c r="I5" i="75" s="1"/>
  <c r="I83" i="74"/>
  <c r="I36" i="75"/>
  <c r="I3" i="75" s="1"/>
  <c r="I51" i="74"/>
  <c r="I81" i="74"/>
  <c r="I49" i="74"/>
  <c r="G51" i="74"/>
  <c r="G36" i="75"/>
  <c r="G3" i="75" s="1"/>
  <c r="G38" i="75"/>
  <c r="G5" i="75" s="1"/>
  <c r="G83" i="74"/>
  <c r="G49" i="74"/>
  <c r="G81" i="74"/>
  <c r="F39" i="75"/>
  <c r="F6" i="75" s="1"/>
  <c r="F37" i="75"/>
  <c r="F4" i="75" s="1"/>
  <c r="F52" i="74"/>
  <c r="F50" i="74"/>
  <c r="F82" i="74"/>
  <c r="F84" i="74"/>
  <c r="H121" i="74"/>
  <c r="H123" i="74"/>
  <c r="D123" i="74"/>
  <c r="E121" i="74"/>
  <c r="E123" i="74"/>
  <c r="I121" i="74"/>
  <c r="I123" i="74"/>
  <c r="H122" i="74"/>
  <c r="H124" i="74"/>
  <c r="F123" i="74"/>
  <c r="F121" i="74"/>
  <c r="D122" i="74"/>
  <c r="D124" i="74"/>
  <c r="E122" i="74"/>
  <c r="E124" i="74"/>
  <c r="I122" i="74"/>
  <c r="I124" i="74"/>
  <c r="G122" i="74"/>
  <c r="G124" i="74"/>
  <c r="G121" i="74"/>
  <c r="G123" i="74"/>
  <c r="F122" i="74"/>
  <c r="F124" i="74"/>
  <c r="H37" i="73"/>
  <c r="H5" i="73" s="1"/>
  <c r="H35" i="73"/>
  <c r="H3" i="73" s="1"/>
  <c r="G38" i="73"/>
  <c r="G6" i="73" s="1"/>
  <c r="G36" i="73"/>
  <c r="G4" i="73" s="1"/>
  <c r="I37" i="73"/>
  <c r="I5" i="73" s="1"/>
  <c r="I35" i="73"/>
  <c r="I3" i="73" s="1"/>
  <c r="F37" i="73"/>
  <c r="F5" i="73" s="1"/>
  <c r="F35" i="73"/>
  <c r="F3" i="73" s="1"/>
  <c r="E36" i="73"/>
  <c r="E4" i="73" s="1"/>
  <c r="D38" i="73"/>
  <c r="D6" i="73" s="1"/>
  <c r="D36" i="73"/>
  <c r="D4" i="73" s="1"/>
  <c r="E38" i="73"/>
  <c r="E6" i="73" s="1"/>
  <c r="I38" i="73"/>
  <c r="I6" i="73" s="1"/>
  <c r="I36" i="73"/>
  <c r="I4" i="73" s="1"/>
  <c r="D35" i="73"/>
  <c r="D3" i="73" s="1"/>
  <c r="E37" i="73"/>
  <c r="E5" i="73" s="1"/>
  <c r="E35" i="73"/>
  <c r="E3" i="73" s="1"/>
  <c r="D37" i="73"/>
  <c r="D5" i="73" s="1"/>
  <c r="H36" i="73"/>
  <c r="H4" i="73" s="1"/>
  <c r="H38" i="73"/>
  <c r="H6" i="73" s="1"/>
  <c r="G35" i="73"/>
  <c r="G3" i="73" s="1"/>
  <c r="G37" i="73"/>
  <c r="G5" i="73" s="1"/>
  <c r="F36" i="73"/>
  <c r="F4" i="73" s="1"/>
  <c r="F38" i="73"/>
  <c r="F6" i="73" s="1"/>
  <c r="D37" i="72"/>
  <c r="D3" i="72" s="1"/>
  <c r="E39" i="72"/>
  <c r="E5" i="72" s="1"/>
  <c r="E37" i="72"/>
  <c r="E3" i="72" s="1"/>
  <c r="D39" i="72"/>
  <c r="D5" i="72" s="1"/>
  <c r="H38" i="72"/>
  <c r="H4" i="72" s="1"/>
  <c r="H40" i="72"/>
  <c r="H6" i="72" s="1"/>
  <c r="F39" i="72"/>
  <c r="F5" i="72" s="1"/>
  <c r="F37" i="72"/>
  <c r="F3" i="72" s="1"/>
  <c r="E38" i="72"/>
  <c r="E4" i="72" s="1"/>
  <c r="D40" i="72"/>
  <c r="D6" i="72" s="1"/>
  <c r="D38" i="72"/>
  <c r="D4" i="72" s="1"/>
  <c r="E40" i="72"/>
  <c r="E6" i="72" s="1"/>
  <c r="I40" i="72"/>
  <c r="I6" i="72" s="1"/>
  <c r="I38" i="72"/>
  <c r="I4" i="72" s="1"/>
  <c r="H39" i="72"/>
  <c r="H5" i="72" s="1"/>
  <c r="H37" i="72"/>
  <c r="H3" i="72" s="1"/>
  <c r="G40" i="72"/>
  <c r="G6" i="72" s="1"/>
  <c r="G38" i="72"/>
  <c r="G4" i="72" s="1"/>
  <c r="I37" i="72"/>
  <c r="I3" i="72" s="1"/>
  <c r="I39" i="72"/>
  <c r="I5" i="72" s="1"/>
  <c r="G37" i="72"/>
  <c r="G3" i="72" s="1"/>
  <c r="G39" i="72"/>
  <c r="G5" i="72" s="1"/>
  <c r="F38" i="72"/>
  <c r="F4" i="72" s="1"/>
  <c r="F40" i="72"/>
  <c r="F6" i="72" s="1"/>
  <c r="D35" i="71"/>
  <c r="D3" i="71" s="1"/>
  <c r="D37" i="71"/>
  <c r="D5" i="71" s="1"/>
  <c r="E35" i="71"/>
  <c r="E3" i="71" s="1"/>
  <c r="E37" i="71"/>
  <c r="E5" i="71" s="1"/>
  <c r="F35" i="71"/>
  <c r="F3" i="71" s="1"/>
  <c r="F37" i="71"/>
  <c r="F5" i="71" s="1"/>
  <c r="H35" i="71"/>
  <c r="H3" i="71" s="1"/>
  <c r="H37" i="71"/>
  <c r="H5" i="71" s="1"/>
  <c r="G38" i="71"/>
  <c r="G6" i="71" s="1"/>
  <c r="G36" i="71"/>
  <c r="G4" i="71" s="1"/>
  <c r="I35" i="71"/>
  <c r="I3" i="71" s="1"/>
  <c r="I37" i="71"/>
  <c r="I5" i="71" s="1"/>
  <c r="H38" i="71"/>
  <c r="H6" i="71" s="1"/>
  <c r="H36" i="71"/>
  <c r="H4" i="71" s="1"/>
  <c r="E38" i="71"/>
  <c r="E6" i="71" s="1"/>
  <c r="E36" i="71"/>
  <c r="E4" i="71" s="1"/>
  <c r="D38" i="71"/>
  <c r="D6" i="71" s="1"/>
  <c r="D36" i="71"/>
  <c r="D4" i="71" s="1"/>
  <c r="I38" i="71"/>
  <c r="I6" i="71" s="1"/>
  <c r="I36" i="71"/>
  <c r="I4" i="71" s="1"/>
  <c r="G35" i="71"/>
  <c r="G3" i="71" s="1"/>
  <c r="G37" i="71"/>
  <c r="G5" i="71" s="1"/>
  <c r="F38" i="71"/>
  <c r="F6" i="71" s="1"/>
  <c r="F36" i="71"/>
  <c r="F4" i="71" s="1"/>
  <c r="I50" i="70"/>
  <c r="I48" i="70"/>
  <c r="D51" i="70"/>
  <c r="E51" i="70"/>
  <c r="I51" i="70"/>
  <c r="G48" i="70"/>
  <c r="G50" i="70"/>
  <c r="F51" i="70"/>
  <c r="D50" i="70"/>
  <c r="E48" i="70"/>
  <c r="E50" i="70"/>
  <c r="D48" i="70"/>
  <c r="H51" i="70"/>
  <c r="F50" i="70"/>
  <c r="F48" i="70"/>
  <c r="H48" i="70"/>
  <c r="H50" i="70"/>
  <c r="G51" i="70"/>
  <c r="D35" i="69"/>
  <c r="D3" i="69" s="1"/>
  <c r="E37" i="69"/>
  <c r="E5" i="69" s="1"/>
  <c r="E35" i="69"/>
  <c r="E3" i="69" s="1"/>
  <c r="D37" i="69"/>
  <c r="D5" i="69" s="1"/>
  <c r="F37" i="69"/>
  <c r="F5" i="69" s="1"/>
  <c r="F35" i="69"/>
  <c r="F3" i="69" s="1"/>
  <c r="G35" i="69"/>
  <c r="G3" i="69" s="1"/>
  <c r="G37" i="69"/>
  <c r="G5" i="69" s="1"/>
  <c r="F36" i="69"/>
  <c r="F4" i="69" s="1"/>
  <c r="F38" i="69"/>
  <c r="F6" i="69" s="1"/>
  <c r="I35" i="69"/>
  <c r="I3" i="69" s="1"/>
  <c r="I37" i="69"/>
  <c r="I5" i="69" s="1"/>
  <c r="H38" i="69"/>
  <c r="H6" i="69" s="1"/>
  <c r="H36" i="69"/>
  <c r="H4" i="69" s="1"/>
  <c r="E36" i="69"/>
  <c r="E4" i="69" s="1"/>
  <c r="D38" i="69"/>
  <c r="D6" i="69" s="1"/>
  <c r="D36" i="69"/>
  <c r="D4" i="69" s="1"/>
  <c r="E38" i="69"/>
  <c r="E6" i="69" s="1"/>
  <c r="I38" i="69"/>
  <c r="I6" i="69" s="1"/>
  <c r="I36" i="69"/>
  <c r="I4" i="69" s="1"/>
  <c r="H37" i="69"/>
  <c r="H5" i="69" s="1"/>
  <c r="H35" i="69"/>
  <c r="H3" i="69" s="1"/>
  <c r="G38" i="69"/>
  <c r="G6" i="69" s="1"/>
  <c r="G36" i="69"/>
  <c r="G4" i="69" s="1"/>
  <c r="F58" i="42"/>
  <c r="E57" i="42"/>
  <c r="E35" i="67"/>
  <c r="D35" i="67"/>
  <c r="E33" i="67"/>
  <c r="D55" i="67"/>
  <c r="E55" i="67"/>
  <c r="E53" i="67"/>
  <c r="D33" i="67"/>
  <c r="D53" i="67"/>
  <c r="D54" i="67"/>
  <c r="E36" i="67"/>
  <c r="E56" i="67"/>
  <c r="E34" i="67"/>
  <c r="D56" i="67"/>
  <c r="E54" i="67"/>
  <c r="D34" i="67"/>
  <c r="D36" i="67"/>
  <c r="I37" i="64"/>
  <c r="I4" i="64" s="1"/>
  <c r="I56" i="67"/>
  <c r="I34" i="67"/>
  <c r="I54" i="67"/>
  <c r="I36" i="67"/>
  <c r="G38" i="64"/>
  <c r="G5" i="64" s="1"/>
  <c r="G33" i="67"/>
  <c r="G55" i="67"/>
  <c r="G35" i="67"/>
  <c r="G53" i="67"/>
  <c r="F37" i="64"/>
  <c r="F4" i="64" s="1"/>
  <c r="F34" i="67"/>
  <c r="F54" i="67"/>
  <c r="F36" i="67"/>
  <c r="F56" i="67"/>
  <c r="F44" i="66"/>
  <c r="I57" i="42"/>
  <c r="I33" i="67"/>
  <c r="I53" i="67"/>
  <c r="I35" i="67"/>
  <c r="I55" i="67"/>
  <c r="H37" i="64"/>
  <c r="H4" i="64" s="1"/>
  <c r="H56" i="67"/>
  <c r="H54" i="67"/>
  <c r="H34" i="67"/>
  <c r="H36" i="67"/>
  <c r="F36" i="64"/>
  <c r="F3" i="64" s="1"/>
  <c r="F33" i="67"/>
  <c r="F55" i="67"/>
  <c r="F35" i="67"/>
  <c r="F53" i="67"/>
  <c r="I43" i="66"/>
  <c r="H36" i="64"/>
  <c r="H3" i="64" s="1"/>
  <c r="H53" i="67"/>
  <c r="H33" i="67"/>
  <c r="H55" i="67"/>
  <c r="H35" i="67"/>
  <c r="G36" i="67"/>
  <c r="G56" i="67"/>
  <c r="G54" i="67"/>
  <c r="G34" i="67"/>
  <c r="G57" i="42"/>
  <c r="E44" i="66"/>
  <c r="G37" i="64"/>
  <c r="G4" i="64" s="1"/>
  <c r="G62" i="65"/>
  <c r="D43" i="66"/>
  <c r="G44" i="66"/>
  <c r="H43" i="66"/>
  <c r="D39" i="64"/>
  <c r="D6" i="64" s="1"/>
  <c r="H57" i="42"/>
  <c r="G39" i="64"/>
  <c r="G6" i="64" s="1"/>
  <c r="H63" i="65"/>
  <c r="G44" i="65"/>
  <c r="G56" i="42"/>
  <c r="H38" i="64"/>
  <c r="H5" i="64" s="1"/>
  <c r="H44" i="66"/>
  <c r="G43" i="66"/>
  <c r="E43" i="66"/>
  <c r="G58" i="42"/>
  <c r="G64" i="65"/>
  <c r="D44" i="66"/>
  <c r="I44" i="66"/>
  <c r="F43" i="66"/>
  <c r="D62" i="65"/>
  <c r="E62" i="65"/>
  <c r="D63" i="65"/>
  <c r="E63" i="65"/>
  <c r="D64" i="65"/>
  <c r="E64" i="65"/>
  <c r="H62" i="65"/>
  <c r="I62" i="65"/>
  <c r="I63" i="65"/>
  <c r="H64" i="65"/>
  <c r="I64" i="65"/>
  <c r="D44" i="65"/>
  <c r="H56" i="42"/>
  <c r="I38" i="64"/>
  <c r="I5" i="64" s="1"/>
  <c r="F43" i="65"/>
  <c r="H43" i="65"/>
  <c r="D43" i="65"/>
  <c r="G43" i="65"/>
  <c r="I43" i="65"/>
  <c r="E43" i="65"/>
  <c r="F62" i="65"/>
  <c r="F63" i="65"/>
  <c r="F64" i="65"/>
  <c r="E44" i="65"/>
  <c r="H44" i="65"/>
  <c r="I36" i="64"/>
  <c r="I3" i="64" s="1"/>
  <c r="F42" i="65"/>
  <c r="I42" i="65"/>
  <c r="H42" i="65"/>
  <c r="D42" i="65"/>
  <c r="G42" i="65"/>
  <c r="E42" i="65"/>
  <c r="G63" i="65"/>
  <c r="I44" i="65"/>
  <c r="F44" i="65"/>
  <c r="D38" i="64"/>
  <c r="D5" i="64" s="1"/>
  <c r="E56" i="42"/>
  <c r="F39" i="64"/>
  <c r="F6" i="64" s="1"/>
  <c r="E39" i="64"/>
  <c r="E6" i="64" s="1"/>
  <c r="E37" i="64"/>
  <c r="E4" i="64" s="1"/>
  <c r="D58" i="42"/>
  <c r="F57" i="42"/>
  <c r="F56" i="42"/>
  <c r="E58" i="42"/>
  <c r="I58" i="42"/>
  <c r="G36" i="64"/>
  <c r="G3" i="64" s="1"/>
  <c r="E36" i="64"/>
  <c r="E3" i="64" s="1"/>
  <c r="H39" i="64"/>
  <c r="H6" i="64" s="1"/>
  <c r="F38" i="64"/>
  <c r="F5" i="64" s="1"/>
  <c r="E38" i="64"/>
  <c r="E5" i="64" s="1"/>
  <c r="D36" i="64"/>
  <c r="D3" i="64" s="1"/>
  <c r="D56" i="42"/>
  <c r="D37" i="64"/>
  <c r="D4" i="64" s="1"/>
  <c r="D57" i="42"/>
  <c r="I56" i="42"/>
  <c r="H58" i="42"/>
  <c r="I39" i="64"/>
  <c r="I6" i="64" s="1"/>
  <c r="I45" i="38"/>
  <c r="I6" i="38" s="1"/>
  <c r="E45" i="38"/>
  <c r="E6" i="38" s="1"/>
  <c r="I42" i="38"/>
  <c r="I3" i="38" s="1"/>
  <c r="E42" i="38"/>
  <c r="E3" i="38" s="1"/>
  <c r="H42" i="38"/>
  <c r="H3" i="38" s="1"/>
  <c r="D42" i="38"/>
  <c r="D3" i="38" s="1"/>
  <c r="G42" i="38"/>
  <c r="G3" i="38" s="1"/>
  <c r="F42" i="38"/>
  <c r="F3" i="38" s="1"/>
  <c r="H43" i="38"/>
  <c r="H4" i="38" s="1"/>
  <c r="H38" i="39"/>
  <c r="H6" i="39" s="1"/>
  <c r="D38" i="39"/>
  <c r="D6" i="39" s="1"/>
  <c r="E36" i="39"/>
  <c r="E4" i="39" s="1"/>
  <c r="C37" i="45"/>
  <c r="I37" i="45" s="1"/>
  <c r="I4" i="45" s="1"/>
  <c r="C39" i="45"/>
  <c r="F39" i="45" s="1"/>
  <c r="F6" i="45" s="1"/>
  <c r="C38" i="45"/>
  <c r="H38" i="45" s="1"/>
  <c r="H5" i="45" s="1"/>
  <c r="E37" i="45"/>
  <c r="E4" i="45" s="1"/>
  <c r="G36" i="45"/>
  <c r="G3" i="45" s="1"/>
  <c r="I36" i="45"/>
  <c r="I3" i="45" s="1"/>
  <c r="E36" i="45"/>
  <c r="E3" i="45" s="1"/>
  <c r="D36" i="45"/>
  <c r="D3" i="45" s="1"/>
  <c r="H36" i="45"/>
  <c r="H3" i="45" s="1"/>
  <c r="F36" i="45"/>
  <c r="F3" i="45" s="1"/>
  <c r="I38" i="40"/>
  <c r="I6" i="40" s="1"/>
  <c r="E38" i="40"/>
  <c r="E6" i="40" s="1"/>
  <c r="H38" i="40"/>
  <c r="H6" i="40" s="1"/>
  <c r="D38" i="40"/>
  <c r="D6" i="40" s="1"/>
  <c r="G38" i="40"/>
  <c r="G6" i="40" s="1"/>
  <c r="F38" i="40"/>
  <c r="F6" i="40" s="1"/>
  <c r="I36" i="40"/>
  <c r="I4" i="40" s="1"/>
  <c r="E36" i="40"/>
  <c r="E4" i="40" s="1"/>
  <c r="H36" i="40"/>
  <c r="H4" i="40" s="1"/>
  <c r="D36" i="40"/>
  <c r="D4" i="40" s="1"/>
  <c r="G36" i="40"/>
  <c r="G4" i="40" s="1"/>
  <c r="F36" i="40"/>
  <c r="F4" i="40" s="1"/>
  <c r="I38" i="41"/>
  <c r="I5" i="41" s="1"/>
  <c r="E38" i="41"/>
  <c r="E5" i="41" s="1"/>
  <c r="H38" i="41"/>
  <c r="H5" i="41" s="1"/>
  <c r="D38" i="41"/>
  <c r="D5" i="41" s="1"/>
  <c r="G38" i="41"/>
  <c r="G5" i="41" s="1"/>
  <c r="F38" i="41"/>
  <c r="F5" i="41" s="1"/>
  <c r="I39" i="41"/>
  <c r="I6" i="41" s="1"/>
  <c r="E39" i="41"/>
  <c r="E6" i="41" s="1"/>
  <c r="H39" i="41"/>
  <c r="H6" i="41" s="1"/>
  <c r="D39" i="41"/>
  <c r="D6" i="41" s="1"/>
  <c r="G39" i="41"/>
  <c r="G6" i="41" s="1"/>
  <c r="F39" i="41"/>
  <c r="F6" i="41" s="1"/>
  <c r="I36" i="41"/>
  <c r="I3" i="41" s="1"/>
  <c r="E36" i="41"/>
  <c r="E3" i="41" s="1"/>
  <c r="H36" i="41"/>
  <c r="H3" i="41" s="1"/>
  <c r="D36" i="41"/>
  <c r="D3" i="41" s="1"/>
  <c r="G36" i="41"/>
  <c r="G3" i="41" s="1"/>
  <c r="F36" i="41"/>
  <c r="F3" i="41" s="1"/>
  <c r="I37" i="41"/>
  <c r="I4" i="41" s="1"/>
  <c r="E37" i="41"/>
  <c r="E4" i="41" s="1"/>
  <c r="H37" i="41"/>
  <c r="H4" i="41" s="1"/>
  <c r="D37" i="41"/>
  <c r="D4" i="41" s="1"/>
  <c r="G37" i="41"/>
  <c r="G4" i="41" s="1"/>
  <c r="F37" i="41"/>
  <c r="F4" i="41" s="1"/>
  <c r="C38" i="42"/>
  <c r="G38" i="42" s="1"/>
  <c r="C36" i="42"/>
  <c r="D36" i="42" s="1"/>
  <c r="C37" i="42"/>
  <c r="E37" i="42" s="1"/>
  <c r="B8" i="134"/>
  <c r="D37" i="57"/>
  <c r="D8" i="134"/>
  <c r="F10" i="134"/>
  <c r="C11" i="134"/>
  <c r="D82" i="10"/>
  <c r="D67" i="10"/>
  <c r="B10" i="134"/>
  <c r="B9" i="134"/>
  <c r="E11" i="134"/>
  <c r="G37" i="57"/>
  <c r="D99" i="10"/>
  <c r="D78" i="10"/>
  <c r="D10" i="134"/>
  <c r="F9" i="134"/>
  <c r="H37" i="57"/>
  <c r="D11" i="134"/>
  <c r="C13" i="134"/>
  <c r="F8" i="134"/>
  <c r="C10" i="134"/>
  <c r="D104" i="10"/>
  <c r="E9" i="134"/>
  <c r="F13" i="134"/>
  <c r="C9" i="134"/>
  <c r="E10" i="134"/>
  <c r="D96" i="10"/>
  <c r="B11" i="134"/>
  <c r="F37" i="57"/>
  <c r="C8" i="134"/>
  <c r="E13" i="134"/>
  <c r="D9" i="134"/>
  <c r="D100" i="10"/>
  <c r="D92" i="10"/>
  <c r="D13" i="134"/>
  <c r="D106" i="10"/>
  <c r="B13" i="134"/>
  <c r="D97" i="10"/>
  <c r="F11" i="134"/>
  <c r="E8" i="134"/>
  <c r="D62" i="10"/>
  <c r="D88" i="10"/>
  <c r="D98" i="10"/>
  <c r="D102" i="10"/>
  <c r="H13" i="134" l="1"/>
  <c r="E21" i="134"/>
  <c r="B20" i="134"/>
  <c r="H9" i="134"/>
  <c r="E19" i="134"/>
  <c r="C24" i="134"/>
  <c r="F20" i="134"/>
  <c r="D20" i="134"/>
  <c r="E20" i="134"/>
  <c r="F21" i="134"/>
  <c r="D21" i="134"/>
  <c r="C20" i="134"/>
  <c r="C19" i="134"/>
  <c r="B19" i="134"/>
  <c r="B24" i="134"/>
  <c r="F19" i="134"/>
  <c r="D19" i="134"/>
  <c r="H10" i="134"/>
  <c r="B21" i="134"/>
  <c r="C21" i="134"/>
  <c r="F24" i="134"/>
  <c r="D24" i="134"/>
  <c r="E24" i="134"/>
  <c r="E22" i="134"/>
  <c r="F22" i="134"/>
  <c r="C22" i="134"/>
  <c r="D22" i="134"/>
  <c r="B22" i="134"/>
  <c r="H11" i="134"/>
  <c r="H8" i="134"/>
  <c r="B73" i="59"/>
  <c r="D87" i="10"/>
  <c r="D3" i="133" l="1"/>
  <c r="B35" i="42"/>
  <c r="C35" i="42" s="1"/>
  <c r="B35" i="40"/>
  <c r="C35" i="40" s="1"/>
  <c r="B55" i="42"/>
  <c r="C55" i="42" s="1"/>
  <c r="D61" i="65"/>
  <c r="H61" i="65"/>
  <c r="E61" i="65"/>
  <c r="I61" i="65"/>
  <c r="I3" i="65" s="1"/>
  <c r="G61" i="65"/>
  <c r="F61" i="65"/>
  <c r="G41" i="66"/>
  <c r="G3" i="66" s="1"/>
  <c r="I41" i="66"/>
  <c r="I3" i="66" s="1"/>
  <c r="H41" i="66"/>
  <c r="H3" i="66" s="1"/>
  <c r="F41" i="66"/>
  <c r="F3" i="66" s="1"/>
  <c r="E41" i="66"/>
  <c r="E3" i="66" s="1"/>
  <c r="D41" i="66"/>
  <c r="D3" i="66" s="1"/>
  <c r="D3" i="117"/>
  <c r="H155" i="112"/>
  <c r="H4" i="112" s="1"/>
  <c r="H162" i="125" s="1"/>
  <c r="G155" i="112"/>
  <c r="G4" i="112" s="1"/>
  <c r="G162" i="125" s="1"/>
  <c r="I155" i="112"/>
  <c r="I4" i="112" s="1"/>
  <c r="I162" i="125" s="1"/>
  <c r="F155" i="112"/>
  <c r="F4" i="112" s="1"/>
  <c r="F162" i="125" s="1"/>
  <c r="E155" i="112"/>
  <c r="E4" i="112" s="1"/>
  <c r="G41" i="65"/>
  <c r="E41" i="65"/>
  <c r="H41" i="65"/>
  <c r="D3" i="118"/>
  <c r="D41" i="65"/>
  <c r="F41" i="65"/>
  <c r="D3" i="113"/>
  <c r="H5" i="81"/>
  <c r="D3" i="130"/>
  <c r="D3" i="98"/>
  <c r="D3" i="129"/>
  <c r="H5" i="129"/>
  <c r="B71" i="59"/>
  <c r="E5" i="81"/>
  <c r="I5" i="81"/>
  <c r="F5" i="81"/>
  <c r="I5" i="129"/>
  <c r="E5" i="129"/>
  <c r="G5" i="81"/>
  <c r="G5" i="129"/>
  <c r="F5" i="129"/>
  <c r="D37" i="40"/>
  <c r="D5" i="40" s="1"/>
  <c r="E37" i="40"/>
  <c r="E5" i="40" s="1"/>
  <c r="F37" i="40"/>
  <c r="F5" i="40" s="1"/>
  <c r="I37" i="40"/>
  <c r="I5" i="40" s="1"/>
  <c r="G37" i="40"/>
  <c r="G5" i="40" s="1"/>
  <c r="D3" i="112"/>
  <c r="I4" i="123"/>
  <c r="E4" i="123"/>
  <c r="G5" i="98"/>
  <c r="I6" i="98"/>
  <c r="G4" i="98"/>
  <c r="F4" i="98"/>
  <c r="H4" i="98"/>
  <c r="E6" i="98"/>
  <c r="H4" i="123"/>
  <c r="G6" i="98"/>
  <c r="H5" i="98"/>
  <c r="F6" i="98"/>
  <c r="H6" i="98"/>
  <c r="I5" i="98"/>
  <c r="E4" i="98"/>
  <c r="F5" i="98"/>
  <c r="F6" i="65"/>
  <c r="I4" i="98"/>
  <c r="F4" i="123"/>
  <c r="G4" i="123"/>
  <c r="F5" i="124"/>
  <c r="E43" i="38"/>
  <c r="E4" i="38" s="1"/>
  <c r="D43" i="38"/>
  <c r="D4" i="38" s="1"/>
  <c r="I43" i="38"/>
  <c r="I4" i="38" s="1"/>
  <c r="F43" i="38"/>
  <c r="F4" i="38" s="1"/>
  <c r="F45" i="38"/>
  <c r="F6" i="38" s="1"/>
  <c r="H49" i="70"/>
  <c r="H4" i="70" s="1"/>
  <c r="D49" i="70"/>
  <c r="D4" i="70" s="1"/>
  <c r="D4" i="126"/>
  <c r="B94" i="14"/>
  <c r="G5" i="124"/>
  <c r="H5" i="124"/>
  <c r="B69" i="59"/>
  <c r="B65" i="59"/>
  <c r="B66" i="59"/>
  <c r="B45" i="59"/>
  <c r="B67" i="59"/>
  <c r="H161" i="125"/>
  <c r="D5" i="126"/>
  <c r="D6" i="126"/>
  <c r="D3" i="126"/>
  <c r="F161" i="125"/>
  <c r="I49" i="70"/>
  <c r="I4" i="70" s="1"/>
  <c r="G49" i="70"/>
  <c r="G4" i="70" s="1"/>
  <c r="H3" i="123"/>
  <c r="E5" i="124"/>
  <c r="I5" i="124"/>
  <c r="G161" i="125"/>
  <c r="E161" i="125"/>
  <c r="I161" i="125"/>
  <c r="H3" i="124"/>
  <c r="G3" i="124"/>
  <c r="D3" i="122"/>
  <c r="E3" i="124"/>
  <c r="I3" i="124"/>
  <c r="I3" i="123"/>
  <c r="E3" i="123"/>
  <c r="F3" i="124"/>
  <c r="F3" i="123"/>
  <c r="G3" i="123"/>
  <c r="F49" i="70"/>
  <c r="F4" i="70" s="1"/>
  <c r="H5" i="66"/>
  <c r="F42" i="66"/>
  <c r="I42" i="66"/>
  <c r="E4" i="90"/>
  <c r="B55" i="103"/>
  <c r="C55" i="103" s="1"/>
  <c r="B49" i="103"/>
  <c r="D56" i="120"/>
  <c r="D4" i="120" s="1"/>
  <c r="E4" i="120"/>
  <c r="E3" i="120"/>
  <c r="D55" i="120"/>
  <c r="D3" i="120" s="1"/>
  <c r="E6" i="120"/>
  <c r="D58" i="120"/>
  <c r="D6" i="120" s="1"/>
  <c r="D57" i="120"/>
  <c r="D5" i="120" s="1"/>
  <c r="E5" i="120"/>
  <c r="G6" i="66"/>
  <c r="F5" i="66"/>
  <c r="D5" i="66"/>
  <c r="I5" i="119"/>
  <c r="F4" i="90"/>
  <c r="I5" i="66"/>
  <c r="F36" i="39"/>
  <c r="F4" i="39" s="1"/>
  <c r="G6" i="119"/>
  <c r="D3" i="101"/>
  <c r="D5" i="101"/>
  <c r="D4" i="101"/>
  <c r="D6" i="101"/>
  <c r="G3" i="119"/>
  <c r="F5" i="119"/>
  <c r="E5" i="119"/>
  <c r="G4" i="119"/>
  <c r="F4" i="119"/>
  <c r="D58" i="119"/>
  <c r="D6" i="119" s="1"/>
  <c r="H5" i="119"/>
  <c r="F6" i="119"/>
  <c r="D56" i="119"/>
  <c r="D4" i="119" s="1"/>
  <c r="D58" i="105"/>
  <c r="D5" i="105" s="1"/>
  <c r="G5" i="66"/>
  <c r="E6" i="66"/>
  <c r="G5" i="90"/>
  <c r="I6" i="119"/>
  <c r="E6" i="119"/>
  <c r="H6" i="119"/>
  <c r="I3" i="119"/>
  <c r="D56" i="105"/>
  <c r="D3" i="105" s="1"/>
  <c r="E3" i="119"/>
  <c r="H3" i="119"/>
  <c r="I6" i="90"/>
  <c r="H6" i="90"/>
  <c r="E5" i="105"/>
  <c r="G5" i="119"/>
  <c r="I4" i="119"/>
  <c r="E4" i="119"/>
  <c r="F3" i="119"/>
  <c r="H4" i="119"/>
  <c r="D55" i="119"/>
  <c r="D3" i="119" s="1"/>
  <c r="D57" i="119"/>
  <c r="D5" i="119" s="1"/>
  <c r="G6" i="90"/>
  <c r="I3" i="90"/>
  <c r="G3" i="90"/>
  <c r="E3" i="90"/>
  <c r="I5" i="90"/>
  <c r="H5" i="90"/>
  <c r="F5" i="90"/>
  <c r="E5" i="90"/>
  <c r="D55" i="90"/>
  <c r="D35" i="90"/>
  <c r="D42" i="66"/>
  <c r="G42" i="66"/>
  <c r="H42" i="66"/>
  <c r="G4" i="90"/>
  <c r="I4" i="90"/>
  <c r="H4" i="90"/>
  <c r="D36" i="90"/>
  <c r="D52" i="90"/>
  <c r="F6" i="90"/>
  <c r="E6" i="90"/>
  <c r="D34" i="90"/>
  <c r="D54" i="90"/>
  <c r="I6" i="66"/>
  <c r="H3" i="90"/>
  <c r="F3" i="90"/>
  <c r="D53" i="90"/>
  <c r="D33" i="90"/>
  <c r="E5" i="66"/>
  <c r="F61" i="66"/>
  <c r="D61" i="66"/>
  <c r="I61" i="66"/>
  <c r="E61" i="66"/>
  <c r="E4" i="66" s="1"/>
  <c r="G61" i="66"/>
  <c r="H61" i="66"/>
  <c r="D6" i="66"/>
  <c r="H6" i="66"/>
  <c r="F6" i="66"/>
  <c r="G37" i="39"/>
  <c r="G5" i="39" s="1"/>
  <c r="F38" i="39"/>
  <c r="F6" i="39" s="1"/>
  <c r="I37" i="39"/>
  <c r="I5" i="39" s="1"/>
  <c r="G38" i="39"/>
  <c r="G6" i="39" s="1"/>
  <c r="I38" i="39"/>
  <c r="I6" i="39" s="1"/>
  <c r="D37" i="39"/>
  <c r="D5" i="39" s="1"/>
  <c r="H37" i="39"/>
  <c r="H5" i="39" s="1"/>
  <c r="G36" i="39"/>
  <c r="G4" i="39" s="1"/>
  <c r="F37" i="39"/>
  <c r="F5" i="39" s="1"/>
  <c r="D36" i="39"/>
  <c r="D4" i="39" s="1"/>
  <c r="C35" i="39"/>
  <c r="I35" i="39" s="1"/>
  <c r="I3" i="39" s="1"/>
  <c r="I36" i="39"/>
  <c r="I4" i="39" s="1"/>
  <c r="D3" i="116"/>
  <c r="F5" i="70"/>
  <c r="D102" i="15"/>
  <c r="D3" i="15" s="1"/>
  <c r="D4" i="116"/>
  <c r="D3" i="115"/>
  <c r="D103" i="15"/>
  <c r="D4" i="15" s="1"/>
  <c r="D104" i="15"/>
  <c r="D5" i="15" s="1"/>
  <c r="D105" i="15"/>
  <c r="D6" i="15" s="1"/>
  <c r="I5" i="70"/>
  <c r="G3" i="70"/>
  <c r="H44" i="38"/>
  <c r="H5" i="38" s="1"/>
  <c r="F3" i="70"/>
  <c r="F4" i="113"/>
  <c r="G4" i="113"/>
  <c r="H4" i="113"/>
  <c r="E44" i="38"/>
  <c r="E5" i="38" s="1"/>
  <c r="F44" i="38"/>
  <c r="F5" i="38" s="1"/>
  <c r="G44" i="38"/>
  <c r="G5" i="38" s="1"/>
  <c r="I44" i="38"/>
  <c r="I5" i="38" s="1"/>
  <c r="F6" i="70"/>
  <c r="D56" i="103"/>
  <c r="D6" i="103" s="1"/>
  <c r="E6" i="103"/>
  <c r="D53" i="103"/>
  <c r="D3" i="103" s="1"/>
  <c r="E3" i="103"/>
  <c r="D54" i="103"/>
  <c r="D4" i="103" s="1"/>
  <c r="E4" i="103"/>
  <c r="D42" i="102"/>
  <c r="D3" i="102" s="1"/>
  <c r="E3" i="102"/>
  <c r="D45" i="102"/>
  <c r="D6" i="102" s="1"/>
  <c r="E6" i="102"/>
  <c r="D43" i="102"/>
  <c r="D4" i="102" s="1"/>
  <c r="E4" i="102"/>
  <c r="H6" i="70"/>
  <c r="D6" i="70"/>
  <c r="D44" i="102"/>
  <c r="D5" i="102" s="1"/>
  <c r="E5" i="102"/>
  <c r="D23" i="98"/>
  <c r="D24" i="98"/>
  <c r="D21" i="98"/>
  <c r="D22" i="98"/>
  <c r="E5" i="98"/>
  <c r="D36" i="99"/>
  <c r="D4" i="99" s="1"/>
  <c r="E4" i="15"/>
  <c r="E5" i="15"/>
  <c r="D35" i="99"/>
  <c r="D3" i="99" s="1"/>
  <c r="E3" i="99"/>
  <c r="E4" i="99"/>
  <c r="E6" i="15"/>
  <c r="D37" i="99"/>
  <c r="D5" i="99" s="1"/>
  <c r="D38" i="99"/>
  <c r="D6" i="99" s="1"/>
  <c r="E3" i="15"/>
  <c r="H3" i="70"/>
  <c r="D5" i="70"/>
  <c r="E3" i="70"/>
  <c r="I3" i="70"/>
  <c r="G6" i="70"/>
  <c r="D3" i="70"/>
  <c r="E4" i="70"/>
  <c r="H5" i="70"/>
  <c r="G5" i="70"/>
  <c r="E6" i="70"/>
  <c r="I6" i="70"/>
  <c r="E5" i="70"/>
  <c r="I5" i="65"/>
  <c r="H4" i="93"/>
  <c r="G6" i="93"/>
  <c r="F6" i="93"/>
  <c r="D5" i="93"/>
  <c r="E4" i="93"/>
  <c r="I3" i="93"/>
  <c r="G4" i="93"/>
  <c r="F3" i="93"/>
  <c r="H3" i="93"/>
  <c r="F4" i="93"/>
  <c r="G3" i="93"/>
  <c r="I4" i="93"/>
  <c r="E6" i="93"/>
  <c r="E3" i="93"/>
  <c r="I6" i="93"/>
  <c r="D6" i="93"/>
  <c r="H6" i="93"/>
  <c r="I5" i="93"/>
  <c r="H5" i="93"/>
  <c r="G5" i="93"/>
  <c r="D4" i="93"/>
  <c r="F5" i="93"/>
  <c r="D3" i="93"/>
  <c r="E5" i="93"/>
  <c r="H6" i="65"/>
  <c r="H6" i="87"/>
  <c r="I3" i="87"/>
  <c r="D3" i="87"/>
  <c r="G5" i="87"/>
  <c r="D6" i="87"/>
  <c r="G4" i="87"/>
  <c r="G3" i="87"/>
  <c r="F3" i="87"/>
  <c r="D4" i="87"/>
  <c r="I4" i="87"/>
  <c r="I5" i="87"/>
  <c r="I6" i="87"/>
  <c r="H4" i="87"/>
  <c r="H3" i="87"/>
  <c r="H5" i="87"/>
  <c r="G6" i="87"/>
  <c r="F5" i="87"/>
  <c r="F4" i="87"/>
  <c r="F6" i="87"/>
  <c r="E3" i="87"/>
  <c r="E5" i="87"/>
  <c r="E6" i="87"/>
  <c r="D5" i="87"/>
  <c r="E4" i="87"/>
  <c r="G45" i="38"/>
  <c r="G6" i="38" s="1"/>
  <c r="H45" i="38"/>
  <c r="H6" i="38" s="1"/>
  <c r="I38" i="42"/>
  <c r="I6" i="42" s="1"/>
  <c r="D38" i="42"/>
  <c r="D6" i="42" s="1"/>
  <c r="F38" i="42"/>
  <c r="F6" i="42" s="1"/>
  <c r="H38" i="42"/>
  <c r="H6" i="42" s="1"/>
  <c r="E38" i="42"/>
  <c r="E6" i="42" s="1"/>
  <c r="F37" i="42"/>
  <c r="F5" i="42" s="1"/>
  <c r="I37" i="42"/>
  <c r="I5" i="42" s="1"/>
  <c r="G37" i="42"/>
  <c r="G5" i="42" s="1"/>
  <c r="D37" i="42"/>
  <c r="D5" i="42" s="1"/>
  <c r="H37" i="42"/>
  <c r="H5" i="42" s="1"/>
  <c r="F36" i="42"/>
  <c r="F4" i="42" s="1"/>
  <c r="G36" i="42"/>
  <c r="G4" i="42" s="1"/>
  <c r="I36" i="42"/>
  <c r="I4" i="42" s="1"/>
  <c r="H36" i="42"/>
  <c r="H4" i="42" s="1"/>
  <c r="I38" i="45"/>
  <c r="I5" i="45" s="1"/>
  <c r="G38" i="45"/>
  <c r="G5" i="45" s="1"/>
  <c r="D6" i="76"/>
  <c r="D4" i="76"/>
  <c r="H3" i="76"/>
  <c r="F3" i="76"/>
  <c r="E5" i="76"/>
  <c r="G4" i="76"/>
  <c r="F4" i="76"/>
  <c r="G3" i="76"/>
  <c r="E4" i="76"/>
  <c r="H6" i="76"/>
  <c r="E3" i="76"/>
  <c r="G6" i="76"/>
  <c r="I6" i="76"/>
  <c r="F5" i="76"/>
  <c r="F6" i="76"/>
  <c r="H4" i="76"/>
  <c r="I3" i="76"/>
  <c r="H5" i="76"/>
  <c r="D5" i="76"/>
  <c r="G5" i="76"/>
  <c r="E6" i="76"/>
  <c r="I5" i="76"/>
  <c r="D3" i="76"/>
  <c r="I4" i="76"/>
  <c r="H5" i="67"/>
  <c r="H4" i="67"/>
  <c r="G5" i="67"/>
  <c r="E5" i="42"/>
  <c r="D5" i="67"/>
  <c r="G4" i="67"/>
  <c r="F5" i="67"/>
  <c r="H6" i="67"/>
  <c r="I3" i="67"/>
  <c r="F6" i="67"/>
  <c r="E6" i="67"/>
  <c r="D3" i="67"/>
  <c r="E3" i="67"/>
  <c r="G6" i="67"/>
  <c r="I4" i="67"/>
  <c r="I6" i="67"/>
  <c r="G6" i="65"/>
  <c r="F3" i="67"/>
  <c r="I5" i="67"/>
  <c r="F4" i="67"/>
  <c r="D6" i="67"/>
  <c r="E4" i="67"/>
  <c r="E5" i="67"/>
  <c r="G6" i="42"/>
  <c r="H3" i="67"/>
  <c r="G3" i="67"/>
  <c r="D4" i="67"/>
  <c r="G4" i="65"/>
  <c r="H5" i="65"/>
  <c r="D4" i="65"/>
  <c r="E5" i="65"/>
  <c r="D5" i="65"/>
  <c r="F4" i="65"/>
  <c r="E6" i="65"/>
  <c r="I6" i="65"/>
  <c r="H4" i="65"/>
  <c r="F5" i="65"/>
  <c r="D6" i="65"/>
  <c r="E4" i="65"/>
  <c r="I4" i="65"/>
  <c r="G5" i="65"/>
  <c r="D4" i="42"/>
  <c r="H39" i="45"/>
  <c r="H6" i="45" s="1"/>
  <c r="G37" i="45"/>
  <c r="G4" i="45" s="1"/>
  <c r="D37" i="45"/>
  <c r="D4" i="45" s="1"/>
  <c r="H37" i="45"/>
  <c r="H4" i="45" s="1"/>
  <c r="I39" i="45"/>
  <c r="I6" i="45" s="1"/>
  <c r="G39" i="45"/>
  <c r="G6" i="45" s="1"/>
  <c r="D38" i="45"/>
  <c r="D5" i="45" s="1"/>
  <c r="F37" i="45"/>
  <c r="F4" i="45" s="1"/>
  <c r="D39" i="45"/>
  <c r="D6" i="45" s="1"/>
  <c r="E39" i="45"/>
  <c r="E6" i="45" s="1"/>
  <c r="F38" i="45"/>
  <c r="F5" i="45" s="1"/>
  <c r="E38" i="45"/>
  <c r="E5" i="45" s="1"/>
  <c r="E36" i="42"/>
  <c r="E4" i="42" s="1"/>
  <c r="F69" i="57"/>
  <c r="D101" i="10"/>
  <c r="D66" i="10"/>
  <c r="D69" i="57"/>
  <c r="E37" i="57"/>
  <c r="D52" i="10"/>
  <c r="D105" i="10"/>
  <c r="D103" i="10"/>
  <c r="H3" i="65" l="1"/>
  <c r="B68" i="59"/>
  <c r="B72" i="59"/>
  <c r="E69" i="57"/>
  <c r="E57" i="57"/>
  <c r="D81" i="10"/>
  <c r="D95" i="10"/>
  <c r="D51" i="10"/>
  <c r="E3" i="65" l="1"/>
  <c r="D3" i="65"/>
  <c r="G3" i="65"/>
  <c r="I4" i="66"/>
  <c r="F3" i="65"/>
  <c r="B49" i="59"/>
  <c r="D59" i="10"/>
  <c r="D69" i="10"/>
  <c r="D90" i="10"/>
  <c r="D46" i="10"/>
  <c r="D49" i="10"/>
  <c r="D76" i="10"/>
  <c r="D44" i="10"/>
  <c r="D79" i="10"/>
  <c r="E59" i="57"/>
  <c r="D84" i="10"/>
  <c r="D85" i="10"/>
  <c r="D91" i="10"/>
  <c r="D50" i="10"/>
  <c r="D58" i="10"/>
  <c r="D71" i="10"/>
  <c r="D65" i="10"/>
  <c r="F66" i="57"/>
  <c r="D74" i="10"/>
  <c r="D4" i="112" l="1"/>
  <c r="E162" i="125"/>
  <c r="D54" i="10"/>
  <c r="D72" i="10"/>
  <c r="D86" i="10"/>
  <c r="E63" i="57"/>
  <c r="D89" i="10"/>
  <c r="D80" i="10"/>
  <c r="D5" i="129" l="1"/>
  <c r="D5" i="98"/>
  <c r="E56" i="57"/>
  <c r="G28" i="57"/>
  <c r="D62" i="57"/>
  <c r="B70" i="59" l="1"/>
  <c r="H6" i="57"/>
  <c r="F28" i="57"/>
  <c r="D61" i="10"/>
  <c r="G62" i="57"/>
  <c r="H28" i="57"/>
  <c r="E55" i="57"/>
  <c r="B48" i="59" l="1"/>
  <c r="B47" i="59"/>
  <c r="D6" i="98"/>
  <c r="D5" i="130"/>
  <c r="D4" i="98"/>
  <c r="K162" i="125"/>
  <c r="D4" i="123"/>
  <c r="E6" i="57"/>
  <c r="F60" i="57"/>
  <c r="G6" i="57"/>
  <c r="E65" i="57"/>
  <c r="D6" i="57"/>
  <c r="E62" i="57"/>
  <c r="F6" i="57"/>
  <c r="D63" i="57"/>
  <c r="D28" i="57"/>
  <c r="F68" i="57"/>
  <c r="E28" i="57"/>
  <c r="G63" i="57"/>
  <c r="D65" i="57"/>
  <c r="D64" i="10"/>
  <c r="I35" i="40" l="1"/>
  <c r="I3" i="40" s="1"/>
  <c r="G35" i="40"/>
  <c r="G3" i="40" s="1"/>
  <c r="E35" i="40"/>
  <c r="E3" i="40" s="1"/>
  <c r="F35" i="40"/>
  <c r="F3" i="40" s="1"/>
  <c r="H35" i="40"/>
  <c r="H3" i="40" s="1"/>
  <c r="D35" i="40"/>
  <c r="D3" i="40" s="1"/>
  <c r="G55" i="42"/>
  <c r="D55" i="42"/>
  <c r="E55" i="42"/>
  <c r="I55" i="42"/>
  <c r="F55" i="42"/>
  <c r="H55" i="42"/>
  <c r="H35" i="42"/>
  <c r="I35" i="42"/>
  <c r="I3" i="42" s="1"/>
  <c r="E35" i="42"/>
  <c r="D35" i="42"/>
  <c r="F35" i="42"/>
  <c r="G35" i="42"/>
  <c r="D5" i="124"/>
  <c r="D3" i="124"/>
  <c r="B46" i="59"/>
  <c r="B19" i="59"/>
  <c r="K161" i="125"/>
  <c r="L161" i="125" s="1"/>
  <c r="F4" i="66"/>
  <c r="D3" i="123"/>
  <c r="D5" i="123"/>
  <c r="D5" i="81"/>
  <c r="D3" i="81"/>
  <c r="E55" i="103"/>
  <c r="I55" i="103"/>
  <c r="I5" i="103" s="1"/>
  <c r="G55" i="103"/>
  <c r="G5" i="103" s="1"/>
  <c r="F55" i="103"/>
  <c r="F5" i="103" s="1"/>
  <c r="H55" i="103"/>
  <c r="H5" i="103" s="1"/>
  <c r="D5" i="90"/>
  <c r="D4" i="118"/>
  <c r="D3" i="90"/>
  <c r="D4" i="66"/>
  <c r="D4" i="90"/>
  <c r="G4" i="66"/>
  <c r="D6" i="90"/>
  <c r="H4" i="66"/>
  <c r="D4" i="117"/>
  <c r="E35" i="39"/>
  <c r="E3" i="39" s="1"/>
  <c r="F35" i="39"/>
  <c r="F3" i="39" s="1"/>
  <c r="D35" i="39"/>
  <c r="D3" i="39" s="1"/>
  <c r="H35" i="39"/>
  <c r="H3" i="39" s="1"/>
  <c r="G35" i="39"/>
  <c r="G3" i="39" s="1"/>
  <c r="D4" i="115"/>
  <c r="D4" i="113"/>
  <c r="D4" i="81"/>
  <c r="C18" i="46"/>
  <c r="C23" i="63"/>
  <c r="C19" i="63"/>
  <c r="O14" i="63"/>
  <c r="G33" i="63"/>
  <c r="C45" i="63"/>
  <c r="C40" i="63"/>
  <c r="O28" i="63"/>
  <c r="O33" i="63"/>
  <c r="C34" i="63"/>
  <c r="C28" i="63"/>
  <c r="K36" i="63"/>
  <c r="G13" i="63"/>
  <c r="K27" i="63"/>
  <c r="K5" i="63"/>
  <c r="O5" i="63"/>
  <c r="C16" i="63"/>
  <c r="C12" i="63"/>
  <c r="C8" i="63"/>
  <c r="G5" i="63"/>
  <c r="C5" i="63"/>
  <c r="E60" i="57"/>
  <c r="D43" i="10"/>
  <c r="G60" i="57"/>
  <c r="B10" i="59" l="1"/>
  <c r="D48" i="10"/>
  <c r="D53" i="10"/>
  <c r="D55" i="10"/>
  <c r="D77" i="10"/>
  <c r="B44" i="59" l="1"/>
  <c r="D63" i="10"/>
  <c r="D45" i="10"/>
  <c r="D70" i="10"/>
  <c r="B30" i="59" l="1"/>
  <c r="B18" i="59"/>
  <c r="B43" i="59"/>
  <c r="B37" i="59"/>
  <c r="D93" i="10"/>
  <c r="D57" i="10"/>
  <c r="D56" i="10"/>
  <c r="D60" i="10"/>
  <c r="D75" i="10"/>
  <c r="B27" i="59" l="1"/>
  <c r="B58" i="59"/>
  <c r="B23" i="59"/>
  <c r="B22" i="59"/>
  <c r="B57" i="59"/>
  <c r="B28" i="59"/>
  <c r="B63" i="59"/>
  <c r="B25" i="59"/>
  <c r="B42" i="59"/>
  <c r="B17" i="59"/>
  <c r="B26" i="59"/>
  <c r="B64" i="59"/>
  <c r="G3" i="42"/>
  <c r="F3" i="42"/>
  <c r="B62" i="59"/>
  <c r="B11" i="59"/>
  <c r="D61" i="57"/>
  <c r="G61" i="57"/>
  <c r="D60" i="57"/>
  <c r="E61" i="57"/>
  <c r="B56" i="59" l="1"/>
  <c r="D3" i="42"/>
  <c r="H3" i="42"/>
  <c r="E3" i="42"/>
  <c r="B12" i="59"/>
  <c r="B24" i="59"/>
  <c r="B20" i="59"/>
  <c r="E5" i="103"/>
  <c r="D55" i="103"/>
  <c r="D5" i="103" s="1"/>
  <c r="C39" i="46"/>
  <c r="C36" i="46"/>
  <c r="C38" i="46"/>
  <c r="C37" i="46"/>
  <c r="D68" i="10"/>
  <c r="B31" i="59" l="1"/>
  <c r="B33" i="59"/>
  <c r="B32" i="59"/>
  <c r="B21" i="59"/>
  <c r="B13" i="59"/>
  <c r="B34" i="59"/>
  <c r="B16" i="59"/>
  <c r="F37" i="46"/>
  <c r="F4" i="46" s="1"/>
  <c r="I37" i="46"/>
  <c r="I4" i="46" s="1"/>
  <c r="H37" i="46"/>
  <c r="H4" i="46" s="1"/>
  <c r="E37" i="46"/>
  <c r="E4" i="46" s="1"/>
  <c r="G37" i="46"/>
  <c r="G4" i="46" s="1"/>
  <c r="D37" i="46"/>
  <c r="D4" i="46" s="1"/>
  <c r="I38" i="46"/>
  <c r="I5" i="46" s="1"/>
  <c r="F38" i="46"/>
  <c r="F5" i="46" s="1"/>
  <c r="H38" i="46"/>
  <c r="H5" i="46" s="1"/>
  <c r="E38" i="46"/>
  <c r="E5" i="46" s="1"/>
  <c r="D38" i="46"/>
  <c r="D5" i="46" s="1"/>
  <c r="G38" i="46"/>
  <c r="G5" i="46" s="1"/>
  <c r="G36" i="46"/>
  <c r="G3" i="46" s="1"/>
  <c r="F36" i="46"/>
  <c r="F3" i="46" s="1"/>
  <c r="I36" i="46"/>
  <c r="I3" i="46" s="1"/>
  <c r="E36" i="46"/>
  <c r="E3" i="46" s="1"/>
  <c r="H36" i="46"/>
  <c r="H3" i="46" s="1"/>
  <c r="D36" i="46"/>
  <c r="D3" i="46" s="1"/>
  <c r="I39" i="46"/>
  <c r="I6" i="46" s="1"/>
  <c r="F39" i="46"/>
  <c r="F6" i="46" s="1"/>
  <c r="H39" i="46"/>
  <c r="H6" i="46" s="1"/>
  <c r="E39" i="46"/>
  <c r="E6" i="46" s="1"/>
  <c r="D39" i="46"/>
  <c r="D6" i="46" s="1"/>
  <c r="G39" i="46"/>
  <c r="G6" i="46" s="1"/>
  <c r="D83" i="10"/>
  <c r="B50" i="59" l="1"/>
  <c r="B55" i="59"/>
  <c r="B54" i="59"/>
  <c r="B53" i="59"/>
  <c r="B51" i="59"/>
  <c r="B60" i="59" l="1"/>
  <c r="B59" i="59"/>
  <c r="B52" i="59"/>
  <c r="B29" i="59"/>
  <c r="H282" i="2"/>
  <c r="I282" i="2"/>
  <c r="H237" i="2"/>
  <c r="I237" i="2"/>
  <c r="H183" i="2"/>
  <c r="I183" i="2"/>
  <c r="H238" i="2"/>
  <c r="I238" i="2"/>
  <c r="H239" i="2"/>
  <c r="I239" i="2"/>
  <c r="H283" i="2"/>
  <c r="I283" i="2"/>
  <c r="H267" i="2"/>
  <c r="I267" i="2"/>
  <c r="H58" i="2"/>
  <c r="I58" i="2"/>
  <c r="H59" i="2"/>
  <c r="I59" i="2"/>
  <c r="H284" i="2"/>
  <c r="I284" i="2"/>
  <c r="H40" i="2"/>
  <c r="I40" i="2"/>
  <c r="H34" i="2"/>
  <c r="I34" i="2"/>
  <c r="H184" i="2"/>
  <c r="I184" i="2"/>
  <c r="H201" i="2"/>
  <c r="I201" i="2"/>
  <c r="H225" i="2"/>
  <c r="I225" i="2"/>
  <c r="H202" i="2"/>
  <c r="I202" i="2"/>
  <c r="H60" i="2"/>
  <c r="I60" i="2"/>
  <c r="H85" i="2"/>
  <c r="I85" i="2"/>
  <c r="H275" i="2"/>
  <c r="I275" i="2"/>
  <c r="H71" i="2"/>
  <c r="I71" i="2"/>
  <c r="H86" i="2"/>
  <c r="I86" i="2"/>
  <c r="H123" i="2"/>
  <c r="I123" i="2"/>
  <c r="H269" i="2"/>
  <c r="I269" i="2"/>
  <c r="H231" i="2"/>
  <c r="I231" i="2"/>
  <c r="H285" i="2"/>
  <c r="I285" i="2"/>
  <c r="H41" i="2"/>
  <c r="I41" i="2"/>
  <c r="H35" i="2"/>
  <c r="I35" i="2"/>
  <c r="H185" i="2"/>
  <c r="I185" i="2"/>
  <c r="H226" i="2"/>
  <c r="I226" i="2"/>
  <c r="H270" i="2"/>
  <c r="I270" i="2"/>
  <c r="H72" i="2"/>
  <c r="I72" i="2"/>
  <c r="H87" i="2"/>
  <c r="I87" i="2"/>
  <c r="H124" i="2"/>
  <c r="I124" i="2"/>
  <c r="H203" i="2"/>
  <c r="I203" i="2"/>
  <c r="H204" i="2"/>
  <c r="I204" i="2"/>
  <c r="H61" i="2"/>
  <c r="I61" i="2"/>
  <c r="H88" i="2"/>
  <c r="I88" i="2"/>
  <c r="H276" i="2"/>
  <c r="I276" i="2"/>
  <c r="H186" i="2"/>
  <c r="I186" i="2"/>
  <c r="H232" i="2"/>
  <c r="I232" i="2"/>
  <c r="H286" i="2"/>
  <c r="I286" i="2"/>
  <c r="H42" i="2"/>
  <c r="I42" i="2"/>
  <c r="H36" i="2"/>
  <c r="I36" i="2"/>
  <c r="H187" i="2"/>
  <c r="I187" i="2"/>
  <c r="H227" i="2"/>
  <c r="I227" i="2"/>
  <c r="H73" i="2"/>
  <c r="I73" i="2"/>
  <c r="H89" i="2"/>
  <c r="I89" i="2"/>
  <c r="H125" i="2"/>
  <c r="I125" i="2"/>
  <c r="H205" i="2"/>
  <c r="I205" i="2"/>
  <c r="H206" i="2"/>
  <c r="I206" i="2"/>
  <c r="H62" i="2"/>
  <c r="I62" i="2"/>
  <c r="H90" i="2"/>
  <c r="I90" i="2"/>
  <c r="H271" i="2"/>
  <c r="I271" i="2"/>
  <c r="H277" i="2"/>
  <c r="I277" i="2"/>
  <c r="H188" i="2"/>
  <c r="I188" i="2"/>
  <c r="H233" i="2"/>
  <c r="I233" i="2"/>
  <c r="H287" i="2"/>
  <c r="I287" i="2"/>
  <c r="H129" i="2"/>
  <c r="I129" i="2"/>
  <c r="H288" i="2"/>
  <c r="I288" i="2"/>
  <c r="H240" i="2"/>
  <c r="I240" i="2"/>
  <c r="H289" i="2"/>
  <c r="I289" i="2"/>
  <c r="H117" i="2"/>
  <c r="I117" i="2"/>
  <c r="H290" i="2"/>
  <c r="I290" i="2"/>
  <c r="H103" i="2"/>
  <c r="I103" i="2"/>
  <c r="H104" i="2"/>
  <c r="I104" i="2"/>
  <c r="H291" i="2"/>
  <c r="I291" i="2"/>
  <c r="H97" i="2"/>
  <c r="I97" i="2"/>
  <c r="H292" i="2"/>
  <c r="I292" i="2"/>
  <c r="H26" i="2"/>
  <c r="I26" i="2"/>
  <c r="H293" i="2"/>
  <c r="I293" i="2"/>
  <c r="H2" i="2"/>
  <c r="I2" i="2"/>
  <c r="H3" i="2"/>
  <c r="I3" i="2"/>
  <c r="H4" i="2"/>
  <c r="I4" i="2"/>
  <c r="H5" i="2"/>
  <c r="I5" i="2"/>
  <c r="H294" i="2"/>
  <c r="I294" i="2"/>
  <c r="H171" i="2"/>
  <c r="I171" i="2"/>
  <c r="H177" i="2"/>
  <c r="I177" i="2"/>
  <c r="H295" i="2"/>
  <c r="I295" i="2"/>
  <c r="H77" i="2"/>
  <c r="I77" i="2"/>
  <c r="H195" i="2"/>
  <c r="I195" i="2"/>
  <c r="H296" i="2"/>
  <c r="I296" i="2"/>
  <c r="H278" i="2"/>
  <c r="I278" i="2"/>
  <c r="H297" i="2"/>
  <c r="I297" i="2"/>
  <c r="H105" i="2"/>
  <c r="I105" i="2"/>
  <c r="H106" i="2"/>
  <c r="I106" i="2"/>
  <c r="H298" i="2"/>
  <c r="I298" i="2"/>
  <c r="H213" i="2"/>
  <c r="I213" i="2"/>
  <c r="H214" i="2"/>
  <c r="I214" i="2"/>
  <c r="H299" i="2"/>
  <c r="I299" i="2"/>
  <c r="H28" i="2"/>
  <c r="I28" i="2"/>
  <c r="H300" i="2"/>
  <c r="I300" i="2"/>
  <c r="H68" i="2"/>
  <c r="I68" i="2"/>
  <c r="H301" i="2"/>
  <c r="I301" i="2"/>
  <c r="H46" i="2"/>
  <c r="I46" i="2"/>
  <c r="H302" i="2"/>
  <c r="I302" i="2"/>
  <c r="H47" i="2"/>
  <c r="I47" i="2"/>
  <c r="H303" i="2"/>
  <c r="I303" i="2"/>
  <c r="H159" i="2"/>
  <c r="I159" i="2"/>
  <c r="H304" i="2"/>
  <c r="I304" i="2"/>
  <c r="H135" i="2"/>
  <c r="I135" i="2"/>
  <c r="H136" i="2"/>
  <c r="I136" i="2"/>
  <c r="H137" i="2"/>
  <c r="I137" i="2"/>
  <c r="H153" i="2"/>
  <c r="I153" i="2"/>
  <c r="H305" i="2"/>
  <c r="I305" i="2"/>
  <c r="H165" i="2"/>
  <c r="I165" i="2"/>
  <c r="H306" i="2"/>
  <c r="I306" i="2"/>
  <c r="H261" i="2"/>
  <c r="I261" i="2"/>
  <c r="H307" i="2"/>
  <c r="I307" i="2"/>
  <c r="H130" i="2"/>
  <c r="I130" i="2"/>
  <c r="H308" i="2"/>
  <c r="I308" i="2"/>
  <c r="H241" i="2"/>
  <c r="I241" i="2"/>
  <c r="H242" i="2"/>
  <c r="I242" i="2"/>
  <c r="H243" i="2"/>
  <c r="I243" i="2"/>
  <c r="H244" i="2"/>
  <c r="I244" i="2"/>
  <c r="H309" i="2"/>
  <c r="I309" i="2"/>
  <c r="H107" i="2"/>
  <c r="I107" i="2"/>
  <c r="H108" i="2"/>
  <c r="I108" i="2"/>
  <c r="H310" i="2"/>
  <c r="I310" i="2"/>
  <c r="H98" i="2"/>
  <c r="I98" i="2"/>
  <c r="H311" i="2"/>
  <c r="I311" i="2"/>
  <c r="H6" i="2"/>
  <c r="I6" i="2"/>
  <c r="H7" i="2"/>
  <c r="I7" i="2"/>
  <c r="H8" i="2"/>
  <c r="I8" i="2"/>
  <c r="H9" i="2"/>
  <c r="I9" i="2"/>
  <c r="H312" i="2"/>
  <c r="I312" i="2"/>
  <c r="H172" i="2"/>
  <c r="I172" i="2"/>
  <c r="H178" i="2"/>
  <c r="I178" i="2"/>
  <c r="H313" i="2"/>
  <c r="I313" i="2"/>
  <c r="H78" i="2"/>
  <c r="I78" i="2"/>
  <c r="H196" i="2"/>
  <c r="I196" i="2"/>
  <c r="H314" i="2"/>
  <c r="I314" i="2"/>
  <c r="H215" i="2"/>
  <c r="I215" i="2"/>
  <c r="H216" i="2"/>
  <c r="I216" i="2"/>
  <c r="H315" i="2"/>
  <c r="I315" i="2"/>
  <c r="H29" i="2"/>
  <c r="I29" i="2"/>
  <c r="H316" i="2"/>
  <c r="I316" i="2"/>
  <c r="H118" i="2"/>
  <c r="I118" i="2"/>
  <c r="H317" i="2"/>
  <c r="I317" i="2"/>
  <c r="H48" i="2"/>
  <c r="I48" i="2"/>
  <c r="H318" i="2"/>
  <c r="I318" i="2"/>
  <c r="H49" i="2"/>
  <c r="I49" i="2"/>
  <c r="H319" i="2"/>
  <c r="I319" i="2"/>
  <c r="H160" i="2"/>
  <c r="I160" i="2"/>
  <c r="H320" i="2"/>
  <c r="I320" i="2"/>
  <c r="H138" i="2"/>
  <c r="I138" i="2"/>
  <c r="H139" i="2"/>
  <c r="I139" i="2"/>
  <c r="H154" i="2"/>
  <c r="I154" i="2"/>
  <c r="H140" i="2"/>
  <c r="I140" i="2"/>
  <c r="H321" i="2"/>
  <c r="I321" i="2"/>
  <c r="H166" i="2"/>
  <c r="I166" i="2"/>
  <c r="H322" i="2"/>
  <c r="I322" i="2"/>
  <c r="H262" i="2"/>
  <c r="I262" i="2"/>
  <c r="H323" i="2"/>
  <c r="I323" i="2"/>
  <c r="H131" i="2"/>
  <c r="I131" i="2"/>
  <c r="H324" i="2"/>
  <c r="I324" i="2"/>
  <c r="H245" i="2"/>
  <c r="I245" i="2"/>
  <c r="H246" i="2"/>
  <c r="I246" i="2"/>
  <c r="H247" i="2"/>
  <c r="I247" i="2"/>
  <c r="H248" i="2"/>
  <c r="I248" i="2"/>
  <c r="H325" i="2"/>
  <c r="I325" i="2"/>
  <c r="H109" i="2"/>
  <c r="I109" i="2"/>
  <c r="H110" i="2"/>
  <c r="I110" i="2"/>
  <c r="H326" i="2"/>
  <c r="I326" i="2"/>
  <c r="H99" i="2"/>
  <c r="I99" i="2"/>
  <c r="H327" i="2"/>
  <c r="I327" i="2"/>
  <c r="H10" i="2"/>
  <c r="I10" i="2"/>
  <c r="H11" i="2"/>
  <c r="I11" i="2"/>
  <c r="H12" i="2"/>
  <c r="I12" i="2"/>
  <c r="H13" i="2"/>
  <c r="I13" i="2"/>
  <c r="H328" i="2"/>
  <c r="I328" i="2"/>
  <c r="H173" i="2"/>
  <c r="I173" i="2"/>
  <c r="H179" i="2"/>
  <c r="I179" i="2"/>
  <c r="H329" i="2"/>
  <c r="I329" i="2"/>
  <c r="H79" i="2"/>
  <c r="I79" i="2"/>
  <c r="H197" i="2"/>
  <c r="I197" i="2"/>
  <c r="H330" i="2"/>
  <c r="I330" i="2"/>
  <c r="H217" i="2"/>
  <c r="I217" i="2"/>
  <c r="H218" i="2"/>
  <c r="I218" i="2"/>
  <c r="H331" i="2"/>
  <c r="I331" i="2"/>
  <c r="H30" i="2"/>
  <c r="I30" i="2"/>
  <c r="H332" i="2"/>
  <c r="I332" i="2"/>
  <c r="H119" i="2"/>
  <c r="I119" i="2"/>
  <c r="H333" i="2"/>
  <c r="I333" i="2"/>
  <c r="H50" i="2"/>
  <c r="I50" i="2"/>
  <c r="H334" i="2"/>
  <c r="I334" i="2"/>
  <c r="H51" i="2"/>
  <c r="I51" i="2"/>
  <c r="H335" i="2"/>
  <c r="I335" i="2"/>
  <c r="H161" i="2"/>
  <c r="I161" i="2"/>
  <c r="H336" i="2"/>
  <c r="I336" i="2"/>
  <c r="H141" i="2"/>
  <c r="I141" i="2"/>
  <c r="H142" i="2"/>
  <c r="I142" i="2"/>
  <c r="H155" i="2"/>
  <c r="I155" i="2"/>
  <c r="H143" i="2"/>
  <c r="I143" i="2"/>
  <c r="H337" i="2"/>
  <c r="I337" i="2"/>
  <c r="H167" i="2"/>
  <c r="I167" i="2"/>
  <c r="H338" i="2"/>
  <c r="I338" i="2"/>
  <c r="H263" i="2"/>
  <c r="I263" i="2"/>
  <c r="H339" i="2"/>
  <c r="I339" i="2"/>
  <c r="H70" i="2"/>
  <c r="I70" i="2"/>
  <c r="H83" i="2"/>
  <c r="I83" i="2"/>
  <c r="H84" i="2"/>
  <c r="I84" i="2"/>
  <c r="H340" i="2"/>
  <c r="I340" i="2"/>
  <c r="H189" i="2"/>
  <c r="I189" i="2"/>
  <c r="H341" i="2"/>
  <c r="I341" i="2"/>
  <c r="H268" i="2"/>
  <c r="I268" i="2"/>
  <c r="H63" i="2"/>
  <c r="I63" i="2"/>
  <c r="H64" i="2"/>
  <c r="I64" i="2"/>
  <c r="H342" i="2"/>
  <c r="I342" i="2"/>
  <c r="H43" i="2"/>
  <c r="I43" i="2"/>
  <c r="H37" i="2"/>
  <c r="I37" i="2"/>
  <c r="H190" i="2"/>
  <c r="I190" i="2"/>
  <c r="H228" i="2"/>
  <c r="I228" i="2"/>
  <c r="H74" i="2"/>
  <c r="I74" i="2"/>
  <c r="H91" i="2"/>
  <c r="I91" i="2"/>
  <c r="H126" i="2"/>
  <c r="I126" i="2"/>
  <c r="H207" i="2"/>
  <c r="I207" i="2"/>
  <c r="H208" i="2"/>
  <c r="I208" i="2"/>
  <c r="H65" i="2"/>
  <c r="I65" i="2"/>
  <c r="H92" i="2"/>
  <c r="I92" i="2"/>
  <c r="H272" i="2"/>
  <c r="I272" i="2"/>
  <c r="H279" i="2"/>
  <c r="I279" i="2"/>
  <c r="H234" i="2"/>
  <c r="I234" i="2"/>
  <c r="H343" i="2"/>
  <c r="I343" i="2"/>
  <c r="H44" i="2"/>
  <c r="I44" i="2"/>
  <c r="H38" i="2"/>
  <c r="I38" i="2"/>
  <c r="H191" i="2"/>
  <c r="I191" i="2"/>
  <c r="H229" i="2"/>
  <c r="I229" i="2"/>
  <c r="H75" i="2"/>
  <c r="I75" i="2"/>
  <c r="H93" i="2"/>
  <c r="I93" i="2"/>
  <c r="H127" i="2"/>
  <c r="I127" i="2"/>
  <c r="H209" i="2"/>
  <c r="I209" i="2"/>
  <c r="H210" i="2"/>
  <c r="I210" i="2"/>
  <c r="H66" i="2"/>
  <c r="I66" i="2"/>
  <c r="H273" i="2"/>
  <c r="I273" i="2"/>
  <c r="H280" i="2"/>
  <c r="I280" i="2"/>
  <c r="H94" i="2"/>
  <c r="I94" i="2"/>
  <c r="H192" i="2"/>
  <c r="I192" i="2"/>
  <c r="H235" i="2"/>
  <c r="I235" i="2"/>
  <c r="H344" i="2"/>
  <c r="I344" i="2"/>
  <c r="H45" i="2"/>
  <c r="I45" i="2"/>
  <c r="H39" i="2"/>
  <c r="I39" i="2"/>
  <c r="H193" i="2"/>
  <c r="I193" i="2"/>
  <c r="H230" i="2"/>
  <c r="I230" i="2"/>
  <c r="H76" i="2"/>
  <c r="I76" i="2"/>
  <c r="H95" i="2"/>
  <c r="I95" i="2"/>
  <c r="H128" i="2"/>
  <c r="I128" i="2"/>
  <c r="H211" i="2"/>
  <c r="I211" i="2"/>
  <c r="H212" i="2"/>
  <c r="I212" i="2"/>
  <c r="H67" i="2"/>
  <c r="I67" i="2"/>
  <c r="H96" i="2"/>
  <c r="I96" i="2"/>
  <c r="H274" i="2"/>
  <c r="I274" i="2"/>
  <c r="H281" i="2"/>
  <c r="I281" i="2"/>
  <c r="H194" i="2"/>
  <c r="I194" i="2"/>
  <c r="H236" i="2"/>
  <c r="I236" i="2"/>
  <c r="H345" i="2"/>
  <c r="I345" i="2"/>
  <c r="H132" i="2"/>
  <c r="I132" i="2"/>
  <c r="H346" i="2"/>
  <c r="I346" i="2"/>
  <c r="H249" i="2"/>
  <c r="I249" i="2"/>
  <c r="H250" i="2"/>
  <c r="I250" i="2"/>
  <c r="H251" i="2"/>
  <c r="I251" i="2"/>
  <c r="H252" i="2"/>
  <c r="I252" i="2"/>
  <c r="H347" i="2"/>
  <c r="I347" i="2"/>
  <c r="H111" i="2"/>
  <c r="I111" i="2"/>
  <c r="H112" i="2"/>
  <c r="I112" i="2"/>
  <c r="H348" i="2"/>
  <c r="I348" i="2"/>
  <c r="H100" i="2"/>
  <c r="I100" i="2"/>
  <c r="H349" i="2"/>
  <c r="I349" i="2"/>
  <c r="H27" i="2"/>
  <c r="I27" i="2"/>
  <c r="H350" i="2"/>
  <c r="I350" i="2"/>
  <c r="H14" i="2"/>
  <c r="I14" i="2"/>
  <c r="H15" i="2"/>
  <c r="I15" i="2"/>
  <c r="H16" i="2"/>
  <c r="I16" i="2"/>
  <c r="H17" i="2"/>
  <c r="I17" i="2"/>
  <c r="H351" i="2"/>
  <c r="I351" i="2"/>
  <c r="H174" i="2"/>
  <c r="I174" i="2"/>
  <c r="H180" i="2"/>
  <c r="I180" i="2"/>
  <c r="H352" i="2"/>
  <c r="I352" i="2"/>
  <c r="H80" i="2"/>
  <c r="I80" i="2"/>
  <c r="H198" i="2"/>
  <c r="I198" i="2"/>
  <c r="H353" i="2"/>
  <c r="I353" i="2"/>
  <c r="H219" i="2"/>
  <c r="I219" i="2"/>
  <c r="H220" i="2"/>
  <c r="I220" i="2"/>
  <c r="H354" i="2"/>
  <c r="I354" i="2"/>
  <c r="H31" i="2"/>
  <c r="I31" i="2"/>
  <c r="H355" i="2"/>
  <c r="I355" i="2"/>
  <c r="H120" i="2"/>
  <c r="I120" i="2"/>
  <c r="H356" i="2"/>
  <c r="I356" i="2"/>
  <c r="H69" i="2"/>
  <c r="I69" i="2"/>
  <c r="H357" i="2"/>
  <c r="I357" i="2"/>
  <c r="H52" i="2"/>
  <c r="I52" i="2"/>
  <c r="H358" i="2"/>
  <c r="I358" i="2"/>
  <c r="H53" i="2"/>
  <c r="I53" i="2"/>
  <c r="H359" i="2"/>
  <c r="I359" i="2"/>
  <c r="H162" i="2"/>
  <c r="I162" i="2"/>
  <c r="H360" i="2"/>
  <c r="I360" i="2"/>
  <c r="H144" i="2"/>
  <c r="I144" i="2"/>
  <c r="H145" i="2"/>
  <c r="I145" i="2"/>
  <c r="H156" i="2"/>
  <c r="I156" i="2"/>
  <c r="H146" i="2"/>
  <c r="I146" i="2"/>
  <c r="H361" i="2"/>
  <c r="I361" i="2"/>
  <c r="H168" i="2"/>
  <c r="I168" i="2"/>
  <c r="H362" i="2"/>
  <c r="I362" i="2"/>
  <c r="H264" i="2"/>
  <c r="I264" i="2"/>
  <c r="H363" i="2"/>
  <c r="I363" i="2"/>
  <c r="H133" i="2"/>
  <c r="I133" i="2"/>
  <c r="H364" i="2"/>
  <c r="I364" i="2"/>
  <c r="H253" i="2"/>
  <c r="I253" i="2"/>
  <c r="H254" i="2"/>
  <c r="I254" i="2"/>
  <c r="H255" i="2"/>
  <c r="I255" i="2"/>
  <c r="H256" i="2"/>
  <c r="I256" i="2"/>
  <c r="H365" i="2"/>
  <c r="I365" i="2"/>
  <c r="H113" i="2"/>
  <c r="I113" i="2"/>
  <c r="H114" i="2"/>
  <c r="I114" i="2"/>
  <c r="H366" i="2"/>
  <c r="I366" i="2"/>
  <c r="H101" i="2"/>
  <c r="I101" i="2"/>
  <c r="H367" i="2"/>
  <c r="I367" i="2"/>
  <c r="H18" i="2"/>
  <c r="I18" i="2"/>
  <c r="H19" i="2"/>
  <c r="I19" i="2"/>
  <c r="H20" i="2"/>
  <c r="I20" i="2"/>
  <c r="H21" i="2"/>
  <c r="I21" i="2"/>
  <c r="H368" i="2"/>
  <c r="I368" i="2"/>
  <c r="H175" i="2"/>
  <c r="I175" i="2"/>
  <c r="H181" i="2"/>
  <c r="I181" i="2"/>
  <c r="H369" i="2"/>
  <c r="I369" i="2"/>
  <c r="H81" i="2"/>
  <c r="I81" i="2"/>
  <c r="H199" i="2"/>
  <c r="I199" i="2"/>
  <c r="H370" i="2"/>
  <c r="I370" i="2"/>
  <c r="H221" i="2"/>
  <c r="I221" i="2"/>
  <c r="H222" i="2"/>
  <c r="I222" i="2"/>
  <c r="H371" i="2"/>
  <c r="I371" i="2"/>
  <c r="H32" i="2"/>
  <c r="I32" i="2"/>
  <c r="H372" i="2"/>
  <c r="I372" i="2"/>
  <c r="H121" i="2"/>
  <c r="I121" i="2"/>
  <c r="H373" i="2"/>
  <c r="I373" i="2"/>
  <c r="H54" i="2"/>
  <c r="I54" i="2"/>
  <c r="H374" i="2"/>
  <c r="I374" i="2"/>
  <c r="H55" i="2"/>
  <c r="I55" i="2"/>
  <c r="H375" i="2"/>
  <c r="I375" i="2"/>
  <c r="H163" i="2"/>
  <c r="I163" i="2"/>
  <c r="H376" i="2"/>
  <c r="I376" i="2"/>
  <c r="H147" i="2"/>
  <c r="I147" i="2"/>
  <c r="H148" i="2"/>
  <c r="I148" i="2"/>
  <c r="H157" i="2"/>
  <c r="I157" i="2"/>
  <c r="H149" i="2"/>
  <c r="I149" i="2"/>
  <c r="H377" i="2"/>
  <c r="I377" i="2"/>
  <c r="H169" i="2"/>
  <c r="I169" i="2"/>
  <c r="H378" i="2"/>
  <c r="I378" i="2"/>
  <c r="H265" i="2"/>
  <c r="I265" i="2"/>
  <c r="H379" i="2"/>
  <c r="I379" i="2"/>
  <c r="H134" i="2"/>
  <c r="I134" i="2"/>
  <c r="H380" i="2"/>
  <c r="I380" i="2"/>
  <c r="H257" i="2"/>
  <c r="I257" i="2"/>
  <c r="H258" i="2"/>
  <c r="I258" i="2"/>
  <c r="H259" i="2"/>
  <c r="I259" i="2"/>
  <c r="H260" i="2"/>
  <c r="I260" i="2"/>
  <c r="H381" i="2"/>
  <c r="I381" i="2"/>
  <c r="H115" i="2"/>
  <c r="I115" i="2"/>
  <c r="H116" i="2"/>
  <c r="I116" i="2"/>
  <c r="H382" i="2"/>
  <c r="I382" i="2"/>
  <c r="H102" i="2"/>
  <c r="I102" i="2"/>
  <c r="H383" i="2"/>
  <c r="I383" i="2"/>
  <c r="H22" i="2"/>
  <c r="I22" i="2"/>
  <c r="H23" i="2"/>
  <c r="I23" i="2"/>
  <c r="H24" i="2"/>
  <c r="I24" i="2"/>
  <c r="H25" i="2"/>
  <c r="I25" i="2"/>
  <c r="H384" i="2"/>
  <c r="I384" i="2"/>
  <c r="H176" i="2"/>
  <c r="I176" i="2"/>
  <c r="H182" i="2"/>
  <c r="I182" i="2"/>
  <c r="H385" i="2"/>
  <c r="I385" i="2"/>
  <c r="H82" i="2"/>
  <c r="I82" i="2"/>
  <c r="H200" i="2"/>
  <c r="I200" i="2"/>
  <c r="H386" i="2"/>
  <c r="I386" i="2"/>
  <c r="H223" i="2"/>
  <c r="I223" i="2"/>
  <c r="H224" i="2"/>
  <c r="I224" i="2"/>
  <c r="H387" i="2"/>
  <c r="I387" i="2"/>
  <c r="H33" i="2"/>
  <c r="I33" i="2"/>
  <c r="H388" i="2"/>
  <c r="I388" i="2"/>
  <c r="H122" i="2"/>
  <c r="I122" i="2"/>
  <c r="H389" i="2"/>
  <c r="I389" i="2"/>
  <c r="H56" i="2"/>
  <c r="I56" i="2"/>
  <c r="H390" i="2"/>
  <c r="I390" i="2"/>
  <c r="H57" i="2"/>
  <c r="I57" i="2"/>
  <c r="H391" i="2"/>
  <c r="I391" i="2"/>
  <c r="H164" i="2"/>
  <c r="I164" i="2"/>
  <c r="H392" i="2"/>
  <c r="I392" i="2"/>
  <c r="H150" i="2"/>
  <c r="I150" i="2"/>
  <c r="H151" i="2"/>
  <c r="I151" i="2"/>
  <c r="H158" i="2"/>
  <c r="I158" i="2"/>
  <c r="H152" i="2"/>
  <c r="I152" i="2"/>
  <c r="H393" i="2"/>
  <c r="I393" i="2"/>
  <c r="H170" i="2"/>
  <c r="I170" i="2"/>
  <c r="H394" i="2"/>
  <c r="I394" i="2"/>
  <c r="H266" i="2"/>
  <c r="I266" i="2"/>
  <c r="H104" i="74" l="1"/>
  <c r="H6" i="74" s="1"/>
  <c r="F8" i="10" s="1"/>
  <c r="F22" i="10" s="1"/>
  <c r="E104" i="74"/>
  <c r="E6" i="74" s="1"/>
  <c r="H101" i="74"/>
  <c r="H3" i="74" s="1"/>
  <c r="I101" i="74"/>
  <c r="I3" i="74" s="1"/>
  <c r="F101" i="74"/>
  <c r="F3" i="74" s="1"/>
  <c r="G104" i="74"/>
  <c r="G6" i="74" s="1"/>
  <c r="E8" i="10" s="1"/>
  <c r="E22" i="10" s="1"/>
  <c r="F103" i="74"/>
  <c r="F5" i="74" s="1"/>
  <c r="D7" i="10" s="1"/>
  <c r="D21" i="10" s="1"/>
  <c r="E103" i="74"/>
  <c r="E5" i="74" s="1"/>
  <c r="F104" i="74"/>
  <c r="F6" i="74" s="1"/>
  <c r="D8" i="10" s="1"/>
  <c r="D22" i="10" s="1"/>
  <c r="H103" i="74"/>
  <c r="H5" i="74" s="1"/>
  <c r="F7" i="10" s="1"/>
  <c r="F21" i="10" s="1"/>
  <c r="I104" i="74"/>
  <c r="I6" i="74" s="1"/>
  <c r="G8" i="10" s="1"/>
  <c r="G22" i="10" s="1"/>
  <c r="F102" i="74"/>
  <c r="F4" i="74" s="1"/>
  <c r="D6" i="10" s="1"/>
  <c r="D20" i="10" s="1"/>
  <c r="I102" i="74"/>
  <c r="I4" i="74" s="1"/>
  <c r="G6" i="10" s="1"/>
  <c r="G20" i="10" s="1"/>
  <c r="H102" i="74"/>
  <c r="H4" i="74" s="1"/>
  <c r="F6" i="10" s="1"/>
  <c r="F20" i="10" s="1"/>
  <c r="D103" i="74"/>
  <c r="D102" i="74"/>
  <c r="D104" i="74"/>
  <c r="E102" i="74"/>
  <c r="E4" i="74" s="1"/>
  <c r="I103" i="74"/>
  <c r="I5" i="74" s="1"/>
  <c r="G7" i="10" s="1"/>
  <c r="G21" i="10" s="1"/>
  <c r="E101" i="74"/>
  <c r="E3" i="74" s="1"/>
  <c r="G101" i="74"/>
  <c r="G3" i="74" s="1"/>
  <c r="D101" i="74"/>
  <c r="G103" i="74"/>
  <c r="G5" i="74" s="1"/>
  <c r="E7" i="10" s="1"/>
  <c r="E21" i="10" s="1"/>
  <c r="G102" i="74"/>
  <c r="G4" i="74" s="1"/>
  <c r="E6" i="10" s="1"/>
  <c r="E20" i="10" s="1"/>
  <c r="D3" i="74" l="1"/>
  <c r="C7" i="10"/>
  <c r="C21" i="10" s="1"/>
  <c r="I21" i="10" s="1"/>
  <c r="D5" i="74"/>
  <c r="C6" i="10"/>
  <c r="C20" i="10" s="1"/>
  <c r="I20" i="10" s="1"/>
  <c r="D4" i="74"/>
  <c r="D14" i="104" s="1"/>
  <c r="C8" i="10"/>
  <c r="C22" i="10" s="1"/>
  <c r="I22" i="10" s="1"/>
  <c r="D6" i="74"/>
  <c r="D16" i="104" s="1"/>
  <c r="B38" i="59"/>
  <c r="B35" i="59"/>
  <c r="G14" i="104"/>
  <c r="G20" i="104"/>
  <c r="F20" i="104"/>
  <c r="F14" i="104"/>
  <c r="I16" i="104"/>
  <c r="I22" i="104"/>
  <c r="E14" i="104"/>
  <c r="E20" i="104"/>
  <c r="H14" i="104"/>
  <c r="H20" i="104"/>
  <c r="G16" i="104"/>
  <c r="G22" i="104"/>
  <c r="E16" i="104"/>
  <c r="E22" i="104"/>
  <c r="D22" i="104"/>
  <c r="I20" i="104"/>
  <c r="I14" i="104"/>
  <c r="F16" i="104"/>
  <c r="F22" i="104"/>
  <c r="H16" i="104"/>
  <c r="H22" i="104"/>
  <c r="B36" i="59"/>
  <c r="H15" i="104"/>
  <c r="H21" i="104"/>
  <c r="E15" i="104"/>
  <c r="E21" i="104"/>
  <c r="G21" i="104"/>
  <c r="G15" i="104"/>
  <c r="I15" i="104"/>
  <c r="I21" i="104"/>
  <c r="D15" i="104"/>
  <c r="D21" i="104"/>
  <c r="F15" i="104"/>
  <c r="F21" i="104"/>
  <c r="H43" i="57"/>
  <c r="H32" i="57"/>
  <c r="H51" i="57"/>
  <c r="H52" i="57"/>
  <c r="H8" i="57"/>
  <c r="E16" i="57"/>
  <c r="H36" i="57"/>
  <c r="D52" i="57"/>
  <c r="D22" i="57"/>
  <c r="G44" i="57"/>
  <c r="H39" i="57"/>
  <c r="D23" i="57"/>
  <c r="D9" i="57"/>
  <c r="E46" i="57"/>
  <c r="E41" i="57"/>
  <c r="D8" i="57"/>
  <c r="F26" i="57"/>
  <c r="G29" i="57"/>
  <c r="D56" i="57"/>
  <c r="D29" i="57"/>
  <c r="G58" i="57"/>
  <c r="E18" i="57"/>
  <c r="H53" i="57"/>
  <c r="F14" i="57"/>
  <c r="D25" i="57"/>
  <c r="D94" i="10"/>
  <c r="E35" i="57"/>
  <c r="E48" i="57"/>
  <c r="H17" i="57"/>
  <c r="H30" i="57"/>
  <c r="E45" i="57"/>
  <c r="E8" i="57"/>
  <c r="E29" i="57"/>
  <c r="D54" i="57"/>
  <c r="H54" i="57"/>
  <c r="D46" i="57"/>
  <c r="D26" i="57"/>
  <c r="G52" i="57"/>
  <c r="F17" i="57"/>
  <c r="H13" i="57"/>
  <c r="D40" i="57"/>
  <c r="D48" i="57"/>
  <c r="G32" i="57"/>
  <c r="F41" i="57"/>
  <c r="D64" i="57"/>
  <c r="F34" i="57"/>
  <c r="D14" i="57"/>
  <c r="G31" i="57"/>
  <c r="E17" i="57"/>
  <c r="H9" i="57"/>
  <c r="D67" i="57"/>
  <c r="D21" i="57"/>
  <c r="F22" i="57"/>
  <c r="G42" i="57"/>
  <c r="D31" i="57"/>
  <c r="F32" i="57"/>
  <c r="G17" i="57"/>
  <c r="D50" i="57"/>
  <c r="G8" i="57"/>
  <c r="F44" i="57"/>
  <c r="D19" i="57"/>
  <c r="F25" i="57"/>
  <c r="G38" i="57"/>
  <c r="H44" i="57"/>
  <c r="G10" i="57"/>
  <c r="G64" i="57"/>
  <c r="G41" i="57"/>
  <c r="D73" i="10"/>
  <c r="H19" i="57"/>
  <c r="G50" i="57"/>
  <c r="E52" i="57"/>
  <c r="H25" i="57"/>
  <c r="F31" i="57"/>
  <c r="E11" i="57"/>
  <c r="H24" i="57"/>
  <c r="G18" i="57"/>
  <c r="D42" i="57"/>
  <c r="E23" i="57"/>
  <c r="F7" i="57"/>
  <c r="H15" i="57"/>
  <c r="E22" i="57"/>
  <c r="D39" i="57"/>
  <c r="F52" i="57"/>
  <c r="D57" i="57"/>
  <c r="E67" i="57"/>
  <c r="G48" i="57"/>
  <c r="F42" i="57"/>
  <c r="H38" i="57"/>
  <c r="E39" i="57"/>
  <c r="G5" i="57"/>
  <c r="E24" i="57"/>
  <c r="H23" i="57"/>
  <c r="G22" i="57"/>
  <c r="D43" i="57"/>
  <c r="H27" i="57"/>
  <c r="G7" i="57"/>
  <c r="E7" i="57"/>
  <c r="F35" i="57"/>
  <c r="D32" i="57"/>
  <c r="E40" i="57"/>
  <c r="E21" i="57"/>
  <c r="F11" i="57"/>
  <c r="G47" i="57"/>
  <c r="F27" i="57"/>
  <c r="F16" i="57"/>
  <c r="H14" i="57"/>
  <c r="H26" i="57"/>
  <c r="E34" i="57"/>
  <c r="G36" i="57"/>
  <c r="G51" i="57"/>
  <c r="G24" i="57"/>
  <c r="E50" i="57"/>
  <c r="G16" i="57"/>
  <c r="G23" i="57"/>
  <c r="E43" i="57"/>
  <c r="G45" i="57"/>
  <c r="H21" i="57"/>
  <c r="H16" i="57"/>
  <c r="E12" i="57"/>
  <c r="G13" i="57"/>
  <c r="E15" i="57"/>
  <c r="E47" i="57"/>
  <c r="F21" i="57"/>
  <c r="D47" i="57"/>
  <c r="H22" i="57"/>
  <c r="H5" i="57"/>
  <c r="F24" i="57"/>
  <c r="D30" i="57"/>
  <c r="H12" i="57"/>
  <c r="F15" i="57"/>
  <c r="F36" i="57"/>
  <c r="D51" i="57"/>
  <c r="F30" i="57"/>
  <c r="F55" i="57"/>
  <c r="F64" i="57"/>
  <c r="D24" i="57"/>
  <c r="G39" i="57"/>
  <c r="E68" i="57"/>
  <c r="D10" i="57"/>
  <c r="G20" i="57"/>
  <c r="F29" i="57"/>
  <c r="F40" i="57"/>
  <c r="E33" i="57"/>
  <c r="H48" i="57"/>
  <c r="G21" i="57"/>
  <c r="G19" i="57"/>
  <c r="H40" i="57"/>
  <c r="D7" i="57"/>
  <c r="G43" i="57"/>
  <c r="D68" i="57"/>
  <c r="D59" i="57"/>
  <c r="G53" i="57"/>
  <c r="D34" i="57"/>
  <c r="H34" i="57"/>
  <c r="H7" i="57"/>
  <c r="F39" i="57"/>
  <c r="E38" i="57"/>
  <c r="D12" i="57"/>
  <c r="H31" i="57"/>
  <c r="E25" i="57"/>
  <c r="D18" i="57"/>
  <c r="E53" i="57"/>
  <c r="F53" i="57"/>
  <c r="G27" i="57"/>
  <c r="F13" i="57"/>
  <c r="D27" i="57"/>
  <c r="F8" i="57"/>
  <c r="H10" i="57"/>
  <c r="F58" i="57"/>
  <c r="D41" i="57"/>
  <c r="C75" i="57"/>
  <c r="H58" i="57"/>
  <c r="F67" i="57"/>
  <c r="F59" i="57"/>
  <c r="G33" i="57"/>
  <c r="H33" i="57"/>
  <c r="E26" i="57"/>
  <c r="G25" i="57"/>
  <c r="F12" i="57"/>
  <c r="F46" i="57"/>
  <c r="F45" i="57"/>
  <c r="D5" i="57"/>
  <c r="F43" i="57"/>
  <c r="F48" i="57"/>
  <c r="E54" i="57"/>
  <c r="E64" i="57"/>
  <c r="H35" i="57"/>
  <c r="E13" i="57"/>
  <c r="H50" i="57"/>
  <c r="D44" i="57"/>
  <c r="E44" i="57"/>
  <c r="F50" i="57"/>
  <c r="F5" i="57"/>
  <c r="G11" i="57"/>
  <c r="D36" i="57"/>
  <c r="F38" i="57"/>
  <c r="G15" i="57"/>
  <c r="F33" i="57"/>
  <c r="E27" i="57"/>
  <c r="E36" i="57"/>
  <c r="E9" i="57"/>
  <c r="G14" i="57"/>
  <c r="H41" i="57"/>
  <c r="E30" i="57"/>
  <c r="F56" i="57"/>
  <c r="F10" i="57"/>
  <c r="E14" i="57"/>
  <c r="F19" i="57"/>
  <c r="D53" i="57"/>
  <c r="H42" i="57"/>
  <c r="D58" i="57"/>
  <c r="G35" i="57"/>
  <c r="E5" i="57"/>
  <c r="H29" i="57"/>
  <c r="D13" i="57"/>
  <c r="E32" i="57"/>
  <c r="H20" i="57"/>
  <c r="F9" i="57"/>
  <c r="G34" i="57"/>
  <c r="F51" i="57"/>
  <c r="H11" i="57"/>
  <c r="E42" i="57"/>
  <c r="D45" i="57"/>
  <c r="E19" i="57"/>
  <c r="G9" i="57"/>
  <c r="H46" i="57"/>
  <c r="F47" i="57"/>
  <c r="G46" i="57"/>
  <c r="G26" i="57"/>
  <c r="F20" i="57"/>
  <c r="G30" i="57"/>
  <c r="F57" i="57"/>
  <c r="H47" i="57"/>
  <c r="D15" i="57"/>
  <c r="E10" i="57"/>
  <c r="E31" i="57"/>
  <c r="G12" i="57"/>
  <c r="E20" i="57"/>
  <c r="G54" i="57"/>
  <c r="D11" i="57"/>
  <c r="F18" i="57"/>
  <c r="D17" i="57"/>
  <c r="H18" i="57"/>
  <c r="D33" i="57"/>
  <c r="D16" i="57"/>
  <c r="F23" i="57"/>
  <c r="F54" i="57"/>
  <c r="D38" i="57"/>
  <c r="D20" i="57"/>
  <c r="D55" i="57"/>
  <c r="E58" i="57"/>
  <c r="H45" i="57"/>
  <c r="D35" i="57"/>
  <c r="G40" i="57"/>
  <c r="E51" i="57"/>
  <c r="B61" i="59" l="1"/>
  <c r="D20" i="104"/>
  <c r="B40" i="59"/>
  <c r="B41" i="59"/>
  <c r="B39" i="59"/>
  <c r="I6" i="10"/>
  <c r="I8" i="10"/>
  <c r="I7" i="10"/>
  <c r="H19" i="104"/>
  <c r="F19" i="104"/>
  <c r="G13" i="104"/>
  <c r="H13" i="104"/>
  <c r="F5" i="10"/>
  <c r="E29" i="134" s="1"/>
  <c r="I19" i="104"/>
  <c r="I13" i="104"/>
  <c r="G5" i="10"/>
  <c r="F29" i="134" s="1"/>
  <c r="F13" i="104"/>
  <c r="D5" i="10"/>
  <c r="C29" i="134" s="1"/>
  <c r="C5" i="10"/>
  <c r="B29" i="134" s="1"/>
  <c r="B14" i="134" l="1"/>
  <c r="B12" i="134"/>
  <c r="E14" i="134"/>
  <c r="E25" i="134" s="1"/>
  <c r="E12" i="134"/>
  <c r="C12" i="134"/>
  <c r="C14" i="134"/>
  <c r="C25" i="134" s="1"/>
  <c r="F14" i="134"/>
  <c r="F25" i="134" s="1"/>
  <c r="F12" i="134"/>
  <c r="C19" i="10"/>
  <c r="C24" i="10" s="1"/>
  <c r="D29" i="10" s="1"/>
  <c r="F10" i="10"/>
  <c r="E32" i="10" s="1"/>
  <c r="D19" i="10"/>
  <c r="D24" i="10" s="1"/>
  <c r="D30" i="10" s="1"/>
  <c r="G10" i="10"/>
  <c r="E33" i="10" s="1"/>
  <c r="D10" i="10"/>
  <c r="E30" i="10" s="1"/>
  <c r="G19" i="104"/>
  <c r="C10" i="10"/>
  <c r="E29" i="10" s="1"/>
  <c r="E5" i="10"/>
  <c r="D29" i="134" s="1"/>
  <c r="G19" i="10"/>
  <c r="G24" i="10" s="1"/>
  <c r="D33" i="10" s="1"/>
  <c r="E19" i="104"/>
  <c r="E13" i="104"/>
  <c r="D3" i="132"/>
  <c r="F19" i="10"/>
  <c r="F24" i="10" s="1"/>
  <c r="D32" i="10" s="1"/>
  <c r="D66" i="57"/>
  <c r="E66" i="57"/>
  <c r="E23" i="134" l="1"/>
  <c r="E15" i="134"/>
  <c r="C23" i="134"/>
  <c r="C15" i="134"/>
  <c r="F23" i="134"/>
  <c r="F15" i="134"/>
  <c r="B15" i="134"/>
  <c r="B25" i="134"/>
  <c r="B23" i="134"/>
  <c r="D14" i="134"/>
  <c r="D25" i="134" s="1"/>
  <c r="D12" i="134"/>
  <c r="I5" i="10"/>
  <c r="I10" i="10"/>
  <c r="E10" i="10"/>
  <c r="E31" i="10" s="1"/>
  <c r="E34" i="10" s="1"/>
  <c r="E19" i="10"/>
  <c r="D19" i="104"/>
  <c r="D13" i="104"/>
  <c r="D47" i="10"/>
  <c r="D23" i="134" l="1"/>
  <c r="D15" i="134"/>
  <c r="H12" i="134"/>
  <c r="H14" i="134"/>
  <c r="B15" i="59"/>
  <c r="F75" i="10"/>
  <c r="F106" i="10"/>
  <c r="B14" i="59"/>
  <c r="F82" i="10"/>
  <c r="I12" i="10"/>
  <c r="F63" i="10"/>
  <c r="F86" i="10"/>
  <c r="F91" i="10"/>
  <c r="F73" i="10"/>
  <c r="F44" i="10"/>
  <c r="F98" i="10"/>
  <c r="F96" i="10"/>
  <c r="F92" i="10"/>
  <c r="F60" i="10"/>
  <c r="F85" i="10"/>
  <c r="F100" i="10"/>
  <c r="F69" i="10"/>
  <c r="F64" i="10"/>
  <c r="F47" i="10"/>
  <c r="F93" i="10"/>
  <c r="F76" i="10"/>
  <c r="F83" i="10"/>
  <c r="F46" i="10"/>
  <c r="F78" i="10"/>
  <c r="F57" i="10"/>
  <c r="F104" i="10"/>
  <c r="F105" i="10"/>
  <c r="F77" i="10"/>
  <c r="F88" i="10"/>
  <c r="F51" i="10"/>
  <c r="F89" i="10"/>
  <c r="F61" i="10"/>
  <c r="F55" i="10"/>
  <c r="F58" i="10"/>
  <c r="F53" i="10"/>
  <c r="F99" i="10"/>
  <c r="F103" i="10"/>
  <c r="F97" i="10"/>
  <c r="F95" i="10"/>
  <c r="F59" i="10"/>
  <c r="F80" i="10"/>
  <c r="F43" i="10"/>
  <c r="F67" i="10"/>
  <c r="F70" i="10"/>
  <c r="F56" i="10"/>
  <c r="F87" i="10"/>
  <c r="F71" i="10"/>
  <c r="F90" i="10"/>
  <c r="F94" i="10"/>
  <c r="F102" i="10"/>
  <c r="F48" i="10"/>
  <c r="F101" i="10"/>
  <c r="F45" i="10"/>
  <c r="F62" i="10"/>
  <c r="F68" i="10"/>
  <c r="F74" i="10"/>
  <c r="F81" i="10"/>
  <c r="F50" i="10"/>
  <c r="F52" i="10"/>
  <c r="F79" i="10"/>
  <c r="F54" i="10"/>
  <c r="F72" i="10"/>
  <c r="F66" i="10"/>
  <c r="F84" i="10"/>
  <c r="F65" i="10"/>
  <c r="F49" i="10"/>
  <c r="E24" i="10"/>
  <c r="D31" i="10" s="1"/>
  <c r="D34" i="10" s="1"/>
  <c r="I19" i="10"/>
  <c r="I24" i="10"/>
  <c r="H15" i="134" l="1"/>
</calcChain>
</file>

<file path=xl/sharedStrings.xml><?xml version="1.0" encoding="utf-8"?>
<sst xmlns="http://schemas.openxmlformats.org/spreadsheetml/2006/main" count="15685" uniqueCount="3522">
  <si>
    <t>Asset Name</t>
  </si>
  <si>
    <t>Parent Location</t>
  </si>
  <si>
    <t>PM Name</t>
  </si>
  <si>
    <t>PM ID</t>
  </si>
  <si>
    <t>Frequency Desc</t>
  </si>
  <si>
    <t>Last Generated Date</t>
  </si>
  <si>
    <t>Next Scheduled Date</t>
  </si>
  <si>
    <t>Bungalora</t>
  </si>
  <si>
    <t>Bungalora </t>
  </si>
  <si>
    <t>DirectLink </t>
  </si>
  <si>
    <t>CIRCUIT BREAKER MAINTENANCE - 3YR </t>
  </si>
  <si>
    <t>QLD-ET-WI-PM036-0140-BLA1 </t>
  </si>
  <si>
    <t>Every 3 year(s) </t>
  </si>
  <si>
    <t>20/09/2011 </t>
  </si>
  <si>
    <t>20/09/2014 </t>
  </si>
  <si>
    <t>REACTOR MAINTENANCE - 15YR </t>
  </si>
  <si>
    <t>QLD-ET-WI-PM180-0104-BLA1 </t>
  </si>
  <si>
    <t>Every 15 year(s) </t>
  </si>
  <si>
    <t>15/12/2000 </t>
  </si>
  <si>
    <t>15/12/2015 </t>
  </si>
  <si>
    <t>CIRCUIT BREAKER MAINTENANCE - 15YR </t>
  </si>
  <si>
    <t>QLD-ET-WI-PM180-0140-BLA1 </t>
  </si>
  <si>
    <t>1/10/2000 </t>
  </si>
  <si>
    <t>1/10/2015 </t>
  </si>
  <si>
    <t>CIRCUIT BREAKER MAINTENANCE - 30YR </t>
  </si>
  <si>
    <t>QLD-ET-WI-PM360-0140-BLA1 </t>
  </si>
  <si>
    <t>Every 30 year(s) </t>
  </si>
  <si>
    <t>1/10/2030 </t>
  </si>
  <si>
    <t>Bungalora - 110kV Overhead Bus</t>
  </si>
  <si>
    <t>Bungalora - 110kV Overhead Bus </t>
  </si>
  <si>
    <t>PLC FILTER TURNING UNIT MAINTENANCE </t>
  </si>
  <si>
    <t>QLD-ET-WI-PM060-0150-BLA </t>
  </si>
  <si>
    <t>Every 5 year(s) </t>
  </si>
  <si>
    <t>1/10/2010 </t>
  </si>
  <si>
    <t>OIL FILLED CAPACITOR MAINTENANCE - 3YR </t>
  </si>
  <si>
    <t>QLD-ET-WI-PM036-0010-BLA </t>
  </si>
  <si>
    <t>1/10/2011 </t>
  </si>
  <si>
    <t>1/10/2014 </t>
  </si>
  <si>
    <t>YARD MAINTENANCE </t>
  </si>
  <si>
    <t>QLD-ET-WI-PM001-0010 </t>
  </si>
  <si>
    <t>The last Fr of every 1 month(s) </t>
  </si>
  <si>
    <t>27/09/2013 </t>
  </si>
  <si>
    <t>25/10/2013 </t>
  </si>
  <si>
    <t>Bungalora - System 1</t>
  </si>
  <si>
    <t>Bungalora - System 1 </t>
  </si>
  <si>
    <t>ENERGISED MAINTENANCE INSPECTION </t>
  </si>
  <si>
    <t>QLD-ET-WI-PM001-0005 </t>
  </si>
  <si>
    <t>Every 1 month(s) </t>
  </si>
  <si>
    <t>27/10/2013 </t>
  </si>
  <si>
    <t>EMERGENCY LIGHTING MAINTENANCE </t>
  </si>
  <si>
    <t>QLD-ET-WI-PM006-0004 </t>
  </si>
  <si>
    <t>Every 6 month(s) </t>
  </si>
  <si>
    <t>1/10/2013 </t>
  </si>
  <si>
    <t>1/04/2014 </t>
  </si>
  <si>
    <t>REACTOR MAINTENANCE - 1YR </t>
  </si>
  <si>
    <t>QLD-ET-WI-PM012-0104 </t>
  </si>
  <si>
    <t>Every 1 year(s) </t>
  </si>
  <si>
    <t>27/07/2013 </t>
  </si>
  <si>
    <t>27/07/2014 </t>
  </si>
  <si>
    <t>DIRECT VOLTAGE DIVIDER MAINTENANCE - 1YR </t>
  </si>
  <si>
    <t>QLD-ET-WI-PM012-0120-BLA1 </t>
  </si>
  <si>
    <t>CONVERTER STATION THERMOGRAPHIC INSPECTION </t>
  </si>
  <si>
    <t>QLD-ET-WI-PM012-0126 </t>
  </si>
  <si>
    <t>DIRECT VOLTAGE DIVIDER MAINTENANCE - 2YR </t>
  </si>
  <si>
    <t>QLD-ET-WI-PM024-0120-BLA1 </t>
  </si>
  <si>
    <t>Every 2 year(s) </t>
  </si>
  <si>
    <t>1/09/2013 </t>
  </si>
  <si>
    <t>1/09/2015 </t>
  </si>
  <si>
    <t>QLD-ET-WI-PM036-0010-BLA1 </t>
  </si>
  <si>
    <t>OUTDOOR POST TYPE CURRENT TRANSFORMER - 5YR </t>
  </si>
  <si>
    <t>QLD-ET-WI-PM060-0022-BLA1 </t>
  </si>
  <si>
    <t>27/07/2010 </t>
  </si>
  <si>
    <t>27/07/2015 </t>
  </si>
  <si>
    <t>HAND OPERATED DISCONNECTOR &amp; EARTH SWITCH MAINT </t>
  </si>
  <si>
    <t>QLD-ET-WI-PM120-0180-BLA1 </t>
  </si>
  <si>
    <t>Every 10 year(s) </t>
  </si>
  <si>
    <t>1/10/2020 </t>
  </si>
  <si>
    <t>HALL EFFECT CURRENT TRANSDUCER MAINTENANCE </t>
  </si>
  <si>
    <t>QLD-ET-WI-PM012-0014-BLA1 </t>
  </si>
  <si>
    <t>OUTDOOR POST TYPE CURRENT TRANSFORMER - 1YR </t>
  </si>
  <si>
    <t>QLD-ET-WI-PM012-0022-BLA1 </t>
  </si>
  <si>
    <t>ZINC OXIDE SURGE ARRESTOR MAINTENANCE </t>
  </si>
  <si>
    <t>QLD-ET-WI-PM012-0038-BLA1 </t>
  </si>
  <si>
    <t>MOTOR OPERATED DISCONN &amp; EARTH SWITCH MAINTENANCE </t>
  </si>
  <si>
    <t>QLD-ET-WI-PM072-0160-BLA1 </t>
  </si>
  <si>
    <t>Every 6 year(s) </t>
  </si>
  <si>
    <t>1/10/2012 </t>
  </si>
  <si>
    <t>1/10/2018 </t>
  </si>
  <si>
    <t>FUNCTIONAL TEST OF EMERGENCY STOP BUTTON </t>
  </si>
  <si>
    <t>QLD-ET-WI-PM012-0128 </t>
  </si>
  <si>
    <t>1/08/2013 </t>
  </si>
  <si>
    <t>1/08/2014 </t>
  </si>
  <si>
    <t>Bungalora - System 2</t>
  </si>
  <si>
    <t>Bungalora - System 2 </t>
  </si>
  <si>
    <t>QLD-ET-WI-PM072-0160-BLA2 </t>
  </si>
  <si>
    <t>QLD-ET-WI-PM012-0014-BLA2 </t>
  </si>
  <si>
    <t>QLD-ET-WI-PM012-0022-BLA2 </t>
  </si>
  <si>
    <t>QLD-ET-WI-PM012-0038-BLA2 </t>
  </si>
  <si>
    <t>QLD-ET-WI-PM012-0120-BLA2 </t>
  </si>
  <si>
    <t>QLD-ET-WI-PM024-0120-BLA2 </t>
  </si>
  <si>
    <t>QLD-ET-WI-PM036-0010-BLA2 </t>
  </si>
  <si>
    <t>QLD-ET-WI-PM060-0022-BLA2 </t>
  </si>
  <si>
    <t>HAND OPERATED DISCONNECTOR &amp; EARTH SWTICH MAINT </t>
  </si>
  <si>
    <t>QLD-ET-WI-PM120-0180-BLA2 </t>
  </si>
  <si>
    <t>QLD-ET-WI-PM180-0104-BLA2 </t>
  </si>
  <si>
    <t>6/08/2013 </t>
  </si>
  <si>
    <t>6/08/2014 </t>
  </si>
  <si>
    <t>Bungalora - System 3</t>
  </si>
  <si>
    <t>Bungalora - System 3 </t>
  </si>
  <si>
    <t>QLD-ET-WI-PM012-0014-BLA3 </t>
  </si>
  <si>
    <t>QLD-ET-WI-PM012-0022-BLA3 </t>
  </si>
  <si>
    <t>QLD-ET-WI-PM012-0038-BLA3 </t>
  </si>
  <si>
    <t>QLD-ET-WI-PM012-0120-BLA3 </t>
  </si>
  <si>
    <t>QLD-ET-WI-PM024-0120-BLA3 </t>
  </si>
  <si>
    <t>QLD-ET-WI-PM036-0010-BLA3 </t>
  </si>
  <si>
    <t>QLD-ET-WI-PM060-0022-BLA3 </t>
  </si>
  <si>
    <t>QLD-ET-WI-PM072-0160-BLA3 </t>
  </si>
  <si>
    <t>QLD-ET-WI-PM120-0180-BLA3 </t>
  </si>
  <si>
    <t>QLD-ET-WI-PM180-0104-BLA3 </t>
  </si>
  <si>
    <t>13/08/2013 </t>
  </si>
  <si>
    <t>13/08/2014 </t>
  </si>
  <si>
    <t>Bungalora System 1 - AC Filter Area</t>
  </si>
  <si>
    <t>Bungalora System 1 - AC Filter Area </t>
  </si>
  <si>
    <t>AC FILTER RESISTOR MAINTENANCE </t>
  </si>
  <si>
    <t>QLD-ET-WI-PM012-0042-BLA1 </t>
  </si>
  <si>
    <t>Bungalora System 1 - AC Switchyard Area WT1</t>
  </si>
  <si>
    <t>Bungalora System 1 - AC Switchyard Area WT1 </t>
  </si>
  <si>
    <t>CIRCUIT BREAKER MAINTENANCE - 6YR </t>
  </si>
  <si>
    <t>QLD-ET-WI-PM072-0140-BLA1 </t>
  </si>
  <si>
    <t>Bungalora System 1 - AC Switchyard Area WT2</t>
  </si>
  <si>
    <t>Bungalora System 1 - AC Switchyard Area WT2 </t>
  </si>
  <si>
    <t>POWER TRANSFORMER MAINTENANCE </t>
  </si>
  <si>
    <t>QLD-ET-WI-PM012-0028-BLA1 </t>
  </si>
  <si>
    <t>Bungalora System 1 - Capacitive Voltage Transformer WA.Z1.T11</t>
  </si>
  <si>
    <t>Bungalora System 1 - Capacitive Voltage Transformer WA.Z1.T11 </t>
  </si>
  <si>
    <t>CAPACITIVE VOLTAGE TRANSFORMER MAINTENANCE - 1YR </t>
  </si>
  <si>
    <t>QLD-ET-WI-PM012-0026 </t>
  </si>
  <si>
    <t>CAPACITIVE VOLTAGE TRANSFORMER MAINTENANCE - 10YR </t>
  </si>
  <si>
    <t>QLD-ET-WI-PM120-0026 </t>
  </si>
  <si>
    <t>Bungalora System 1 - DC Filter Area</t>
  </si>
  <si>
    <t>Bungalora System 1 - DC Filter Area </t>
  </si>
  <si>
    <t>CABLE SCREEN CURRENT TRANSFORMER </t>
  </si>
  <si>
    <t>QLD-ET-WI-PM012-0024-BLA1 </t>
  </si>
  <si>
    <t>Bungalora System 1 - Eye Wash Station</t>
  </si>
  <si>
    <t>Bungalora System 1 - Eye Wash Station </t>
  </si>
  <si>
    <t>Bungalora System 1 - Small Plant &amp; Safety Equipment </t>
  </si>
  <si>
    <t>CHECK EYE WASH STATION </t>
  </si>
  <si>
    <t>QLD-ET-WI-PM003-0001 </t>
  </si>
  <si>
    <t>Every 3 month(s) </t>
  </si>
  <si>
    <t>1/12/2013 </t>
  </si>
  <si>
    <t>Bungalora System 1 - Fire Alarm System</t>
  </si>
  <si>
    <t>Bungalora System 1 - Fire Alarm System </t>
  </si>
  <si>
    <t>Bungalora System 1 - Fire System Equipment </t>
  </si>
  <si>
    <t>FIRE DETECTION &amp; ALARM SYSTEM - 1M </t>
  </si>
  <si>
    <t>QLD-ET-WI-PM001-0000 </t>
  </si>
  <si>
    <t>FIRE DETECTION &amp; ALARM SYSTEM - 6M </t>
  </si>
  <si>
    <t>QLD-ET-WI-PM006-0000 </t>
  </si>
  <si>
    <t>27/01/2014 </t>
  </si>
  <si>
    <t>FIRE DETECTION &amp; ALARM SYSTEM - 1YR </t>
  </si>
  <si>
    <t>QLD-ET-WI-PM012-0000 </t>
  </si>
  <si>
    <t>FIRE DETECTION &amp; ALARM SYSTEM - 2YR </t>
  </si>
  <si>
    <t>QLD-ET-WI-PM024-0000 </t>
  </si>
  <si>
    <t>27/07/2012 </t>
  </si>
  <si>
    <t>Bungalora System 1 - Heating Ventilating &amp; Air Conditioning</t>
  </si>
  <si>
    <t>Bungalora System 1 - Heating Ventilating &amp; Air Conditioning </t>
  </si>
  <si>
    <t>VALVE DEHUMIDIFIER MAINTENANCE </t>
  </si>
  <si>
    <t>QLD-ET-WI-PM012-0060 </t>
  </si>
  <si>
    <t>21/07/2013 </t>
  </si>
  <si>
    <t>21/07/2014 </t>
  </si>
  <si>
    <t>VALVE HUMIDITY CONTROL SYSTEM </t>
  </si>
  <si>
    <t>QLD-ET-WI-PM012-0062 </t>
  </si>
  <si>
    <t>Bungalora System 1 - Inverter / Rectifier Area</t>
  </si>
  <si>
    <t>Bungalora System 1 - Inverter / Rectifier Area </t>
  </si>
  <si>
    <t>ROGOWSKI CURRENT TRANSDUCER MAINTENANCE </t>
  </si>
  <si>
    <t>QLD-ET-WI-PM012-0016 </t>
  </si>
  <si>
    <t>IGBT VALVE MAINTENANCE </t>
  </si>
  <si>
    <t>QLD-ET-WI-PM012-0110 </t>
  </si>
  <si>
    <t>Bungalora System 1 - Main Station Incoming AC Disconnector</t>
  </si>
  <si>
    <t>Bungalora System 1 - Main Station Incoming AC Disconnector </t>
  </si>
  <si>
    <t>QLD-ET-WI-PM120-0180 </t>
  </si>
  <si>
    <t>Bungalora System 1 - Main Stn Incoming Capacitive Volt Transformer WT.T11</t>
  </si>
  <si>
    <t>Bungalora System 1 - Main Stn Incoming Capacitive Volt Transformer WT.T11 </t>
  </si>
  <si>
    <t>Bungalora System 1 - Nitrogen Semi Automatic Discharge Unit</t>
  </si>
  <si>
    <t>Bungalora System 1 - Nitrogen Semi Automatic Discharge Unit </t>
  </si>
  <si>
    <t>Bungalora System 1 - Valve Cooling System </t>
  </si>
  <si>
    <t>NITROGEN DISCHARGE UNIT MAINTENANCE - 1YR </t>
  </si>
  <si>
    <t>QLD-ET-WI-PM012-0124 </t>
  </si>
  <si>
    <t>NITROGEN DISCHARGE UNIT MAINTENANCE - 3YR </t>
  </si>
  <si>
    <t>QLD-ET-WI-PM036-0124 </t>
  </si>
  <si>
    <t>Bungalora System 1 - Portable Fire Extinguisher</t>
  </si>
  <si>
    <t>Bungalora System 1 - Portable Fire Extinguisher </t>
  </si>
  <si>
    <t>PORTABLE FIRE EXTINGUISHER INSPECTION </t>
  </si>
  <si>
    <t>QLD-ET-WI-PM006-0003 </t>
  </si>
  <si>
    <t>Bungalora System 1 - Spill Kits</t>
  </si>
  <si>
    <t>Bungalora System 1 - Spill Kits </t>
  </si>
  <si>
    <t>INSPECT SPILL KITS </t>
  </si>
  <si>
    <t>QLD-ET-WI-PM006-0011 </t>
  </si>
  <si>
    <t>1/03/2014 </t>
  </si>
  <si>
    <t>Bungalora System 1 - Uniterruptable DC and AC Supply A</t>
  </si>
  <si>
    <t>Bungalora System 1 - Uniterruptable DC and AC Supply A </t>
  </si>
  <si>
    <t>Bungalora System 1 - Station Service Power System </t>
  </si>
  <si>
    <t>UNINTERRUPTIBLE POWER SUPPLY </t>
  </si>
  <si>
    <t>QLD-ET-WI-PM006-0006 </t>
  </si>
  <si>
    <t>Bungalora System 1 - Uniterruptable DC and AC Supply B</t>
  </si>
  <si>
    <t>Bungalora System 1 - Uniterruptable DC and AC Supply B </t>
  </si>
  <si>
    <t>Bungalora System 1 - Valve Cooling Motor Control Centre</t>
  </si>
  <si>
    <t>Bungalora System 1 - Valve Cooling Motor Control Centre </t>
  </si>
  <si>
    <t>VALVE COOLING MCC THERMOGRAPHIC IMAGING </t>
  </si>
  <si>
    <t>QLD-ET-WI-PM012-0054 </t>
  </si>
  <si>
    <t>Bungalora System 1 - Valve Cooling System</t>
  </si>
  <si>
    <t>VALVE COOLING SYSTEM MAINTENANCE - 1YR </t>
  </si>
  <si>
    <t>QLD-ET-WI-PM012-0050 </t>
  </si>
  <si>
    <t>VALVE COOLING SYSTEM MAINTENANCE - 2YR </t>
  </si>
  <si>
    <t>QLD-ET-WI-PM024-0050 </t>
  </si>
  <si>
    <t>VALVE COOLING SYSTEM MAINTENANCE - 5YR </t>
  </si>
  <si>
    <t>QLD-ET-WI-PM060-0050-BLA1 </t>
  </si>
  <si>
    <t>VALVE COOLING SYSTEM PUMP MAINTENANCE </t>
  </si>
  <si>
    <t>QLD-ET-WI-PM012-0052-BLA1 </t>
  </si>
  <si>
    <t>Bungalora System 1 - Valve Cooling Water Cooling Tower</t>
  </si>
  <si>
    <t>Bungalora System 1 - Valve Cooling Water Cooling Tower </t>
  </si>
  <si>
    <t>AIR BLAST COOLER MAINTENANCE </t>
  </si>
  <si>
    <t>QLD-ET-WI-PM024-0056 </t>
  </si>
  <si>
    <t>Bungalora System 1 - Wall Bushing</t>
  </si>
  <si>
    <t>Bungalora System 1 - Wall Bushing </t>
  </si>
  <si>
    <t>INSULATING WALL BUSHING MAINTENANCE </t>
  </si>
  <si>
    <t>QLD-ET-WI-PM036-0142 </t>
  </si>
  <si>
    <t>19/09/2011 </t>
  </si>
  <si>
    <t>19/09/2014 </t>
  </si>
  <si>
    <t>Bungalora System 2 - AC Filter Area</t>
  </si>
  <si>
    <t>Bungalora System 2 - AC Filter Area </t>
  </si>
  <si>
    <t>QLD-ET-WI-PM012-0042-BLA2 </t>
  </si>
  <si>
    <t>Bungalora System 2 - AC Switchyard Area WT1</t>
  </si>
  <si>
    <t>Bungalora System 2 - AC Switchyard Area WT1 </t>
  </si>
  <si>
    <t>QLD-ET-WI-PM036-0140-BLA2 </t>
  </si>
  <si>
    <t>QLD-ET-WI-PM072-0140-BLA2 </t>
  </si>
  <si>
    <t>QLD-ET-WI-PM180-0140-BLA2 </t>
  </si>
  <si>
    <t>QLD-ET-WI-PM360-0140-BLA2 </t>
  </si>
  <si>
    <t>Bungalora System 2 - Capacitive Voltage Transformer WA.Z1.T11</t>
  </si>
  <si>
    <t>Bungalora System 2 - Capacitive Voltage Transformer WA.Z1.T11 </t>
  </si>
  <si>
    <t>Bungalora System 2 - DC Filter Area</t>
  </si>
  <si>
    <t>Bungalora System 2 - DC Filter Area </t>
  </si>
  <si>
    <t>QLD-ET-WI-PM012-0024-BLA2 </t>
  </si>
  <si>
    <t>Bungalora System 2 - Fire Alarm System</t>
  </si>
  <si>
    <t>Bungalora System 2 - Fire Alarm System </t>
  </si>
  <si>
    <t>Bungalora System 2 - Fire System Equipment </t>
  </si>
  <si>
    <t>Bungalora System 2 - Heating Ventilating &amp; Air Conditioning</t>
  </si>
  <si>
    <t>Bungalora System 2 - Heating Ventilating &amp; Air Conditioning </t>
  </si>
  <si>
    <t>Bungalora System 2 - Inverter / Rectifier Area</t>
  </si>
  <si>
    <t>Bungalora System 2 - Inverter / Rectifier Area </t>
  </si>
  <si>
    <t>Bungalora System 2 - Nitrogen Semi Automatic Discharge Unit</t>
  </si>
  <si>
    <t>Bungalora System 2 - Nitrogen Semi Automatic Discharge Unit </t>
  </si>
  <si>
    <t>Bungalora System 2 - Valve Cooling System </t>
  </si>
  <si>
    <t>Bungalora System 2 - Portable Fire Extinguisher</t>
  </si>
  <si>
    <t>Bungalora System 2 - Portable Fire Extinguisher </t>
  </si>
  <si>
    <t>Bungalora System 2 - Power Transformer WT2.T1</t>
  </si>
  <si>
    <t>Bungalora System 2 - Power Transformer WT2.T1 </t>
  </si>
  <si>
    <t>Bungalora System 2 - AC Switchyard Area WT2 </t>
  </si>
  <si>
    <t>QLD-ET-WI-PM012-0028 </t>
  </si>
  <si>
    <t>Bungalora System 2 - Uniterruptable DC and AC Supply A</t>
  </si>
  <si>
    <t>Bungalora System 2 - Uniterruptable DC and AC Supply A </t>
  </si>
  <si>
    <t>Bungalora System 2 - Station Service Power System </t>
  </si>
  <si>
    <t>Bungalora System 2 - Uniterruptable DC and AC Supply B</t>
  </si>
  <si>
    <t>Bungalora System 2 - Uniterruptable DC and AC Supply B </t>
  </si>
  <si>
    <t>Bungalora System 2 - Valve Cooling Motor Control Centre</t>
  </si>
  <si>
    <t>Bungalora System 2 - Valve Cooling Motor Control Centre </t>
  </si>
  <si>
    <t>Bungalora System 2 - Valve Cooling System</t>
  </si>
  <si>
    <t>QLD-ET-WI-PM012-0052-BLA2 </t>
  </si>
  <si>
    <t>QLD-ET-WI-PM060-0050-BLA2 </t>
  </si>
  <si>
    <t>Bungalora System 2 - Valve Cooling Water Cooling Tower</t>
  </si>
  <si>
    <t>Bungalora System 2 - Valve Cooling Water Cooling Tower </t>
  </si>
  <si>
    <t>Bungalora System 2 - Wall Bushing</t>
  </si>
  <si>
    <t>Bungalora System 2 - Wall Bushing </t>
  </si>
  <si>
    <t>Bungalora System 3 - AC Filter Area</t>
  </si>
  <si>
    <t>Bungalora System 3 - AC Filter Area </t>
  </si>
  <si>
    <t>QLD-ET-WI-PM012-0042-BLA3 </t>
  </si>
  <si>
    <t>Bungalora System 3 - AC Switchyard Area WT1</t>
  </si>
  <si>
    <t>Bungalora System 3 - AC Switchyard Area WT1 </t>
  </si>
  <si>
    <t>QLD-ET-WI-PM036-0140-BLA3 </t>
  </si>
  <si>
    <t>QLD-ET-WI-PM072-0140-BLA3 </t>
  </si>
  <si>
    <t>QLD-ET-WI-PM180-0140-BLA3 </t>
  </si>
  <si>
    <t>QLD-ET-WI-PM360-0140-BLA3 </t>
  </si>
  <si>
    <t>Bungalora System 3 - Capacitive Voltage Transformer WA.Z1.T11</t>
  </si>
  <si>
    <t>Bungalora System 3 - Capacitive Voltage Transformer WA.Z1.T11 </t>
  </si>
  <si>
    <t>Bungalora System 3 - DC Filter Area</t>
  </si>
  <si>
    <t>Bungalora System 3 - DC Filter Area </t>
  </si>
  <si>
    <t>QLD-ET-WI-PM012-0024-BLA3 </t>
  </si>
  <si>
    <t>Bungalora System 3 - Fire Alarm System</t>
  </si>
  <si>
    <t>Bungalora System 3 - Fire Alarm System </t>
  </si>
  <si>
    <t>Bungalora System 3 - Fire System Equipment </t>
  </si>
  <si>
    <t>Bungalora System 3 - Heating Ventilating &amp; Air Conditioning</t>
  </si>
  <si>
    <t>Bungalora System 3 - Heating Ventilating &amp; Air Conditioning </t>
  </si>
  <si>
    <t>Bungalora System 3 - Inverter / Rectifier Area</t>
  </si>
  <si>
    <t>Bungalora System 3 - Inverter / Rectifier Area </t>
  </si>
  <si>
    <t>Bungalora System 3 - Nitrogen Semi Automatic Discharge Unit</t>
  </si>
  <si>
    <t>Bungalora System 3 - Nitrogen Semi Automatic Discharge Unit </t>
  </si>
  <si>
    <t>Bungalora System 3 - Valve Cooling System </t>
  </si>
  <si>
    <t>Bungalora System 3 - Portable Fire Extinguisher</t>
  </si>
  <si>
    <t>Bungalora System 3 - Portable Fire Extinguisher </t>
  </si>
  <si>
    <t>Bungalora System 3 - Power Transformer WT2.T1</t>
  </si>
  <si>
    <t>Bungalora System 3 - Power Transformer WT2.T1 </t>
  </si>
  <si>
    <t>Bungalora System 3 - AC Switchyard Area WT2 </t>
  </si>
  <si>
    <t>Bungalora System 3 - Uniterruptable DC and AC Supply A</t>
  </si>
  <si>
    <t>Bungalora System 3 - Uniterruptable DC and AC Supply A </t>
  </si>
  <si>
    <t>Bungalora System 3 - Station Service Power System </t>
  </si>
  <si>
    <t>Bungalora System 3 - Uniterruptable DC and AC Supply B</t>
  </si>
  <si>
    <t>Bungalora System 3 - Uniterruptable DC and AC Supply B </t>
  </si>
  <si>
    <t>Bungalora System 3 - Valve Cooling Motor Control Centre</t>
  </si>
  <si>
    <t>Bungalora System 3 - Valve Cooling Motor Control Centre </t>
  </si>
  <si>
    <t>Bungalora System 3 - Valve Cooling System</t>
  </si>
  <si>
    <t>QLD-ET-WI-PM012-0052-BLA3 </t>
  </si>
  <si>
    <t>QLD-ET-WI-PM060-0050-BLA3 </t>
  </si>
  <si>
    <t>Bungalora System 3 - Valve Cooling Water Cooling Tower</t>
  </si>
  <si>
    <t>Bungalora System 3 - Valve Cooling Water Cooling Tower </t>
  </si>
  <si>
    <t>Bungalora System 3 - Wall Bushing</t>
  </si>
  <si>
    <t>Bungalora System 3 - Wall Bushing </t>
  </si>
  <si>
    <t>DirectLink Easement</t>
  </si>
  <si>
    <t>DirectLink Easement </t>
  </si>
  <si>
    <t>FUNCTIONAL TEST OF HIGH VOLTAGE TEST EQUIPMENT </t>
  </si>
  <si>
    <t>QLD-ET-WI-PM006-0013 </t>
  </si>
  <si>
    <t>26/08/2013 </t>
  </si>
  <si>
    <t>26/02/2014 </t>
  </si>
  <si>
    <t>VEGETATION MANAGEMENT - 1M </t>
  </si>
  <si>
    <t>QLD-ET-WI-PM001-0017 </t>
  </si>
  <si>
    <t>30/09/2013 </t>
  </si>
  <si>
    <t>30/10/2013 </t>
  </si>
  <si>
    <t>CABLE MARKER SIGN MAINTENANCE - 1M </t>
  </si>
  <si>
    <t>QLD-ET-WI-PM001-0019 </t>
  </si>
  <si>
    <t>Mullumbimby</t>
  </si>
  <si>
    <t>Mullumbimby </t>
  </si>
  <si>
    <t>QLD-ET-WI-PM180-0104-MUL1 </t>
  </si>
  <si>
    <t>Mullumbimby - 132kV Overhead Bus</t>
  </si>
  <si>
    <t>Mullumbimby - 132kV Overhead Bus </t>
  </si>
  <si>
    <t>QLD-ET-WI-PM060-0150-MUL </t>
  </si>
  <si>
    <t>QLD-ET-WI-PM036-0010-MUL </t>
  </si>
  <si>
    <t>Mullumbimby - System 1</t>
  </si>
  <si>
    <t>Mullumbimby - System 1 </t>
  </si>
  <si>
    <t>QLD-ET-WI-PM012-0014-MUL1 </t>
  </si>
  <si>
    <t>QLD-ET-WI-PM012-0022-MUL1 </t>
  </si>
  <si>
    <t>QLD-ET-WI-PM012-0038-MUL1 </t>
  </si>
  <si>
    <t>QLD-ET-WI-PM012-0120-MUL1 </t>
  </si>
  <si>
    <t>QLD-ET-WI-PM024-0120-MUL1 </t>
  </si>
  <si>
    <t>QLD-ET-WI-PM036-0010-MUL1 </t>
  </si>
  <si>
    <t>QLD-ET-WI-PM060-0022-MUL1 </t>
  </si>
  <si>
    <t>QLD-ET-WI-PM072-0160-MUL1 </t>
  </si>
  <si>
    <t>QLD-ET-WI-PM120-0180-MUL1 </t>
  </si>
  <si>
    <t>Mullumbimby - System 2</t>
  </si>
  <si>
    <t>Mullumbimby - System 2 </t>
  </si>
  <si>
    <t>QLD-ET-WI-PM012-0014-MUL2 </t>
  </si>
  <si>
    <t>QLD-ET-WI-PM012-0022-MUL2 </t>
  </si>
  <si>
    <t>QLD-ET-WI-PM012-0038-MUL2 </t>
  </si>
  <si>
    <t>QLD-ET-WI-PM012-0120-MUL2 </t>
  </si>
  <si>
    <t>QLD-ET-WI-PM024-0120-MUL2 </t>
  </si>
  <si>
    <t>QLD-ET-WI-PM036-0010-MUL2 </t>
  </si>
  <si>
    <t>QLD-ET-WI-PM072-0160-MUL2 </t>
  </si>
  <si>
    <t>QLD-ET-WI-PM120-0180-MUL2 </t>
  </si>
  <si>
    <t>QLD-ET-WI-PM060-0022-MUL2 </t>
  </si>
  <si>
    <t>QLD-ET-WI-PM180-0104-MUL2 </t>
  </si>
  <si>
    <t>Mullumbimby - System 3</t>
  </si>
  <si>
    <t>Mullumbimby - System 3 </t>
  </si>
  <si>
    <t>QLD-ET-WI-PM012-0014-MUL3 </t>
  </si>
  <si>
    <t>QLD-ET-WI-PM012-0022-MUL3 </t>
  </si>
  <si>
    <t>QLD-ET-WI-PM012-0038-MUL3 </t>
  </si>
  <si>
    <t>QLD-ET-WI-PM012-0120-MUL3 </t>
  </si>
  <si>
    <t>QLD-ET-WI-PM024-0120-MUL3 </t>
  </si>
  <si>
    <t>QLD-ET-WI-PM036-0010-MUL3 </t>
  </si>
  <si>
    <t>QLD-ET-WI-PM060-0022-MUL3 </t>
  </si>
  <si>
    <t>QLD-ET-WI-PM072-0160-MUL3 </t>
  </si>
  <si>
    <t>QLD-ET-WI-PM120-0180-MUL3 </t>
  </si>
  <si>
    <t>QLD-ET-WI-PM180-0104-MUL3 </t>
  </si>
  <si>
    <t>Mullumbimby System 1 - AC Filter Area</t>
  </si>
  <si>
    <t>Mullumbimby System 1 - AC Filter Area </t>
  </si>
  <si>
    <t>QLD-ET-WI-PM012-0042-MUL1 </t>
  </si>
  <si>
    <t>Mullumbimby System 1 - AC Switchyard Area WT1</t>
  </si>
  <si>
    <t>Mullumbimby System 1 - AC Switchyard Area WT1 </t>
  </si>
  <si>
    <t>QLD-ET-WI-PM036-0140-MUL1 </t>
  </si>
  <si>
    <t>QLD-ET-WI-PM072-0140-MUL1 </t>
  </si>
  <si>
    <t>QLD-ET-WI-PM180-0140-MUL1 </t>
  </si>
  <si>
    <t>QLD-ET-WI-PM360-0140-MUL1 </t>
  </si>
  <si>
    <t>Mullumbimby System 1 - Capacitive Voltage Transformer WA.Z1.T11</t>
  </si>
  <si>
    <t>Mullumbimby System 1 - Capacitive Voltage Transformer WA.Z1.T11 </t>
  </si>
  <si>
    <t>Mullumbimby System 1 - DC Filter Area</t>
  </si>
  <si>
    <t>Mullumbimby System 1 - DC Filter Area </t>
  </si>
  <si>
    <t>QLD-ET-WI-PM012-0024-MUL1 </t>
  </si>
  <si>
    <t>Mullumbimby System 1 - Eye Wash Station</t>
  </si>
  <si>
    <t>Mullumbimby System 1 - Eye Wash Station </t>
  </si>
  <si>
    <t>Mullumbimby System 1 - Small Plant &amp; Safety Equipment </t>
  </si>
  <si>
    <t>Mullumbimby System 1 - Fire Alarm System</t>
  </si>
  <si>
    <t>Mullumbimby System 1 - Fire Alarm System </t>
  </si>
  <si>
    <t>Mullumbimby System 1 - Fire System Equipment </t>
  </si>
  <si>
    <t>Mullumbimby System 1 - Heating Ventilating &amp; Air Conditioning</t>
  </si>
  <si>
    <t>Mullumbimby System 1 - Heating Ventilating &amp; Air Conditioning </t>
  </si>
  <si>
    <t>Mullumbimby System 1 - Inverter / Rectifier Area</t>
  </si>
  <si>
    <t>Mullumbimby System 1 - Inverter / Rectifier Area </t>
  </si>
  <si>
    <t>Mullumbimby System 1 - Nitrogen Semi Automatic Discharge Unit</t>
  </si>
  <si>
    <t>Mullumbimby System 1 - Nitrogen Semi Automatic Discharge Unit </t>
  </si>
  <si>
    <t>Mullumbimby System 1 - Valve Cooling System </t>
  </si>
  <si>
    <t>Mullumbimby System 1 - Portable Fire Extinguisher</t>
  </si>
  <si>
    <t>Mullumbimby System 1 - Portable Fire Extinguisher </t>
  </si>
  <si>
    <t>Mullumbimby System 1 - Power Transformer WT2.T1</t>
  </si>
  <si>
    <t>Mullumbimby System 1 - Power Transformer WT2.T1 </t>
  </si>
  <si>
    <t>Mullumbimby System 1 - AC Switchyard Area WT2 </t>
  </si>
  <si>
    <t>Mullumbimby System 1 - Spill Kits</t>
  </si>
  <si>
    <t>Mullumbimby System 1 - Spill Kits </t>
  </si>
  <si>
    <t>Mullumbimby System 1 - Uninterruptable DC and AC Supply A</t>
  </si>
  <si>
    <t>Mullumbimby System 1 - Uninterruptable DC and AC Supply A </t>
  </si>
  <si>
    <t>Mullumbimby System 1 - Station Service Power System </t>
  </si>
  <si>
    <t>Mullumbimby System 1 - Uninterruptable DC and AC Supply B</t>
  </si>
  <si>
    <t>Mullumbimby System 1 - Uninterruptable DC and AC Supply B </t>
  </si>
  <si>
    <t>Mullumbimby System 1 - Valve Cooling Motor Control Centre</t>
  </si>
  <si>
    <t>Mullumbimby System 1 - Valve Cooling Motor Control Centre </t>
  </si>
  <si>
    <t>Mullumbimby System 1 - Valve Cooling System</t>
  </si>
  <si>
    <t>QLD-ET-WI-PM012-0052-MUL1 </t>
  </si>
  <si>
    <t>QLD-ET-WI-PM060-0050-MUL1 </t>
  </si>
  <si>
    <t>Mullumbimby System 1 - Valve Cooling Water Cooling Tower</t>
  </si>
  <si>
    <t>Mullumbimby System 1 - Valve Cooling Water Cooling Tower </t>
  </si>
  <si>
    <t>Mullumbimby System 1 - Wall Bushing</t>
  </si>
  <si>
    <t>Mullumbimby System 1 - Wall Bushing </t>
  </si>
  <si>
    <t>Mullumbimby System 2 - AC Filter Area</t>
  </si>
  <si>
    <t>Mullumbimby System 2 - AC Filter Area </t>
  </si>
  <si>
    <t>QLD-ET-WI-PM012-0042-MUL2 </t>
  </si>
  <si>
    <t>Mullumbimby System 2 - AC Switchyard Area WT1</t>
  </si>
  <si>
    <t>Mullumbimby System 2 - AC Switchyard Area WT1 </t>
  </si>
  <si>
    <t>QLD-ET-WI-PM036-0140-MUL2 </t>
  </si>
  <si>
    <t>QLD-ET-WI-PM072-0140-MUL2 </t>
  </si>
  <si>
    <t>QLD-ET-WI-PM180-0140-MUL2 </t>
  </si>
  <si>
    <t>QLD-ET-WI-PM360-0140-MUL2 </t>
  </si>
  <si>
    <t>Mullumbimby System 2 - Capacitive Voltage Transformer WA.Z1.T11</t>
  </si>
  <si>
    <t>Mullumbimby System 2 - Capacitive Voltage Transformer WA.Z1.T11 </t>
  </si>
  <si>
    <t>Mullumbimby System 2 - DC Filter Area</t>
  </si>
  <si>
    <t>Mullumbimby System 2 - DC Filter Area </t>
  </si>
  <si>
    <t>QLD-ET-WI-PM012-0024-MUL2 </t>
  </si>
  <si>
    <t>Mullumbimby System 2 - Fire Alarm System</t>
  </si>
  <si>
    <t>Mullumbimby System 2 - Fire Alarm System </t>
  </si>
  <si>
    <t>Mullumbimby System 2 - Fire System Equipment </t>
  </si>
  <si>
    <t>Mullumbimby System 2 - Heating Ventilating &amp; Air Conditioning</t>
  </si>
  <si>
    <t>Mullumbimby System 2 - Heating Ventilating &amp; Air Conditioning </t>
  </si>
  <si>
    <t>Mullumbimby System 2 - Inverter / Rectifier Area</t>
  </si>
  <si>
    <t>Mullumbimby System 2 - Inverter / Rectifier Area </t>
  </si>
  <si>
    <t>Mullumbimby System 2 - Nitrogen Semi Automatic Discharge Unit</t>
  </si>
  <si>
    <t>Mullumbimby System 2 - Nitrogen Semi Automatic Discharge Unit </t>
  </si>
  <si>
    <t>Mullumbimby System 2 - Valve Cooling System </t>
  </si>
  <si>
    <t>Mullumbimby System 2 - Portable Fire Extinguisher</t>
  </si>
  <si>
    <t>Mullumbimby System 2 - Portable Fire Extinguisher </t>
  </si>
  <si>
    <t>Mullumbimby System 2 - Power Transformer WT2.T1</t>
  </si>
  <si>
    <t>Mullumbimby System 2 - Power Transformer WT2.T1 </t>
  </si>
  <si>
    <t>Mullumbimby System 2 - AC Switchyard Area WT2 </t>
  </si>
  <si>
    <t>Mullumbimby System 2 - Uninterruptable DC and AC Supply A</t>
  </si>
  <si>
    <t>Mullumbimby System 2 - Uninterruptable DC and AC Supply A </t>
  </si>
  <si>
    <t>Mullumbimby System 2 - Station Service Power System </t>
  </si>
  <si>
    <t>Mullumbimby System 2 - Uninterruptable DC and AC Supply B</t>
  </si>
  <si>
    <t>Mullumbimby System 2 - Uninterruptable DC and AC Supply B </t>
  </si>
  <si>
    <t>Mullumbimby System 2 - Valve Cooling Motor Control Centre</t>
  </si>
  <si>
    <t>Mullumbimby System 2 - Valve Cooling Motor Control Centre </t>
  </si>
  <si>
    <t>Mullumbimby System 2 - Valve Cooling System</t>
  </si>
  <si>
    <t>QLD-ET-WI-PM012-0052-MUL2 </t>
  </si>
  <si>
    <t>QLD-ET-WI-PM060-0050-MUL2 </t>
  </si>
  <si>
    <t>Mullumbimby System 2 - Valve Cooling Water Cooling Tower</t>
  </si>
  <si>
    <t>Mullumbimby System 2 - Valve Cooling Water Cooling Tower </t>
  </si>
  <si>
    <t>Mullumbimby System 2 - Wall Bushing</t>
  </si>
  <si>
    <t>Mullumbimby System 2 - Wall Bushing </t>
  </si>
  <si>
    <t>Mullumbimby System 3 - AC Filter Area</t>
  </si>
  <si>
    <t>Mullumbimby System 3 - AC Filter Area </t>
  </si>
  <si>
    <t>QLD-ET-WI-PM012-0042-MUL3 </t>
  </si>
  <si>
    <t>Mullumbimby System 3 - AC Switchyard Area WT1</t>
  </si>
  <si>
    <t>Mullumbimby System 3 - AC Switchyard Area WT1 </t>
  </si>
  <si>
    <t>QLD-ET-WI-PM072-0140-MUL3 </t>
  </si>
  <si>
    <t>QLD-ET-WI-PM036-0140-MUL3 </t>
  </si>
  <si>
    <t>QLD-ET-WI-PM180-0140-MUL3 </t>
  </si>
  <si>
    <t>QLD-ET-WI-PM360-0140-MUL3 </t>
  </si>
  <si>
    <t>Mullumbimby System 3 - Capacitive Voltage Transformer WA.Z1.T11</t>
  </si>
  <si>
    <t>Mullumbimby System 3 - Capacitive Voltage Transformer WA.Z1.T11 </t>
  </si>
  <si>
    <t>Mullumbimby System 3 - DC Filter Area</t>
  </si>
  <si>
    <t>Mullumbimby System 3 - DC Filter Area </t>
  </si>
  <si>
    <t>QLD-ET-WI-PM012-0024-MUL3 </t>
  </si>
  <si>
    <t>Mullumbimby System 3 - Fire Alarm System</t>
  </si>
  <si>
    <t>Mullumbimby System 3 - Fire Alarm System </t>
  </si>
  <si>
    <t>Mullumbimby System 3 - Fire System Equipment </t>
  </si>
  <si>
    <t>Mullumbimby System 3 - Heating Ventilating &amp; Air Conditioning</t>
  </si>
  <si>
    <t>Mullumbimby System 3 - Heating Ventilating &amp; Air Conditioning </t>
  </si>
  <si>
    <t>Mullumbimby System 3 - Inverter / Rectifier Area</t>
  </si>
  <si>
    <t>Mullumbimby System 3 - Inverter / Rectifier Area </t>
  </si>
  <si>
    <t>Mullumbimby System 3 - Nitrogen Semi Automatic Discharge Unit</t>
  </si>
  <si>
    <t>Mullumbimby System 3 - Nitrogen Semi Automatic Discharge Unit </t>
  </si>
  <si>
    <t>Mullumbimby System 3 - Valve Cooling System </t>
  </si>
  <si>
    <t>Mullumbimby System 3 - Portable Fire Extinguisher</t>
  </si>
  <si>
    <t>Mullumbimby System 3 - Portable Fire Extinguisher </t>
  </si>
  <si>
    <t>Mullumbimby System 3 - Power Transformer WT2.T1</t>
  </si>
  <si>
    <t>Mullumbimby System 3 - Power Transformer WT2.T1 </t>
  </si>
  <si>
    <t>Mullumbimby System 3 - AC Switchyard Area WT2 </t>
  </si>
  <si>
    <t>Mullumbimby System 3 - Uninterruptable DC and AC Supply A</t>
  </si>
  <si>
    <t>Mullumbimby System 3 - Uninterruptable DC and AC Supply A </t>
  </si>
  <si>
    <t>Mullumbimby System 3 - Station Service Power System </t>
  </si>
  <si>
    <t>Mullumbimby System 3 - Uninterruptable DC and AC Supply B</t>
  </si>
  <si>
    <t>Mullumbimby System 3 - Uninterruptable DC and AC Supply B </t>
  </si>
  <si>
    <t>Mullumbimby System 3 - Valve Cooling Motor Control Centre</t>
  </si>
  <si>
    <t>Mullumbimby System 3 - Valve Cooling Motor Control Centre </t>
  </si>
  <si>
    <t>Mullumbimby System 3 - Valve Cooling System</t>
  </si>
  <si>
    <t>QLD-ET-WI-PM012-0052-MUL3 </t>
  </si>
  <si>
    <t>QLD-ET-WI-PM060-0050-MUL3 </t>
  </si>
  <si>
    <t>Mullumbimby System 3 - Valve Cooling Water Cooling Tower</t>
  </si>
  <si>
    <t>Mullumbimby System 3 - Valve Cooling Water Cooling Tower </t>
  </si>
  <si>
    <t>Mullumbimby System 3 - Wall Bushing</t>
  </si>
  <si>
    <t>Mullumbimby System 3 - Wall Bushing </t>
  </si>
  <si>
    <t>AC Circuit Breaker</t>
  </si>
  <si>
    <t>Materials</t>
  </si>
  <si>
    <t>Total</t>
  </si>
  <si>
    <t>Annual Increase in Contractor Labour Rates</t>
  </si>
  <si>
    <t>Annual Increase in cost of Materials</t>
  </si>
  <si>
    <t>AC FILTER RESISTOR MAINTENANCE</t>
  </si>
  <si>
    <t>AIR BLAST COOLER MAINTENANCE</t>
  </si>
  <si>
    <t>CABLE MARKER SIGN MAINTENANCE- 1M</t>
  </si>
  <si>
    <t>CABLE SCREEN CURRENT TRANSFORMER</t>
  </si>
  <si>
    <t>CAPACITIVE VOLTAGE TRANSFORMER MAINTENANCE - 1YR</t>
  </si>
  <si>
    <t>CHECK EYE WASH STATION</t>
  </si>
  <si>
    <t>CONVERTER STATION THERMOGRAPHIC INSPECTION</t>
  </si>
  <si>
    <t>DIRECT VOLTAGE DIVIDER MAINTENANCE - 1YR</t>
  </si>
  <si>
    <t>DIRECT VOLTAGE DIVIDER MAINTENANCE - 2YR</t>
  </si>
  <si>
    <t>EMERGENCY LIGHTING MAINTENANCE</t>
  </si>
  <si>
    <t>ENERGISED MAINTENANCE INSPECTION</t>
  </si>
  <si>
    <t>FIRE DETECTION &amp; ALARM SYSTEM - 1M</t>
  </si>
  <si>
    <t>FIRE DETECTION &amp; ALARM SYSTEM - 1YR</t>
  </si>
  <si>
    <t>FIRE DETECTION &amp; ALARM SYSTEM - 6M</t>
  </si>
  <si>
    <t>FUNCTIONAL TEST OF EMERGENCY STOP BUTTON</t>
  </si>
  <si>
    <t>HALL EFFECT CURRENT TRANSDUCER MAINTENANCE</t>
  </si>
  <si>
    <t>IGBT VALVE MAINTENANCE</t>
  </si>
  <si>
    <t>INSPECT SPILL KITS</t>
  </si>
  <si>
    <t>OUTDOOR POST TYPE CURRENT TRANSFORMER - 1YR</t>
  </si>
  <si>
    <t>PORTABLE FIRE EXTINGUISHER INSPECTION</t>
  </si>
  <si>
    <t>POWER TRANSFORMER MAINTENANCE</t>
  </si>
  <si>
    <t>REACTOR MAINTENANCE - 1YR</t>
  </si>
  <si>
    <t>ROGOWSKI CURRENT TRANSDUCER MAINTENANCE</t>
  </si>
  <si>
    <t>UNINTERRUPTIBLE POWER SUPPLY</t>
  </si>
  <si>
    <t>VALVE COOLING MCC THERMOGRAPHIC IMAGING</t>
  </si>
  <si>
    <t>VALVE COOLING SYSTEM PUMP MAINTENANCE</t>
  </si>
  <si>
    <t>VALVE DEHUMIDIFIER MAINTENANCE</t>
  </si>
  <si>
    <t>VALVE HUMIDITY CONTROL SYSTEM</t>
  </si>
  <si>
    <t>VEGETATION MANAGEMENT - 1M</t>
  </si>
  <si>
    <t>ZINC OXIDE SURGE ARRESTOR MAINTENANCE</t>
  </si>
  <si>
    <t>Date</t>
  </si>
  <si>
    <t>GL Period Name</t>
  </si>
  <si>
    <t>Project Name</t>
  </si>
  <si>
    <t>Project No</t>
  </si>
  <si>
    <t>Task Num</t>
  </si>
  <si>
    <t>Expenditure Type</t>
  </si>
  <si>
    <t>Expenditure Organization</t>
  </si>
  <si>
    <t>Original Transaction Reference</t>
  </si>
  <si>
    <t>Quantity</t>
  </si>
  <si>
    <t>Cost Amount</t>
  </si>
  <si>
    <t>PA Description</t>
  </si>
  <si>
    <t>Vendor / Customer Name</t>
  </si>
  <si>
    <t>Employee Name</t>
  </si>
  <si>
    <t>MA Account</t>
  </si>
  <si>
    <t>Task Name</t>
  </si>
  <si>
    <t>Po Number</t>
  </si>
  <si>
    <t>Revenue Accrued Amount</t>
  </si>
  <si>
    <t>Revenue Bill Amount</t>
  </si>
  <si>
    <t>Receipt Comments</t>
  </si>
  <si>
    <t>Work Type</t>
  </si>
  <si>
    <t>Expenditure Item Date</t>
  </si>
  <si>
    <t>Expenditure Item Id</t>
  </si>
  <si>
    <t>Transaction Source</t>
  </si>
  <si>
    <t>Current Project Org</t>
  </si>
  <si>
    <t>Original Project Org</t>
  </si>
  <si>
    <t>DR BSV</t>
  </si>
  <si>
    <t>DR CC</t>
  </si>
  <si>
    <t>DR Account</t>
  </si>
  <si>
    <t>DR Activity</t>
  </si>
  <si>
    <t>CR BSV</t>
  </si>
  <si>
    <t>CR CC</t>
  </si>
  <si>
    <t>CR Account</t>
  </si>
  <si>
    <t>CR Activity</t>
  </si>
  <si>
    <t>AOE DL FIELD SERVICES</t>
  </si>
  <si>
    <t>516.01 STATION SERVICES</t>
  </si>
  <si>
    <t>SECURITY</t>
  </si>
  <si>
    <t>APT MANAGEMENT SERVICES PTY LIMITED</t>
  </si>
  <si>
    <t>SNP Security Inv No PN29304 - Security Officer - 13th December 2010 to 20th December 2010</t>
  </si>
  <si>
    <t>SYDNEY NIGHT PATROL AND INQUIRY CO PTY LTD</t>
  </si>
  <si>
    <t>PROCUREMENT BUYER, Mr.</t>
  </si>
  <si>
    <t>Rent &amp; Property Outgoings</t>
  </si>
  <si>
    <t>STATION SERVICES</t>
  </si>
  <si>
    <t>Inv # PN29304 06.01.2011 - ok to pay as per Stuart Dodds</t>
  </si>
  <si>
    <t>GENERAL OPERATIONS</t>
  </si>
  <si>
    <t>PO RECEIPT</t>
  </si>
  <si>
    <t>APAO (EII) DIRECTLINK - FIELD SERVICES</t>
  </si>
  <si>
    <t>APAO (EII) DIRECTLINK (OLD)</t>
  </si>
  <si>
    <t>560.01 PLANT AND EQUIP</t>
  </si>
  <si>
    <t>CONTRACTORS - O/M</t>
  </si>
  <si>
    <t>Directlink's P1 &amp; P2 Cable Fault Repair</t>
  </si>
  <si>
    <t>NKT CABLES AUSTRALIA PTY LTD</t>
  </si>
  <si>
    <t>Contractors - O&amp;M</t>
  </si>
  <si>
    <t>PLANT AND EQUIPMENT</t>
  </si>
  <si>
    <t>Inv # 1734 17.01.2011 - Burringbah &amp; Stokers Siding Repair - Travel, Accommodation &amp; Labour 5th, 13th &amp; 14th January 2011 - ok to pay as per Stuart Dodds</t>
  </si>
  <si>
    <t>Security D/L HV Converter Station</t>
  </si>
  <si>
    <t>Approved Stuart Dodds</t>
  </si>
  <si>
    <t>Directlink HV Converter Station Security Officer January 2011</t>
  </si>
  <si>
    <t>Approved S Dodds</t>
  </si>
  <si>
    <t>Directlink HV Converter Station Security Officer January 10.01-17.01.2011</t>
  </si>
  <si>
    <t>Directlink HV Converter Station Security Officer January 03.01-09.01.2011</t>
  </si>
  <si>
    <t>Security DL Converter Station Terranora Rd, Bungalora</t>
  </si>
  <si>
    <t>Testing of HV Sticks, gloves &amp; modiewark</t>
  </si>
  <si>
    <t>TEX ONSITE PTY LTD</t>
  </si>
  <si>
    <t>testing done at Mullumbimby site 02/02/2011</t>
  </si>
  <si>
    <t>Annual Routine Test of HV Gloves, Sticks &amp; Portable Earth at Directlink's Bungalora Station.</t>
  </si>
  <si>
    <t>test well done and completed at site on 8/2</t>
  </si>
  <si>
    <t>Directlink A3 Call-Out Fee Year 4 Dec 2010 Claim Ref: 3600S-VDJ0006/70012953</t>
  </si>
  <si>
    <t>TRANSFIELD SERVICES AUSTRALIA PTY LTD</t>
  </si>
  <si>
    <t>Directlink A1 Fixed Fee Monthly Claim Year 4 Dec 2010 Claim Ref: 3600S-VDJ0006/70012952</t>
  </si>
  <si>
    <t>Directlink A3 Call-Out Fee Year 4 Jan 2011 Claim Ref: 3600S-VDJ0006/70012953</t>
  </si>
  <si>
    <t>Directlink A1 Fixed Fee Monthly Claim Year 4 Jan 2011 Claim Ref: 3600S-VDJ0006/70012952</t>
  </si>
  <si>
    <t>Directlink Unscheduled Works Dec 2010 Claim Ref: 3600S-VDJ006/70012953</t>
  </si>
  <si>
    <t>Directlink Unscheduled works Jan 2011 Claim Ref: 3600S-VDJ006/70012953</t>
  </si>
  <si>
    <t>Directlink's P1 Cable Fault Repair</t>
  </si>
  <si>
    <t>DLink A3 Call-Out Fee Year 4 Feb 2011 Claim Ref: 3600S-VDJ006/70012953</t>
  </si>
  <si>
    <t>DLink A1 Fixed Fee Monthly Claim Year 4 Feb 2011 Claim Ref: 3600S-VDJ006/70012952</t>
  </si>
  <si>
    <t>Far North Coast Perm Patrol 09.01-08.02.11 DL HV Converter Station Bungalora</t>
  </si>
  <si>
    <t>Approved by S. Dodds</t>
  </si>
  <si>
    <t>Security Officer 31.01.11-07.02.11 DL HV Converter Station Bungalora</t>
  </si>
  <si>
    <t>Security 14.02-21.02.11</t>
  </si>
  <si>
    <t>Directlink HV Converter Station Security Officer</t>
  </si>
  <si>
    <t>Directlink HV Converter Station 28.02.11 - 07.03.11</t>
  </si>
  <si>
    <t>Directlink HV Converter Station 21.02.11 - 28.02.11</t>
  </si>
  <si>
    <t>Directlink HV Converter Station Security Patrol Services for the period 09.02.11 - 08.03.11</t>
  </si>
  <si>
    <t>STANDING ORDER SECURITY</t>
  </si>
  <si>
    <t>Inv S336603 25.01.2011 - ok to pay as per Stuart Dodds</t>
  </si>
  <si>
    <t>Approved by S. Doddds</t>
  </si>
  <si>
    <t>554.01 EASEMENT</t>
  </si>
  <si>
    <t>Brushcutting, Digger Excavation Work, Arb Crew, Chipper Unit</t>
  </si>
  <si>
    <t>BYRON BAY TREE SERVICES &amp; LANDSCAPES PTY LTD</t>
  </si>
  <si>
    <t>EASEMENT</t>
  </si>
  <si>
    <t>Approved by S. Dodds.</t>
  </si>
  <si>
    <t>Brushcutting Clearance Maint. Contract Work</t>
  </si>
  <si>
    <t>Transporting Spare CB Pole's crate from Mansfield to Bungalora</t>
  </si>
  <si>
    <t>COOLANGATTA CRANES</t>
  </si>
  <si>
    <t>GHANAEENEJAD, Mr. REZA</t>
  </si>
  <si>
    <t>completed 14/2/2011</t>
  </si>
  <si>
    <t>Direct Link A3 Call Out-Fee</t>
  </si>
  <si>
    <t>Direct Link A1 Fixed Fee</t>
  </si>
  <si>
    <t>Certify &amp; Test 3 backflow valves</t>
  </si>
  <si>
    <t>PETER EDWARD KENNEDY</t>
  </si>
  <si>
    <t>Removal &amp; Installation of Faulty &amp; Good CB Pole respectively at Bungalora Pole 3 Phase B</t>
  </si>
  <si>
    <t>well done</t>
  </si>
  <si>
    <t>Transporting Faulty CB Pole's crate from Bungalora to ABB's Moorebank, Sydney Plant for check/repair.</t>
  </si>
  <si>
    <t>Direct Link Unscheduled Works March 2011 Claim</t>
  </si>
  <si>
    <t>Pole 2 KSB Pump 1 repair</t>
  </si>
  <si>
    <t>KSB AUSTRALIA PTY LTD</t>
  </si>
  <si>
    <t>installed at site 24/3 after repair at their workshop</t>
  </si>
  <si>
    <t>Standing Order Vegetation Maintenance</t>
  </si>
  <si>
    <t>CONTRACTORS - GENERAL</t>
  </si>
  <si>
    <t>Delivery of spare CB mechanism from Mansfield to Mullumbimby</t>
  </si>
  <si>
    <t>job well done!</t>
  </si>
  <si>
    <t>Standing Order S/O Directlink Callout Fee</t>
  </si>
  <si>
    <t>Cable Fault Repair</t>
  </si>
  <si>
    <t>JUST JOINTERS PTY LTD</t>
  </si>
  <si>
    <t>works completed 21/4 Thursday</t>
  </si>
  <si>
    <t>Directlink's Mullumbimby System 1 Phase A Circuit Breaker Trip Latch Replacement, CB functional &amp; Timing test</t>
  </si>
  <si>
    <t>ABB AUSTRALIA PTY LTD</t>
  </si>
  <si>
    <t>completed</t>
  </si>
  <si>
    <t>Approved by S. Coomber</t>
  </si>
  <si>
    <t>Standing Order S/O Directlink Sch Mnt</t>
  </si>
  <si>
    <t>Standing Order S/O Directlink UnScheduled Mnt</t>
  </si>
  <si>
    <t>Directlink System 3 Cable Fault Repair</t>
  </si>
  <si>
    <t>well done!</t>
  </si>
  <si>
    <t>Mullumbimby noise monitoring</t>
  </si>
  <si>
    <t>AIR NOISE ENVIRONMENT PTY LTD</t>
  </si>
  <si>
    <t>218019/L1 218019/L1</t>
  </si>
  <si>
    <t>AP VARIANCE</t>
  </si>
  <si>
    <t>Inv #: S350926A - Email approval by Stuart Dodds 20/07/11.</t>
  </si>
  <si>
    <t>Approved by Stuart Dodds 08/07/11.</t>
  </si>
  <si>
    <t>HV Circuit Breaker's Pole replacement works at Directlink Pole 3, B Phase.</t>
  </si>
  <si>
    <t>Directlink HVDC Cable Jointing</t>
  </si>
  <si>
    <t>THYRISTORS PTY LTD</t>
  </si>
  <si>
    <t>completed 14 July 2011</t>
  </si>
  <si>
    <t>Approved by Stuart Dodds 13/07/11.</t>
  </si>
  <si>
    <t>Delivery and installation of Directlink Cable</t>
  </si>
  <si>
    <t>CIVEX PTY LTD</t>
  </si>
  <si>
    <t>completed 14/7</t>
  </si>
  <si>
    <t>Inv #: 90605327 - Approved by Stuart Dodds 14/07/11.</t>
  </si>
  <si>
    <t>Inv #: S354029 - Email approval by Stuart Dodds 05/08/11.</t>
  </si>
  <si>
    <t>SNP SECURITY - STANDING ORDER FOR FYE 2012 - SECURITY PATROLS FOR DIRECTLINK (30264 / 516.01)</t>
  </si>
  <si>
    <t>Inv #: S356566 - Email approval by Stuart Dodds 16/08/11.</t>
  </si>
  <si>
    <t>TRANSFIELD SERVICES - STANDING ORDER FOR FYE 2012 - CALL OUT SCHEDULE FEE - DIRECTLINK (30264 / 560.01)</t>
  </si>
  <si>
    <t>Inv #: 90606947 - Approved by Stuart Dodds 08/08/11.</t>
  </si>
  <si>
    <t>150m Cable P1 Negative Fault Replacement</t>
  </si>
  <si>
    <t>Cable Laying/Pulling of approximately 170m Directlink cable at Stokers Siding, NSW</t>
  </si>
  <si>
    <t>TRANSFIELD SERVICES - STANDING ORDER FOR FYE 2012 - SCHEDULED MAINTENANCE - DIRECTLINK (30264 / 560.01)</t>
  </si>
  <si>
    <t>Inv #: 90605332 - July 2011 - Approved by Stuart Dodds 13/07/11.</t>
  </si>
  <si>
    <t>Directlink Cable Faults Repair at Burringbar &amp; Stoker Siding, NSW</t>
  </si>
  <si>
    <t>Inv #: 90606945 - Approved by Stuart Dodds 16/08/11.</t>
  </si>
  <si>
    <t>TRANSFIELD SERVICES - STANDING ORDER FOR FYE 2012 - UNSCHEDULED MAINTENANCE - DIRECTLINK (30264 / 560.01)</t>
  </si>
  <si>
    <t>Inv #: 90607078 - Approved by Stuart Dodds 16/08/11.</t>
  </si>
  <si>
    <t>Inv #: 90606183 - Approved by Stuart Dodds 16/08/11.</t>
  </si>
  <si>
    <t>Inv #: S360071 - Email approval by Stuart Dodds 08/09/11.</t>
  </si>
  <si>
    <t>Inv #: PN32305 - Email approval by Stuart Dodds 20/09/11.</t>
  </si>
  <si>
    <t>Inv #: S350926 - Needed to receipt this invoice as AP had paid this invoice - although Stuart Dodds advised NOT to pay on this invoice due to a discrepancy over the amount.</t>
  </si>
  <si>
    <t>Inv #: PN32453 - Email approval by Stuart Dodds 19/09/11.</t>
  </si>
  <si>
    <t>BYRON BAY TREE SERVICES &amp; LANDSCAPES P/L - STANDING ORDER FOR FYE 2012 - VEGETATION MAINTENANCE (30264 / 554.01)</t>
  </si>
  <si>
    <t>Inv #: 00002346 - Approved by Stuart Dodds 26/08/11.</t>
  </si>
  <si>
    <t>Inv #: 90607544 - Approved by Stuart Dodds 26/08/11.</t>
  </si>
  <si>
    <t>P3 HVDC Cable Fault Repair</t>
  </si>
  <si>
    <t>the work completed 2/09/11 as planned</t>
  </si>
  <si>
    <t>Inv #: 90608693 - Approved by Stuart Dodds 13/09/11.</t>
  </si>
  <si>
    <t>Inv #: 90608690 - Approved by Stuart Dodds 13/09/11.</t>
  </si>
  <si>
    <t>ENERGY CRANE SERVICES - STANDING ORDER FOR FYE 2012 - CRANE TRUCK HIRE - DIRECTLINK (30264 / 560.01)</t>
  </si>
  <si>
    <t>ENERGY CRANE SERVICES PTY LTD</t>
  </si>
  <si>
    <t>Inv #: 00011523 - Approved by Stuart Coomber 29/08/11.</t>
  </si>
  <si>
    <t>Inv #: 00011581 - Approved by Stuart Coomber 29/08/11.</t>
  </si>
  <si>
    <t>Inv #: 00011617 - Approved by Stuart Coomber 29/08/11.</t>
  </si>
  <si>
    <t>Inv #: 00011624 - Approved by Stuart Coomber 29/08/11.</t>
  </si>
  <si>
    <t>Inv #: 00011680 - Approved by Stuart Coomber 29/08/11.</t>
  </si>
  <si>
    <t>Inv #: 00011691 - Approved by Stuart Coomber 06/09/11.</t>
  </si>
  <si>
    <t>Inv #: 00002385 - Approved by Stuart Coomber 21/10/11.</t>
  </si>
  <si>
    <t>Inv #: 00002431 - Approved by Stuart Coomber 21/10/11.</t>
  </si>
  <si>
    <t>Inv #: 90609121 - Approved by Stuart Dodds 23/09/11.</t>
  </si>
  <si>
    <t>Directlink's P1 &amp; P2 Cable Fault Repair Works</t>
  </si>
  <si>
    <t>cable fault repairs were all done/completed in 26/09/11 and 30/09/11</t>
  </si>
  <si>
    <t>ABB Circuit Breaker Type LTB 145 SN 8544366 Investigation and Repair</t>
  </si>
  <si>
    <t>received/stored at Bungalora Store</t>
  </si>
  <si>
    <t>Check/arrangement of Directlink's HVDC cable drum in Bungalora Sta.</t>
  </si>
  <si>
    <t>done 19/10/2011</t>
  </si>
  <si>
    <t>Inv #: 90610857 - Approved by Stuart Dodds 31/10/11.</t>
  </si>
  <si>
    <t>JD &amp; LF REEVE - INV #: 1078 - INV DATE: 23/08/11 - EXCAVATOR HIRE AT TERRANORA RD, NORTH TUMBULGUM</t>
  </si>
  <si>
    <t>JD &amp; LF REEVE</t>
  </si>
  <si>
    <t>Inv #: 1078 - Approved by Stuart Coomber.</t>
  </si>
  <si>
    <t>THEARLE ELECTRICAL - INV #: 40816 - INV DATE: 30/09/11 - SEND HIPTRONICS MACHINE TO MACEYS FOR REPAIRS (30264 / 560.01)</t>
  </si>
  <si>
    <t>THEARLE ELECTRICAL</t>
  </si>
  <si>
    <t>Inv #: 40816 - Approved by Stuart Dodds 31/10/11.</t>
  </si>
  <si>
    <t>Inv #: 90612051 - Approved by Stuart Dodds 11/11/11.</t>
  </si>
  <si>
    <t>Inv #: 90612048 - Approved by Stuart Dodds 11/11/11.</t>
  </si>
  <si>
    <t>15T Franna Hire c/w Dogman for the CB Pole replacement at Bungalora Pole 2 Q2 Ph B.</t>
  </si>
  <si>
    <t>NORTH EAST CRANES</t>
  </si>
  <si>
    <t>completed as planned date 9/11</t>
  </si>
  <si>
    <t>Replacement of Leaking SF6 Gas Circuit Breaker Pole at Bungalora Pole 2 Phase B</t>
  </si>
  <si>
    <t>completed/tested 9/11/2011</t>
  </si>
  <si>
    <t>AIR NOISE ENVIRONMENT PTY LTD - INV #: I-3276 - INV DATE: 29/09/11 - ENVIRONMENTAL MAISE MONITORING AT MULLUMBIMBY (30264 / 560.01)</t>
  </si>
  <si>
    <t>Inv #: I-3276 - Stuart Dodds approved payment of this invoice prior to going on leave 02/12/11.</t>
  </si>
  <si>
    <t>Directlink Bungalora Replacement of SEL 321-1 (protection relay on 110kV CB BLA9B1) motherboard.</t>
  </si>
  <si>
    <t>ESSENTIAL ENERGY</t>
  </si>
  <si>
    <t>Inv #: 90614094 - Approved by Francisco Reyes 15/12/11.</t>
  </si>
  <si>
    <t>Inv #: 90614093 - Approved by Francisco Reyes 15/12/11.</t>
  </si>
  <si>
    <t>Directlink System 3 Positive Cable Fault Repair at J/B 25/26 GST Transition</t>
  </si>
  <si>
    <t>completed as planned in 19 Dec 2011</t>
  </si>
  <si>
    <t>INV #00002502 - APPROVED BY S. COOMBER</t>
  </si>
  <si>
    <t>INV #90615325 - APPROVED BY S. DODDS</t>
  </si>
  <si>
    <t>INV #90615330 - APPROVED BY S. DODDS</t>
  </si>
  <si>
    <t>INV #90615334 - APPROVED BY S. DODDS</t>
  </si>
  <si>
    <t>Directlink P2 Positive Cable Fault Repair</t>
  </si>
  <si>
    <t>completed 16/01/2012</t>
  </si>
  <si>
    <t>Inv #00002472 - Approved by S. Coomber</t>
  </si>
  <si>
    <t>Inv #00002548 - Approved by S. Coomber</t>
  </si>
  <si>
    <t>Inv #00002518 - Approved by S. Dodds</t>
  </si>
  <si>
    <t>Inv #90615713 - Approved by S. Dodds</t>
  </si>
  <si>
    <t>Routine testing of portable earths</t>
  </si>
  <si>
    <t>well done 13/2/2012</t>
  </si>
  <si>
    <t>Noise Monitoring - Mullumbimby Converter Station</t>
  </si>
  <si>
    <t>Inv #I-3348 - Approved by S. Dodds</t>
  </si>
  <si>
    <t>Investigation and repair of gas leak of 1xCB Pole type LTB 145D1/B at ABB's Moorebank, Sydney Warehouse</t>
  </si>
  <si>
    <t>repaired at Moorebank, Sydney W/H and ready for delivery at site</t>
  </si>
  <si>
    <t>Directlink System 1 Cable Fault Repair</t>
  </si>
  <si>
    <t>completed 13/02/2012</t>
  </si>
  <si>
    <t>Inv #00002576 - Approved by S. Dodds</t>
  </si>
  <si>
    <t>Inv #00002590 - Approved by S. Coomber</t>
  </si>
  <si>
    <t>Inv #90617538 - Approved by S. Dodds</t>
  </si>
  <si>
    <t>Inv #90617539 - Approved by S. Dodds</t>
  </si>
  <si>
    <t>Directlink Pole 1 Positive Cable Repair</t>
  </si>
  <si>
    <t>completed 3/3/12</t>
  </si>
  <si>
    <t>Unloading of CB delivery at site Bungalora</t>
  </si>
  <si>
    <t>unloading works completed 1/3/12</t>
  </si>
  <si>
    <t>Inv #S375101 - Approved by S. Dodds</t>
  </si>
  <si>
    <t>Inv #00002623 - Approved by S. Dodds</t>
  </si>
  <si>
    <t>Inv #00002636 - Approved by S. Dodds</t>
  </si>
  <si>
    <t>Inv #90616902 - Approved by S. Dodds</t>
  </si>
  <si>
    <t>Inv #90619095 - Approved by S. Dodds</t>
  </si>
  <si>
    <t>Inv #90616906 - Approved by S. Dodds</t>
  </si>
  <si>
    <t>Inv #90619094 - Approved by S. Dodds</t>
  </si>
  <si>
    <t>Inv #90620750 - Approved By S. Dodds</t>
  </si>
  <si>
    <t>Inv #90620752 - Approved By S. Dodds</t>
  </si>
  <si>
    <t>Inv #00002623 - Approved by S. Coomber</t>
  </si>
  <si>
    <t>Inv #00002651 - Approved by S. Coomber</t>
  </si>
  <si>
    <t>Inv #00002672 - Approved by S. Dodds</t>
  </si>
  <si>
    <t>Inv #90621494 - Approved by S. Dodds</t>
  </si>
  <si>
    <t>Inv #90621492 - Approved by S. Dodds</t>
  </si>
  <si>
    <t>Inv #90622644 - Approved by S. Dodds</t>
  </si>
  <si>
    <t>Inv #90622640 - Approved by S. Dodds</t>
  </si>
  <si>
    <t>R/M - PLANT / EQUIP</t>
  </si>
  <si>
    <t>Cable Repair Tuesday 17 April 2012</t>
  </si>
  <si>
    <t>Repairs &amp; Maint - Routine</t>
  </si>
  <si>
    <t>Inv #00002645 - Approved by S. Coomber</t>
  </si>
  <si>
    <t>Inv #00002717 - Approved by S. Dodds</t>
  </si>
  <si>
    <t>Inv #I-3565 - Approved by S. Dodds</t>
  </si>
  <si>
    <t>Tweed Heads &amp; Mullumbimby Repair as per Invoice #00090834</t>
  </si>
  <si>
    <t>NEXT GEN FIBRE &amp; DATA NETWORKS</t>
  </si>
  <si>
    <t>Inv #00090834 - Approved by s. Coomber</t>
  </si>
  <si>
    <t>Tweed Heads Repair as per Invoice #00090952</t>
  </si>
  <si>
    <t>Inv #00090952 - Approved by S. Coomber</t>
  </si>
  <si>
    <t>Standing Order for Vegetation Maintenance for 2012-2013 FY</t>
  </si>
  <si>
    <t>Inv #00002758 - Approved by S. Dodds</t>
  </si>
  <si>
    <t>Inv #90626145 - Approved by S. Dodds</t>
  </si>
  <si>
    <t>Inv #90626144 - Approved by S. Dodds</t>
  </si>
  <si>
    <t>Standing Order for Unscheduled Maintenance at Directlink for 2012-2013 FY</t>
  </si>
  <si>
    <t>Inv #43427 - Approved by S. Dodds</t>
  </si>
  <si>
    <t>Inv #43507 - Approved by S. Dodds</t>
  </si>
  <si>
    <t>Inv #43518 - Approved by S. Dodds</t>
  </si>
  <si>
    <t>Relocate 3 reactor fan cabinets</t>
  </si>
  <si>
    <t>ELECTRICAL EQUIPMENT - PARTS</t>
  </si>
  <si>
    <t>Directlink sys 2. CB LTB 145D1/B SPAR repacement.As per ABB quote 12Q1503924</t>
  </si>
  <si>
    <t>Inv #00002784 - Approved by S. Dodds</t>
  </si>
  <si>
    <t>Inv #43071 - Approved by S. Coomber</t>
  </si>
  <si>
    <t>Inv #43516 - Approved by S. Coomber</t>
  </si>
  <si>
    <t>Inv #43764 - Approved by S. Coomber</t>
  </si>
  <si>
    <t>Inv #43766 - Approved by S. Coomber</t>
  </si>
  <si>
    <t>Inv #43767 - Approved by S. Coomber</t>
  </si>
  <si>
    <t>Inv #43887 - Approved by S. Coomber</t>
  </si>
  <si>
    <t>Inv #43888 - Approved by S. Coomber</t>
  </si>
  <si>
    <t>Inv #43074 - Approved by S. Coomber</t>
  </si>
  <si>
    <t>Inv #43167 - Approved by S. Coomber</t>
  </si>
  <si>
    <t>Inv #43683 - Approved by S. Coomber</t>
  </si>
  <si>
    <t>Inv #43889 - Approved by S. Coomber</t>
  </si>
  <si>
    <t>Inv #44006 - Approved by S. Coomber</t>
  </si>
  <si>
    <t>Inv #44007 - Approved by S. Coomber</t>
  </si>
  <si>
    <t>Inv #90628960 - Approved by S. Dodds</t>
  </si>
  <si>
    <t>Inv #90628949 - Approved by S. Dodds</t>
  </si>
  <si>
    <t>Inv #90628951 - Approved by S. Dodds</t>
  </si>
  <si>
    <t>Inv 44171 27.08.12</t>
  </si>
  <si>
    <t>Inv 43983 13.08.12</t>
  </si>
  <si>
    <t>Inv 44104 20.08.12</t>
  </si>
  <si>
    <t>ELECTRICAL EQUIPMENT - CABLES</t>
  </si>
  <si>
    <t>Cable Repairs Travel &amp; Labour</t>
  </si>
  <si>
    <t>Inv #00002858 - Approved by S. Coomber</t>
  </si>
  <si>
    <t>Repairs to fibreglass reactor dome and tubes as quoted - Inv 00010326 08.08.12</t>
  </si>
  <si>
    <t>TWEED FIBREGLASS PRODUCTS</t>
  </si>
  <si>
    <t>Inv 00010326 08.08.12</t>
  </si>
  <si>
    <t>Standing Order for Security Patrols at Directlink for 2012-2013 FY</t>
  </si>
  <si>
    <t>Inv #S398322 - Approved by S. Dodds</t>
  </si>
  <si>
    <t>Inv #S400187 - Approved by S. Dodds</t>
  </si>
  <si>
    <t>Inv 00002818 13.09.12</t>
  </si>
  <si>
    <t>Inv #43072 - Approved by S. Dodds</t>
  </si>
  <si>
    <t>Inv #43768 - Approved by S. Coomber</t>
  </si>
  <si>
    <t>Inv #43982 - Approved by S. Coomber</t>
  </si>
  <si>
    <t>Inv #43984 - Approved by S. Coomber</t>
  </si>
  <si>
    <t>Inv #44102 - Approved by S. Coomber</t>
  </si>
  <si>
    <t>Inv #44105 - Approved by S. Coomber</t>
  </si>
  <si>
    <t>Inv #44349 - Approved by S. Coomber</t>
  </si>
  <si>
    <t>Lindores Construction Logistics Pty Ltd. Inv 1607. 30.07.12.Hire of 25T crane and crew on site at Terrenora Road.</t>
  </si>
  <si>
    <t>LINDORES CONSTRUCTION LOGISTICS PTY LTD</t>
  </si>
  <si>
    <t>Lindores Construction Logistics. Inv 1607. 30.07.12.</t>
  </si>
  <si>
    <t>OTHER MATERIALS (NOT STORES)</t>
  </si>
  <si>
    <t>Make &amp; Test 5 new 18.9m Leads</t>
  </si>
  <si>
    <t>Inv 00090995 31.07.12</t>
  </si>
  <si>
    <t>Inv #S400795 - Approved by S. Dodds</t>
  </si>
  <si>
    <t>Standing Order for Cable Fault Repairs for 2012 - 2013 FY</t>
  </si>
  <si>
    <t>Inv #00002969 - Approved by S. Coomber</t>
  </si>
  <si>
    <t>512.01 BUILDING/COMPOUNDS</t>
  </si>
  <si>
    <t>Air Conditioning Maintenance for Mullumbimby</t>
  </si>
  <si>
    <t>COOL-A-BAH COOLING SERVICES PTY LTD</t>
  </si>
  <si>
    <t>BUILDING &amp; COMPOUNDS</t>
  </si>
  <si>
    <t>Inv #22001 - Approved by S. Coomber</t>
  </si>
  <si>
    <t>Inv #22046 - Approved by S. Coomber</t>
  </si>
  <si>
    <t>Standing Order for Air Conditioning Maintenance at Mullumbimby &amp; Bungalora</t>
  </si>
  <si>
    <t>Inv #22122 - Approved by S. Coomber</t>
  </si>
  <si>
    <t>Inv #22045 - Approved by S. Dodds</t>
  </si>
  <si>
    <t>Inv #S407191 - Approved by S. Dodds</t>
  </si>
  <si>
    <t>Inv #00002880 - Approved by S. Coomber</t>
  </si>
  <si>
    <t>Inv #44904 - Approved by S. Coomber</t>
  </si>
  <si>
    <t>Inv #43263 - Approved by S. Coomber</t>
  </si>
  <si>
    <t>Inv #45163 - Approved by S. Coomber</t>
  </si>
  <si>
    <t>Inv #45185 - Approved by S. Coomber</t>
  </si>
  <si>
    <t>Inv #45365 - Approved by S. Coomber</t>
  </si>
  <si>
    <t>Inv #45366 - Approved by S. Coomber</t>
  </si>
  <si>
    <t>Hire of Tiper Truck, Crane and Personnel</t>
  </si>
  <si>
    <t>Inv #CIV11145 - Approved by S. Coomber</t>
  </si>
  <si>
    <t>Labour and Materials for Reactor &amp; Platform</t>
  </si>
  <si>
    <t>ARGON ALUMINUM</t>
  </si>
  <si>
    <t>Inv #00005919 - Approved by S. Coomber</t>
  </si>
  <si>
    <t>Inv #00005918 - Approved by S. Coomber</t>
  </si>
  <si>
    <t>Inv #00005917 - Approved by S. Coomber</t>
  </si>
  <si>
    <t>SAFETY EQUIPMENT</t>
  </si>
  <si>
    <t>Standing Order for Essential Services Monthly Contracted Charge for 2012-13 FY</t>
  </si>
  <si>
    <t>HAWKINS ON FIRE</t>
  </si>
  <si>
    <t>Other Operating Costs</t>
  </si>
  <si>
    <t>Inv #9221 - Approved by S. Coomber</t>
  </si>
  <si>
    <t>Inv #00002908 - Approved by S. Coomber</t>
  </si>
  <si>
    <t>Inv #00002927 - Approved by S. Coomber</t>
  </si>
  <si>
    <t>Inv #43517 - Approved by S. Coomber</t>
  </si>
  <si>
    <t>Inv #44419 - Approved by S. Coomber</t>
  </si>
  <si>
    <t>Inv #44420 - Approved by S. Coomber</t>
  </si>
  <si>
    <t>Inv #44421 - Approved by S. Coomber</t>
  </si>
  <si>
    <t>Inv #44422 - Approved by S. Coomber</t>
  </si>
  <si>
    <t>Inv #44423 - Approved by S. Coomber</t>
  </si>
  <si>
    <t>Inv #44424 - Approved by S. Coomber</t>
  </si>
  <si>
    <t>Inv #44425 - Approved by S. Coomber</t>
  </si>
  <si>
    <t>Inv #44426 - Approved by S. Coomber</t>
  </si>
  <si>
    <t>Inv #44427 - Approved by S. Coomber</t>
  </si>
  <si>
    <t>Inv #44429 - Approved by S. Coomber</t>
  </si>
  <si>
    <t>Inv #44430 - Approved by S. Coomber</t>
  </si>
  <si>
    <t>Inv #44977 - Approved by S. Coomber</t>
  </si>
  <si>
    <t>Inv #44978 - Approved by S. Coomber</t>
  </si>
  <si>
    <t>Inv #44979 - Approved by S. Coomber</t>
  </si>
  <si>
    <t>Inv #45779 - Approved by S. Coomber</t>
  </si>
  <si>
    <t>Inv #45786 - Approved by S. Coomber</t>
  </si>
  <si>
    <t>Inv #00003123 - Approved by S. Coomber</t>
  </si>
  <si>
    <t>Inv #9594 - Approved by S. Coomber</t>
  </si>
  <si>
    <t>Inv #95879 - Approved by S. Coomber</t>
  </si>
  <si>
    <t>Inv #00002961 - Approved by S. Coomber</t>
  </si>
  <si>
    <t>Inv #44428 - Approved by S. Coomber</t>
  </si>
  <si>
    <t>Inv #45154 - Approved by S. Coomber</t>
  </si>
  <si>
    <t>Inv #1261910518 - Approved by S. Coomber</t>
  </si>
  <si>
    <t>Inv #S418387 - Approved by S. Dodds</t>
  </si>
  <si>
    <t>Inv #00002980 - Approved by S. Coomber</t>
  </si>
  <si>
    <t>Inv #46279 - Approved by S. Coomber</t>
  </si>
  <si>
    <t>Inv #46532 - Approved by S. Coomber</t>
  </si>
  <si>
    <t>Inv #46533 - Approved by S. Coomber</t>
  </si>
  <si>
    <t>Inv #46538 - Approved by S. Coomber</t>
  </si>
  <si>
    <t>Inv #00003200 - Approved by S. Coomber</t>
  </si>
  <si>
    <t>Inv #46166 - Approved by S. Coomber</t>
  </si>
  <si>
    <t>Inv #46833 - Approved by S. Coomber</t>
  </si>
  <si>
    <t>FREIGHT</t>
  </si>
  <si>
    <t>Transportation of Reactor from Mansfield to Eagle Farm</t>
  </si>
  <si>
    <t>NQ GROUP PTY LTD</t>
  </si>
  <si>
    <t>Inv #36692 - Approved by S. Coomber</t>
  </si>
  <si>
    <t>Inv #36691 - Approved by S. Coomber</t>
  </si>
  <si>
    <t>Inv #9828 - Approved by S. Coomber</t>
  </si>
  <si>
    <t>Inv #8737 - Approved by S. Coomber</t>
  </si>
  <si>
    <t>Inv #8874 - Approved by S. Coomber</t>
  </si>
  <si>
    <t>Inv #8853 - Approved by S. Coomber</t>
  </si>
  <si>
    <t>Inv #9064 - Approved by S. Coomber</t>
  </si>
  <si>
    <t>Inv #9396 - Approved by S. Coomber</t>
  </si>
  <si>
    <t>Inv #10071 - Approved by S. Coomber</t>
  </si>
  <si>
    <t>TRAINING</t>
  </si>
  <si>
    <t>Directlink HV Training November 12, 2012</t>
  </si>
  <si>
    <t>Training</t>
  </si>
  <si>
    <t>Inv #90638706 - Approved by S. Coomber</t>
  </si>
  <si>
    <t>Inv #22942 - Approved by S. Dodds</t>
  </si>
  <si>
    <t>Standing Order for Security Patrols at Mullumbimby</t>
  </si>
  <si>
    <t>Inv #S419732 - Approved by S. Dodds</t>
  </si>
  <si>
    <t>CONTRACTED SERVICES</t>
  </si>
  <si>
    <t>Supply of Franna to Reposition Crate at Eagle Farm</t>
  </si>
  <si>
    <t>Inv #36804 - Approved by S. Dodds</t>
  </si>
  <si>
    <t>Inv #0003301 - Approved by S. Coomber</t>
  </si>
  <si>
    <t>Inv #8850 - Approved by S. Coomber</t>
  </si>
  <si>
    <t>Inv #8851 - Approved by S. Coomber</t>
  </si>
  <si>
    <t>Inv # 22985 21.03.13</t>
  </si>
  <si>
    <t>Inv # 23230 21.03.13</t>
  </si>
  <si>
    <t>Inv S422937 26.03.13</t>
  </si>
  <si>
    <t>Inv #S424277 - Approved by S. Dodds</t>
  </si>
  <si>
    <t>Inv # 00003020 25.04.13</t>
  </si>
  <si>
    <t>Inv # 47442 26.03.13</t>
  </si>
  <si>
    <t>Inv # 47443 26.03.13</t>
  </si>
  <si>
    <t>Inv # 47435 26.03.13</t>
  </si>
  <si>
    <t>Inv #47025 - Approved by S. Coomber</t>
  </si>
  <si>
    <t>Inv #47704 - Approved by S. Coomber</t>
  </si>
  <si>
    <t>Inv #00003364 - Approved by S. Coomber</t>
  </si>
  <si>
    <t>Inv #22986 - Approved by S. Dodds</t>
  </si>
  <si>
    <t>Inv #S426518 - Approved by S. Dodds</t>
  </si>
  <si>
    <t>Inv #PN42039 - Approved by S. Dodds</t>
  </si>
  <si>
    <t>Byron Bay Tree Services &amp; Landscapes P/L. Inv #00004016. 09.05.13.</t>
  </si>
  <si>
    <t>Inv #00004047 - Approved by S. Coomber</t>
  </si>
  <si>
    <t>Inv #00004044 - Approved by S. Coomber</t>
  </si>
  <si>
    <t>Load Cable Drums onto flat bed and Transport to Site</t>
  </si>
  <si>
    <t>Inv #00012952 - Approved by S. Dodds</t>
  </si>
  <si>
    <t>Set Drums and remove cable. Re-roll cable onto new Drum</t>
  </si>
  <si>
    <t>Inv #00012953 - Approved by S. Dodds</t>
  </si>
  <si>
    <t>Equipment Hire as per Instructions from Noel Powell</t>
  </si>
  <si>
    <t>Inv #00012954 - Approved by S. Dodds</t>
  </si>
  <si>
    <t>Testing Costs for Bungalora</t>
  </si>
  <si>
    <t>Inv #00027731 - Approved by S. Dodds</t>
  </si>
  <si>
    <t>Testing Costs for Mullumbimby</t>
  </si>
  <si>
    <t>Inv #47970 - Approved by S. Dodds</t>
  </si>
  <si>
    <t>Inv #47969 - Approved by S. Dodds</t>
  </si>
  <si>
    <t>Thearle Electrical. Inv #47543. 02.04.13.</t>
  </si>
  <si>
    <t>Inv #48241 - Approved by S. Coomber</t>
  </si>
  <si>
    <t>Inv #47974 - Approved by S. Coomber</t>
  </si>
  <si>
    <t>Inv #47967 - Approved by S. Coomber</t>
  </si>
  <si>
    <t>Supply &amp; Install 15 off Plates to System 1 Reactor</t>
  </si>
  <si>
    <t>Inv #00006644 - Approved by S. Coomber</t>
  </si>
  <si>
    <t>Inv #103402 - Approved by S. Coomber</t>
  </si>
  <si>
    <t>Inv #S429522 - Approved by S. Dodds</t>
  </si>
  <si>
    <t>Inv #S428748 - Approved by S. Dodds</t>
  </si>
  <si>
    <t>Inv #00004080 - Approved by S. Coomber</t>
  </si>
  <si>
    <t>Inv #00004091 - Approved by S. Coomber</t>
  </si>
  <si>
    <t>Inv #00003443 - Approved by S. Coomber</t>
  </si>
  <si>
    <t>Inv #103343 - Approved by S. Coomber</t>
  </si>
  <si>
    <t>Inv #103186 - Approved by S. Coomber</t>
  </si>
  <si>
    <t>Inv #10307 - Approved by S. Coomber</t>
  </si>
  <si>
    <t>Inv #103600 - Approved by S. Coomber</t>
  </si>
  <si>
    <t>Standing Order for Air Conditioning Maintenance at Mullumbimby &amp; Bungalora for 2013-2014 FY</t>
  </si>
  <si>
    <t>Inv #23745 - Approved by S. Coomber</t>
  </si>
  <si>
    <t>Inv #23549 - Approved by N. Powell</t>
  </si>
  <si>
    <t>Inv #23548 - Approved by N. Powell</t>
  </si>
  <si>
    <t>Inv #S432437 - Approved by S. Dodds</t>
  </si>
  <si>
    <t>Standing Order for Security Patrols at Mullumbimby for 2013-2014 FY</t>
  </si>
  <si>
    <t>Inv #S435299 - Approved by S. Dodds</t>
  </si>
  <si>
    <t>Standing Order for Vegetation Maintenance for 2013-2014 FY</t>
  </si>
  <si>
    <t>Inv #00004121 - Approved by S. Coomber</t>
  </si>
  <si>
    <t>Inv #47818 - Approved by S. Coomber</t>
  </si>
  <si>
    <t>Inspection / Repair of 1 x LTB Circuit Breaker Pole with SF6 Gas Leak as per Quotation #13Q1810269-Rev 1</t>
  </si>
  <si>
    <t>Inv #1361905678 - Approved by S. Dodds</t>
  </si>
  <si>
    <t>Standing Order for Essential Services Monthly Contracted Charge for 2013-14 FY</t>
  </si>
  <si>
    <t>Inv #103785 - Approved by S. Coomber</t>
  </si>
  <si>
    <t>Inv #22119 - Approved by S. Coomber</t>
  </si>
  <si>
    <t>Cool-A-Bah. Inv No 23893. 05.08.13.</t>
  </si>
  <si>
    <t>Inv #23780 - Approved by S. Dodds</t>
  </si>
  <si>
    <t>Inv #23807 - Approved by S. Dodds</t>
  </si>
  <si>
    <t>Standing Order for Security Patrols at Directlink for 2013-2014 FY</t>
  </si>
  <si>
    <t>JONES, BRETT</t>
  </si>
  <si>
    <t>Inv #S435508 - Approved by S. Dodds</t>
  </si>
  <si>
    <t>Inv #S438141 - Approved by S. Dodds</t>
  </si>
  <si>
    <t>Inv #00004185 - Approved by S. Coomber</t>
  </si>
  <si>
    <t>Bungalora Testing</t>
  </si>
  <si>
    <t>Inv #00030549 - Approved by S. Coomber</t>
  </si>
  <si>
    <t>Large Transfer Plates as per Quotation #19142</t>
  </si>
  <si>
    <t>Inv #00007046 - Approved by S. Dodds</t>
  </si>
  <si>
    <t>Standing Order for Unscheduled Maintenance at Directlink for 2013-2014 FY</t>
  </si>
  <si>
    <t>Inv #49254 - Approved by S. Coomber</t>
  </si>
  <si>
    <t>Inv #49381 - Approved by S. Coomber</t>
  </si>
  <si>
    <t>Inv #49511 - Approved by S. Coomber</t>
  </si>
  <si>
    <t>Inv #49510 - Approved by S. Coomber</t>
  </si>
  <si>
    <t>Inv #106920 - Approved by S. Coomber</t>
  </si>
  <si>
    <t>Inv #S437343 - Approved by S. Dodds</t>
  </si>
  <si>
    <t>Byron Bay Tree Services &amp; Landscapes Pty Ltd. Inv No 00004219. 26.09.13</t>
  </si>
  <si>
    <t>Thearle Electrical. Inv No 50052. 19.09.13. Approved by Stuart Coomber</t>
  </si>
  <si>
    <t>Thearle Electrical Inv No 50094. 20.09.13. Approved by Stuart Coomber.</t>
  </si>
  <si>
    <t>Inv # 107286 26.09.13</t>
  </si>
  <si>
    <t>Inv # 107287 26.09.13</t>
  </si>
  <si>
    <t>Inv #24225 - Approved by S. Dodds</t>
  </si>
  <si>
    <t>Sydney Night Patrol and Inquiry Co Pty. Ltd. Inv No S440878. 26.09.13. Approved by Stuart Dodds</t>
  </si>
  <si>
    <t>Inv #S441890 - Approved by S. Dodds</t>
  </si>
  <si>
    <t>Approved by Stuart Dodds. SNP Security. Inv No S444598. 25.10.13.</t>
  </si>
  <si>
    <t>Inv #00004236 - Approved by S. Dodds</t>
  </si>
  <si>
    <t>Thearle Electrical. Inv No 50292. 01.10.13.Approved by Stuart Coomber</t>
  </si>
  <si>
    <t>Requested By: Noel Powell - ANI Painting - Inv # 00000184 TX Paining - 30264/560.01</t>
  </si>
  <si>
    <t>ANI PAINTING CONTRACTORS</t>
  </si>
  <si>
    <t>Inv # 00000184 01.10.2013</t>
  </si>
  <si>
    <t>Inv # 50241 30.09.13</t>
  </si>
  <si>
    <t>Inv #49777 - Approved by S. Coomber</t>
  </si>
  <si>
    <t>Inv #49778 - Approved by S. Coomber</t>
  </si>
  <si>
    <t>Inv #50385 - Approved by S. Coomber</t>
  </si>
  <si>
    <t>Inv #49830 - Approved by S. Dodds</t>
  </si>
  <si>
    <t>Tx Painting - Paints &amp; Hardware</t>
  </si>
  <si>
    <t>ANI Painting Contractors Pty Ltd. Inv No 00000190. 17.10.13. Approved by Noel Powell.</t>
  </si>
  <si>
    <t>Inv #107456 - Approved by S. Coomber</t>
  </si>
  <si>
    <t>Inv #24155 - Approved by S. Coomber</t>
  </si>
  <si>
    <t>Inv #S447067 - Approved by S. Dodds</t>
  </si>
  <si>
    <t>SNP Security. Inv No S447890. 25.11.13.Approved by Stuart Dodds</t>
  </si>
  <si>
    <t>Byron Bay Tree Services &amp; Landscapes P/L. Inv No 00004263. 27.11.13. Approved by Stuart Dodds</t>
  </si>
  <si>
    <t>Inv #50534 - Approved by S. Coomber</t>
  </si>
  <si>
    <t>Inv #49831 - Approved by S. Coomber</t>
  </si>
  <si>
    <t>Inv #50535 - Approved by S. Coomber</t>
  </si>
  <si>
    <t>Inv #50596 - Approved by S. Coomber</t>
  </si>
  <si>
    <t>Inv #49782 - Approved by S. Coomber</t>
  </si>
  <si>
    <t>Inv #49779 - Approved by S. Coomber</t>
  </si>
  <si>
    <t>Standing Order - SAE Group - Contractors O/M - Operation Labour - Financial Year 2013/14</t>
  </si>
  <si>
    <t>SAE GROUP PTY LTD</t>
  </si>
  <si>
    <t>SAE. Inv No 7429 11.09.13. Approved by Noel Powell</t>
  </si>
  <si>
    <t>SAE. Invoice No 7433. 16.09.13. Approved by Noel Powell</t>
  </si>
  <si>
    <t>SAE. Inv 7434. 18.09.13. Approved by Noel Powell</t>
  </si>
  <si>
    <t>Inv #7731 - Approved by S. Dodds</t>
  </si>
  <si>
    <t>Inv #50924 - Approved by S. Coomber</t>
  </si>
  <si>
    <t>Inv #INV-0048 - Approved by S. Dodds</t>
  </si>
  <si>
    <t>Inv #S450830 - Approved by S. Dodds</t>
  </si>
  <si>
    <t>Byron Bay Tree Services &amp; Landscapes P/L. Inv No 00004324. 28.11.13. Approved by Stuart Dodds.</t>
  </si>
  <si>
    <t>Inv #00004263 - Approved by S. Coomber</t>
  </si>
  <si>
    <t>Inv #00004324 - Approved by S. Coomber</t>
  </si>
  <si>
    <t>Inv #00004361 - Approved by S. Dodds</t>
  </si>
  <si>
    <t>Inv #51052 - Approved by S. Dodds</t>
  </si>
  <si>
    <t>Inv #INV-0054 - Approved by S. Dodds</t>
  </si>
  <si>
    <t>Inv #S452442 - Approved by S. Dodds</t>
  </si>
  <si>
    <t>Inv #S454707 - Approved by S. Dodds</t>
  </si>
  <si>
    <t>Inv #00004385 - Approved by S. Dodds</t>
  </si>
  <si>
    <t>Inv #00004579 - Approved by S. Coomber</t>
  </si>
  <si>
    <t>Inv #51171 - Approved by S. Coomber</t>
  </si>
  <si>
    <t>Inv #51479 - Approved by S. Coomber</t>
  </si>
  <si>
    <t>Inv #51475- Approved by S. Coomber</t>
  </si>
  <si>
    <t>Inv #51471 - Approved by S. Coomber</t>
  </si>
  <si>
    <t>Inv #51172 - Approved by S. Coomber</t>
  </si>
  <si>
    <t>Inv #51170 - Approved by S. Coomber</t>
  </si>
  <si>
    <t>Testing and Repair of Dehumidifiers at Bungalora</t>
  </si>
  <si>
    <t>MUNTERS PTY LTD</t>
  </si>
  <si>
    <t>Inv #CD2013004727 - Approved by S. Dodds</t>
  </si>
  <si>
    <t>Testing and Repair of Dehumidifiers at Mullumbimby</t>
  </si>
  <si>
    <t>Inv #CD2013004723 - Approved by S. Dodds</t>
  </si>
  <si>
    <t>R/M-NON-ROUTINE MAINTENANCE</t>
  </si>
  <si>
    <t>Munters to carry out annual maintenace on Mullumbimby dehumindifiers, quote No.AUSASPARO3167-001</t>
  </si>
  <si>
    <t>Repairs &amp; Maint - Non - Routine</t>
  </si>
  <si>
    <t>Inv #CD2013004510 - Approved by N. Powell</t>
  </si>
  <si>
    <t>Inv #G1381 - Approved by S. Dodds</t>
  </si>
  <si>
    <t>Inv #S456418 - Approved by S. Dodds</t>
  </si>
  <si>
    <t>Inv #00004407 - Approved by S. Dodds</t>
  </si>
  <si>
    <t>Inv #00004370 - Approved by S. Dodds</t>
  </si>
  <si>
    <t>Test of HV Gloves, Stick &amp; Portable Earth as per Job Number TEX641319</t>
  </si>
  <si>
    <t>Tex Onsite. Inv No 00033598. 05.02.14 Approved by Stuart Dpdds</t>
  </si>
  <si>
    <t>Inv #8217 - Approved by S. Dodds</t>
  </si>
  <si>
    <t>QLD-ET-WI-PM072-0160</t>
  </si>
  <si>
    <t>QLD-ET-WI-PM060-0150</t>
  </si>
  <si>
    <t>QLD-ET-WI-PM036-0142</t>
  </si>
  <si>
    <t>QLD-ET-WI-PM036-0140</t>
  </si>
  <si>
    <t>QLD-ET-WI-PM072-0140</t>
  </si>
  <si>
    <t>QLD-ET-WI-PM180-0140</t>
  </si>
  <si>
    <t>QLD-ET-WI-PM012-0128</t>
  </si>
  <si>
    <t>Work Order #</t>
  </si>
  <si>
    <t>QLD-168084</t>
  </si>
  <si>
    <t>COOMBER Stuart</t>
  </si>
  <si>
    <t>PM</t>
  </si>
  <si>
    <t>system decommissioned.</t>
  </si>
  <si>
    <t>QLD-169333</t>
  </si>
  <si>
    <t>Pushed  estop and CB opened.</t>
  </si>
  <si>
    <t>QLD-168085</t>
  </si>
  <si>
    <t>No system 1 at Mullum.</t>
  </si>
  <si>
    <t>QLD-169334</t>
  </si>
  <si>
    <t>QLD-ET-WI-PM012-0126</t>
  </si>
  <si>
    <t>QLD-166899</t>
  </si>
  <si>
    <t>decommission ed</t>
  </si>
  <si>
    <t>QLD-166902</t>
  </si>
  <si>
    <t>QLD-ET-WI-PM012-0124</t>
  </si>
  <si>
    <t>QLD-ET-WI-PM036-0124</t>
  </si>
  <si>
    <t>HARRIS James</t>
  </si>
  <si>
    <t>out of service</t>
  </si>
  <si>
    <t>QLD-ET-WI-PM012-0120</t>
  </si>
  <si>
    <t>QLD-ET-WI-PM024-0120</t>
  </si>
  <si>
    <t>QLD-166898</t>
  </si>
  <si>
    <t>decommissioned</t>
  </si>
  <si>
    <t>QLD-166942</t>
  </si>
  <si>
    <t>EDWARDS2 Luke</t>
  </si>
  <si>
    <t>done, entered sc</t>
  </si>
  <si>
    <t>QLD-166943</t>
  </si>
  <si>
    <t>worked done by Luke and jack as per WO36.done, entered sc.</t>
  </si>
  <si>
    <t>QLD-166944</t>
  </si>
  <si>
    <t>QLD-166945</t>
  </si>
  <si>
    <t>QLD-166946</t>
  </si>
  <si>
    <t>QLD-171847</t>
  </si>
  <si>
    <t>QLD-171852</t>
  </si>
  <si>
    <t>work carried out by , luke and Jack.done, entered sc.</t>
  </si>
  <si>
    <t>QLD-171853</t>
  </si>
  <si>
    <t>work done by LE and JMc.done, entered sc.</t>
  </si>
  <si>
    <t>QLD-171854</t>
  </si>
  <si>
    <t>QLD-171855</t>
  </si>
  <si>
    <t>done, checked sc</t>
  </si>
  <si>
    <t>QLD-171856</t>
  </si>
  <si>
    <t>done, sc</t>
  </si>
  <si>
    <t>QLD-ET-WI-PM012-0110</t>
  </si>
  <si>
    <t>QLD-166892</t>
  </si>
  <si>
    <t>QLD-166893</t>
  </si>
  <si>
    <t>Thearle Electrical</t>
  </si>
  <si>
    <t>Done, spread sheet on server</t>
  </si>
  <si>
    <t>QLD-166894</t>
  </si>
  <si>
    <t>QLD-166895</t>
  </si>
  <si>
    <t>QLD-166896</t>
  </si>
  <si>
    <t>done, results on WO</t>
  </si>
  <si>
    <t>QLD-166897</t>
  </si>
  <si>
    <t>Done,</t>
  </si>
  <si>
    <t>QLD-ET-WI-PM012-0104</t>
  </si>
  <si>
    <t>QLD-ET-WI-PM180-0104</t>
  </si>
  <si>
    <t>QLD-164862</t>
  </si>
  <si>
    <t>QLD-164863</t>
  </si>
  <si>
    <t>All reactors checked. All phase reactors need further investigation, extended shutdown</t>
  </si>
  <si>
    <t>QLD-164864</t>
  </si>
  <si>
    <t>QLD-164865</t>
  </si>
  <si>
    <t>QLD-164866</t>
  </si>
  <si>
    <t>QLD-164867</t>
  </si>
  <si>
    <t>QLD-ET-WI-PM012-0062</t>
  </si>
  <si>
    <t>QLD-166889</t>
  </si>
  <si>
    <t>no system 1 at Mullum</t>
  </si>
  <si>
    <t>QLD-166891</t>
  </si>
  <si>
    <t>Done, Munters carrying out a full overhaul of dehumnidifiers</t>
  </si>
  <si>
    <t>QLD-ET-WI-PM012-0060</t>
  </si>
  <si>
    <t>QLD-166318</t>
  </si>
  <si>
    <t>System decommissioned. Munters looking after unit.</t>
  </si>
  <si>
    <t>QLD-166319</t>
  </si>
  <si>
    <t>Units failed annual maintenance checks. Munters have pulled units out and %0D%0Ataken away for overhaul. New work order number 191697</t>
  </si>
  <si>
    <t>QLD-166320</t>
  </si>
  <si>
    <t>Units failed annual maintenance checks.Munters have taken away for %0D%0Aoverhaul .New work order number 191694.</t>
  </si>
  <si>
    <t>QLD-166321</t>
  </si>
  <si>
    <t>QLD-166322</t>
  </si>
  <si>
    <t>Units failed annual maintenance checks.Munters have taken away for %0D%0Aoverhaul .New work order number 191700. reports on server</t>
  </si>
  <si>
    <t>QLD-166323</t>
  </si>
  <si>
    <t>Units failed annual maintenance checks.Munters have taken away for %0D%0Aoverhaul .New work order number 191696.</t>
  </si>
  <si>
    <t>QLD-ET-WI-PM024-0056</t>
  </si>
  <si>
    <t>QLD-171841</t>
  </si>
  <si>
    <t>Notdone, system decommisioned</t>
  </si>
  <si>
    <t>QLD-171842</t>
  </si>
  <si>
    <t>MCALLISTER Jack (no PIO)</t>
  </si>
  <si>
    <t>All cooling fins cleaned. Selected motors/Fans changed</t>
  </si>
  <si>
    <t>QLD-171843</t>
  </si>
  <si>
    <t>QLD-171844</t>
  </si>
  <si>
    <t>QLD-171845</t>
  </si>
  <si>
    <t>QLD-171846</t>
  </si>
  <si>
    <t>QLD-ET-WI-PM012-0054</t>
  </si>
  <si>
    <t>QLD-166315</t>
  </si>
  <si>
    <t>QLD-ET-WI-PM012-0052</t>
  </si>
  <si>
    <t>QLD-166330</t>
  </si>
  <si>
    <t>QLD-166331</t>
  </si>
  <si>
    <t>James harris insatlled and realigned pump and motor.%0D%0Atheirls changed bearings.</t>
  </si>
  <si>
    <t>QLD-166332</t>
  </si>
  <si>
    <t>QLD-166333</t>
  </si>
  <si>
    <t>out of service due to fire</t>
  </si>
  <si>
    <t>QLD-166334</t>
  </si>
  <si>
    <t>QLD-166335</t>
  </si>
  <si>
    <t>QLD-ET-WI-PM012-0050</t>
  </si>
  <si>
    <t>QLD-ET-WI-PM024-0050</t>
  </si>
  <si>
    <t>QLD-ET-WI-PM060-0050</t>
  </si>
  <si>
    <t>QLD-ET-WI-PM012-0042</t>
  </si>
  <si>
    <t>QLD-166885</t>
  </si>
  <si>
    <t>QLD-166937</t>
  </si>
  <si>
    <t>done</t>
  </si>
  <si>
    <t>QLD-166938</t>
  </si>
  <si>
    <t>done theirls, done, entered sc.</t>
  </si>
  <si>
    <t>QLD-166939</t>
  </si>
  <si>
    <t>QLD-166940</t>
  </si>
  <si>
    <t>Done eneterd sc</t>
  </si>
  <si>
    <t>QLD-166941</t>
  </si>
  <si>
    <t>QLD-ET-WI-PM012-0038</t>
  </si>
  <si>
    <t>QLD-166931</t>
  </si>
  <si>
    <t>QLD-166932</t>
  </si>
  <si>
    <t>done, entered sc.</t>
  </si>
  <si>
    <t>QLD-166933</t>
  </si>
  <si>
    <t>QLD-166934</t>
  </si>
  <si>
    <t>QLD-166935</t>
  </si>
  <si>
    <t>Done sc</t>
  </si>
  <si>
    <t>QLD-166936</t>
  </si>
  <si>
    <t>QLD-ET-WI-PM012-0028</t>
  </si>
  <si>
    <t>QLD-166930</t>
  </si>
  <si>
    <t>Painted  during this outage.Oil samples done.</t>
  </si>
  <si>
    <t>QLD-166880</t>
  </si>
  <si>
    <t>Oils samples done, all good. Results on server</t>
  </si>
  <si>
    <t>QLD-166881</t>
  </si>
  <si>
    <t>QLD-166882</t>
  </si>
  <si>
    <t>QLD-166883</t>
  </si>
  <si>
    <t>QLD-166884</t>
  </si>
  <si>
    <t>QLD-ET-WI-PM012-0026</t>
  </si>
  <si>
    <t>QLD-166929</t>
  </si>
  <si>
    <t>QLD-166928</t>
  </si>
  <si>
    <t>Rust found  WT T11 L1,L2,L3, arrange painter and cleaning.New work order opened, sc</t>
  </si>
  <si>
    <t>QLD-166923</t>
  </si>
  <si>
    <t>QLD-166924</t>
  </si>
  <si>
    <t>QLD-166925</t>
  </si>
  <si>
    <t>QLD-166926</t>
  </si>
  <si>
    <t>Done, enetered SC,</t>
  </si>
  <si>
    <t>QLD-166927</t>
  </si>
  <si>
    <t>QLD-ET-WI-PM012-0024</t>
  </si>
  <si>
    <t>QLD-166917</t>
  </si>
  <si>
    <t>QLD-166918</t>
  </si>
  <si>
    <t>QLD-166919</t>
  </si>
  <si>
    <t>QLD-166920</t>
  </si>
  <si>
    <t>QLD-166921</t>
  </si>
  <si>
    <t>QLD-166922</t>
  </si>
  <si>
    <t>QLD-ET-WI-PM012-0022</t>
  </si>
  <si>
    <t>QLD-ET-WI-PM060-0022</t>
  </si>
  <si>
    <t>QLD-166911</t>
  </si>
  <si>
    <t>QLD-166912</t>
  </si>
  <si>
    <t>QLD-166913</t>
  </si>
  <si>
    <t>done entered sc</t>
  </si>
  <si>
    <t>QLD-166914</t>
  </si>
  <si>
    <t>QLD-166915</t>
  </si>
  <si>
    <t>QLD-166916</t>
  </si>
  <si>
    <t>QLD-ET-WI-PM001-0019</t>
  </si>
  <si>
    <t>QLD-ET-WI-PM001-0017</t>
  </si>
  <si>
    <t>QLD-190837</t>
  </si>
  <si>
    <t>byron bay trees complted on 7/1/14</t>
  </si>
  <si>
    <t>QLD-186932</t>
  </si>
  <si>
    <t>byron bay tree servoce invoice 4355 paid</t>
  </si>
  <si>
    <t>QLD-181577</t>
  </si>
  <si>
    <t>Luke sent emails to DBYD customers to liase regarding earthworks</t>
  </si>
  <si>
    <t>QLD-177397</t>
  </si>
  <si>
    <t>Byron trees stokers siding, mclouds farm</t>
  </si>
  <si>
    <t>QLD-173218</t>
  </si>
  <si>
    <t>QLD-ET-WI-PM012-0016</t>
  </si>
  <si>
    <t>QLD-164876</t>
  </si>
  <si>
    <t>QLD-164879</t>
  </si>
  <si>
    <t>decommisioned</t>
  </si>
  <si>
    <t>QLD-164880</t>
  </si>
  <si>
    <t>Work complete during annual, enetred by sc</t>
  </si>
  <si>
    <t>QLD-164881</t>
  </si>
  <si>
    <t>QLD-ET-WI-PM012-0014</t>
  </si>
  <si>
    <t>QLD-166905</t>
  </si>
  <si>
    <t>not in service</t>
  </si>
  <si>
    <t>QLD-166906</t>
  </si>
  <si>
    <t>Done, entered sc,</t>
  </si>
  <si>
    <t>QLD-166907</t>
  </si>
  <si>
    <t>QLD-166908</t>
  </si>
  <si>
    <t>QLD-166909</t>
  </si>
  <si>
    <t>done annaul maintenance</t>
  </si>
  <si>
    <t>QLD-166910</t>
  </si>
  <si>
    <t>QLD-ET-WI-PM006-0013</t>
  </si>
  <si>
    <t>QLD-ET-WI-PM006-0011</t>
  </si>
  <si>
    <t>QLD-171850</t>
  </si>
  <si>
    <t>checked by luke. 5.8.13</t>
  </si>
  <si>
    <t>QLD-171851</t>
  </si>
  <si>
    <t>sc checked 16/10/13</t>
  </si>
  <si>
    <t>QLD-ET-WI-PM001-0010</t>
  </si>
  <si>
    <t>QLD-ET-WI-PM036-0010</t>
  </si>
  <si>
    <t>YARD MAINTENANCE</t>
  </si>
  <si>
    <t>QLD-180915</t>
  </si>
  <si>
    <t>Done during extended Annual outage 2013</t>
  </si>
  <si>
    <t>QLD-176791</t>
  </si>
  <si>
    <t>Both sites were accessed during the anual maintenace period , with weed control carried %0D%0Aout</t>
  </si>
  <si>
    <t>QLD-173196</t>
  </si>
  <si>
    <t>done during annual maintence 2013</t>
  </si>
  <si>
    <t>QLD-168780</t>
  </si>
  <si>
    <t>QLD-165611</t>
  </si>
  <si>
    <t>QLD-180916</t>
  </si>
  <si>
    <t>QLD-176792</t>
  </si>
  <si>
    <t>QLD-173197</t>
  </si>
  <si>
    <t>QLD-168781</t>
  </si>
  <si>
    <t>Check and removed weeds from AC Yard</t>
  </si>
  <si>
    <t>QLD-165612</t>
  </si>
  <si>
    <t>QLD-ET-WI-PM006-0006</t>
  </si>
  <si>
    <t>QLD-166868</t>
  </si>
  <si>
    <t>done during shutdown, , entered sc.</t>
  </si>
  <si>
    <t>QLD-166869</t>
  </si>
  <si>
    <t>QLD-166870</t>
  </si>
  <si>
    <t>QLD-166871</t>
  </si>
  <si>
    <t>QLD-166872</t>
  </si>
  <si>
    <t>QLD-166873</t>
  </si>
  <si>
    <t>QLD-166874</t>
  </si>
  <si>
    <t>QLD-166875</t>
  </si>
  <si>
    <t>QLD-166878</t>
  </si>
  <si>
    <t>tested during annual shutdown , PCP A ups replaced.</t>
  </si>
  <si>
    <t>QLD-166879</t>
  </si>
  <si>
    <t>Tested during annual maintenace, replaced PCP A UPS</t>
  </si>
  <si>
    <t>QLD-ET-WI-PM001-0005</t>
  </si>
  <si>
    <t>QLD-188340</t>
  </si>
  <si>
    <t>system decommisioned</t>
  </si>
  <si>
    <t>QLD-178332</t>
  </si>
  <si>
    <t>not needed as Directlink not operating due to reactor repair</t>
  </si>
  <si>
    <t>QLD-174536</t>
  </si>
  <si>
    <t>Directlink off line this month fpr reactor repairs</t>
  </si>
  <si>
    <t>QLD-170637</t>
  </si>
  <si>
    <t>Annual maintanance peroid.</t>
  </si>
  <si>
    <t>QLD-166849</t>
  </si>
  <si>
    <t>Annual Maintenance period</t>
  </si>
  <si>
    <t>QLD-162968</t>
  </si>
  <si>
    <t>QLD-178333</t>
  </si>
  <si>
    <t>QLD-174537</t>
  </si>
  <si>
    <t>QLD-170638</t>
  </si>
  <si>
    <t>QLD-166850</t>
  </si>
  <si>
    <t>QLD-162969</t>
  </si>
  <si>
    <t>QLD-178337</t>
  </si>
  <si>
    <t>QLD-174541</t>
  </si>
  <si>
    <t>QLD-170641</t>
  </si>
  <si>
    <t>QLD-166854</t>
  </si>
  <si>
    <t>QLD-162973</t>
  </si>
  <si>
    <t>QLD-188342</t>
  </si>
  <si>
    <t>QLD-178334</t>
  </si>
  <si>
    <t>QLD-174538</t>
  </si>
  <si>
    <t>QLD-170635</t>
  </si>
  <si>
    <t>QLD-166851</t>
  </si>
  <si>
    <t>QLD-162970</t>
  </si>
  <si>
    <t>QLD-178335</t>
  </si>
  <si>
    <t>QLD-174539</t>
  </si>
  <si>
    <t>QLD-170636</t>
  </si>
  <si>
    <t>QLD-166852</t>
  </si>
  <si>
    <t>Annual maintenance peroid.</t>
  </si>
  <si>
    <t>QLD-162971</t>
  </si>
  <si>
    <t>QLD-178336</t>
  </si>
  <si>
    <t>QLD-174540</t>
  </si>
  <si>
    <t>QLD-170639</t>
  </si>
  <si>
    <t>QLD-166853</t>
  </si>
  <si>
    <t>QLD-162972</t>
  </si>
  <si>
    <t>QLD-ET-WI-PM006-0004</t>
  </si>
  <si>
    <t>QLD-175944</t>
  </si>
  <si>
    <t>decommision</t>
  </si>
  <si>
    <t>QLD-ET-WI-PM006-0003</t>
  </si>
  <si>
    <t>QLD-166862</t>
  </si>
  <si>
    <t>Hawkins On Fire</t>
  </si>
  <si>
    <t>QLD-166863</t>
  </si>
  <si>
    <t>QLD-166864</t>
  </si>
  <si>
    <t>QLD-166865</t>
  </si>
  <si>
    <t>QLD-166866</t>
  </si>
  <si>
    <t>QLD-166867</t>
  </si>
  <si>
    <t>QLD-ET-WI-PM003-0001</t>
  </si>
  <si>
    <t>QLD-185525</t>
  </si>
  <si>
    <t>Check by SC</t>
  </si>
  <si>
    <t>QLD-171848</t>
  </si>
  <si>
    <t>tested, working sc</t>
  </si>
  <si>
    <t>QLD-160542</t>
  </si>
  <si>
    <t>QLD-185526</t>
  </si>
  <si>
    <t>QLD-171849</t>
  </si>
  <si>
    <t>QLD-160543</t>
  </si>
  <si>
    <t>QLD-ET-WI-PM001-0000</t>
  </si>
  <si>
    <t>QLD-ET-WI-PM006-0000</t>
  </si>
  <si>
    <t>QLD-ET-WI-PM012-0000</t>
  </si>
  <si>
    <t>QLD-ET-WI-PM024-0000</t>
  </si>
  <si>
    <t>QLD-183917</t>
  </si>
  <si>
    <t>QLD-178321</t>
  </si>
  <si>
    <t>Hawkins on fire October invoice 107456 payed</t>
  </si>
  <si>
    <t>QLD-174525</t>
  </si>
  <si>
    <t>Carried out by Hawkins</t>
  </si>
  <si>
    <t>QLD-170624</t>
  </si>
  <si>
    <t>Complted during annual.</t>
  </si>
  <si>
    <t>QLD-166838</t>
  </si>
  <si>
    <t>QLD-162957</t>
  </si>
  <si>
    <t>QLD-183918</t>
  </si>
  <si>
    <t>QLD-178324</t>
  </si>
  <si>
    <t>QLD-174528</t>
  </si>
  <si>
    <t>QLD-170626</t>
  </si>
  <si>
    <t>QLD-166841</t>
  </si>
  <si>
    <t>QLD-162960</t>
  </si>
  <si>
    <t>QLD-183919</t>
  </si>
  <si>
    <t>QLD-178325</t>
  </si>
  <si>
    <t>QLD-174529</t>
  </si>
  <si>
    <t>QLD-170625</t>
  </si>
  <si>
    <t>QLD-166842</t>
  </si>
  <si>
    <t>QLD-162961</t>
  </si>
  <si>
    <t>QLD-183920</t>
  </si>
  <si>
    <t>QLD-178326</t>
  </si>
  <si>
    <t>QLD-174530</t>
  </si>
  <si>
    <t>QLD-170627</t>
  </si>
  <si>
    <t>QLD-166843</t>
  </si>
  <si>
    <t>QLD-162962</t>
  </si>
  <si>
    <t>QLD-183921</t>
  </si>
  <si>
    <t>QLD-178327</t>
  </si>
  <si>
    <t>QLD-174531</t>
  </si>
  <si>
    <t>QLD-170629</t>
  </si>
  <si>
    <t>QLD-166844</t>
  </si>
  <si>
    <t>QLD-162963</t>
  </si>
  <si>
    <t>QLD-183922</t>
  </si>
  <si>
    <t>QLD-178328</t>
  </si>
  <si>
    <t>QLD-174532</t>
  </si>
  <si>
    <t>QLD-170631</t>
  </si>
  <si>
    <t>QLD-166845</t>
  </si>
  <si>
    <t>QLD-162964</t>
  </si>
  <si>
    <t>QLD-166856</t>
  </si>
  <si>
    <t>QLD-166857</t>
  </si>
  <si>
    <t>QLD-166858</t>
  </si>
  <si>
    <t>QLD-166859</t>
  </si>
  <si>
    <t>QLD-166860</t>
  </si>
  <si>
    <t>QLD-166861</t>
  </si>
  <si>
    <t>QLD-164887</t>
  </si>
  <si>
    <t>QLD-164888</t>
  </si>
  <si>
    <t>QLD-164889</t>
  </si>
  <si>
    <t>QLD-164890</t>
  </si>
  <si>
    <t>QLD-164891</t>
  </si>
  <si>
    <t>QLD-164892</t>
  </si>
  <si>
    <t>QLD-181579</t>
  </si>
  <si>
    <t>QLD-177400</t>
  </si>
  <si>
    <t>QLD-173220</t>
  </si>
  <si>
    <t>QLD-ET-WI-PMxxx-0000</t>
  </si>
  <si>
    <t>FIRE DETECTION &amp; ALARM SYSTEM</t>
  </si>
  <si>
    <t>QLD-ET-WI-PMxxx-0001</t>
  </si>
  <si>
    <t>QLD-ET-WI-PMxxx-0003</t>
  </si>
  <si>
    <t>QLD-ET-WI-PMxxx-0004</t>
  </si>
  <si>
    <t>QLD-ET-WI-PMxxx-0005</t>
  </si>
  <si>
    <t>QLD-ET-WI-PMxxx-0006</t>
  </si>
  <si>
    <t>QLD-ET-WI-PMxxx-0010</t>
  </si>
  <si>
    <t>QLD-ET-WI-PMxxx-0011</t>
  </si>
  <si>
    <t>QLD-ET-WI-PMxxx-0013</t>
  </si>
  <si>
    <t>QLD-ET-WI-PMxxx-0014</t>
  </si>
  <si>
    <t>QLD-ET-WI-PMxxx-0016</t>
  </si>
  <si>
    <t>QLD-ET-WI-PMxxx-0017</t>
  </si>
  <si>
    <t>VEGETATION MANAGEMENT</t>
  </si>
  <si>
    <t>QLD-ET-WI-PMxxx-0019</t>
  </si>
  <si>
    <t>CABLE MARKER SIGN MAINTENANCE</t>
  </si>
  <si>
    <t>QLD-ET-WI-PMxxx-0022</t>
  </si>
  <si>
    <t>OUTDOOR POST TYPE CURRENT TRANSFORMER</t>
  </si>
  <si>
    <t>QLD-ET-WI-PMxxx-0024</t>
  </si>
  <si>
    <t>QLD-ET-WI-PMxxx-0026</t>
  </si>
  <si>
    <t>CAPACITIVE VOLTAGE TRANSFORMER MAINTENANCE</t>
  </si>
  <si>
    <t>QLD-ET-WI-PMxxx-0028</t>
  </si>
  <si>
    <t>QLD-ET-WI-PMxxx-0038</t>
  </si>
  <si>
    <t>QLD-ET-WI-PMxxx-0042</t>
  </si>
  <si>
    <t>QLD-ET-WI-PMxxx-0050</t>
  </si>
  <si>
    <t>VALVE COOLING SYSTEM MAINTENANCE</t>
  </si>
  <si>
    <t>QLD-ET-WI-PMxxx-0052</t>
  </si>
  <si>
    <t>QLD-ET-WI-PMxxx-0054</t>
  </si>
  <si>
    <t>QLD-ET-WI-PMxxx-0056</t>
  </si>
  <si>
    <t>QLD-ET-WI-PMxxx-0060</t>
  </si>
  <si>
    <t>QLD-ET-WI-PMxxx-0062</t>
  </si>
  <si>
    <t>QLD-ET-WI-PMxxx-0104</t>
  </si>
  <si>
    <t>REACTOR MAINTENANCE</t>
  </si>
  <si>
    <t>QLD-ET-WI-PMxxx-0110</t>
  </si>
  <si>
    <t>QLD-ET-WI-PMxxx-0120</t>
  </si>
  <si>
    <t>DIRECT VOLTAGE DIVIDER MAINTENANCE</t>
  </si>
  <si>
    <t>QLD-ET-WI-PMxxx-0124</t>
  </si>
  <si>
    <t>NITROGEN DISCHARGE UNIT MAINTENANCE</t>
  </si>
  <si>
    <t>QLD-ET-WI-PMxxx-0126</t>
  </si>
  <si>
    <t>QLD-ET-WI-PMxxx-0128</t>
  </si>
  <si>
    <t>QLD-ET-WI-PMxxx-0140</t>
  </si>
  <si>
    <t>CIRCUIT BREAKER MAINTENANCE</t>
  </si>
  <si>
    <t>QLD-ET-WI-PMxxx-0142</t>
  </si>
  <si>
    <t>QLD-ET-WI-PMxxx-0150</t>
  </si>
  <si>
    <t>QLD-ET-WI-PMxxx-0160</t>
  </si>
  <si>
    <t>Reactor Surface Area</t>
  </si>
  <si>
    <t>U.L2</t>
  </si>
  <si>
    <t>WP1.L1, WP2.L1</t>
  </si>
  <si>
    <t>Z11.L1</t>
  </si>
  <si>
    <t>Z12.L1</t>
  </si>
  <si>
    <t>Z1.L1</t>
  </si>
  <si>
    <t>WT.L1,2,3</t>
  </si>
  <si>
    <t>kg</t>
  </si>
  <si>
    <t>Coverage</t>
  </si>
  <si>
    <t>m2/kg</t>
  </si>
  <si>
    <t xml:space="preserve">Cost </t>
  </si>
  <si>
    <t>$/tin</t>
  </si>
  <si>
    <t>Tin Size</t>
  </si>
  <si>
    <t>WT.Q1</t>
  </si>
  <si>
    <t>WT1.Q1</t>
  </si>
  <si>
    <t>WT1.Q2</t>
  </si>
  <si>
    <t>APA Staff Hours</t>
  </si>
  <si>
    <t xml:space="preserve">Scheduled Outage Required </t>
  </si>
  <si>
    <t>No</t>
  </si>
  <si>
    <t>Yes</t>
  </si>
  <si>
    <t>Work Instruction</t>
  </si>
  <si>
    <t>DL-WI-38</t>
  </si>
  <si>
    <t>DL-WI-32 (1Yr)</t>
  </si>
  <si>
    <t>DL-WI-31</t>
  </si>
  <si>
    <t>?</t>
  </si>
  <si>
    <t>Asset No</t>
  </si>
  <si>
    <t>Freq</t>
  </si>
  <si>
    <t>Quote not yet received (in email)</t>
  </si>
  <si>
    <t>Vegetation Management</t>
  </si>
  <si>
    <t>AC Reactor</t>
  </si>
  <si>
    <t>AC Capacitor</t>
  </si>
  <si>
    <t>AC Bypass breaker</t>
  </si>
  <si>
    <t>Power Transformer</t>
  </si>
  <si>
    <t>Cable End</t>
  </si>
  <si>
    <t>AC Tuning Circuit</t>
  </si>
  <si>
    <t>P1, P2, P3</t>
  </si>
  <si>
    <t>AC Resistor</t>
  </si>
  <si>
    <t>AC Disconnector</t>
  </si>
  <si>
    <t>Monthly</t>
  </si>
  <si>
    <t>DL-WI-17</t>
  </si>
  <si>
    <t>3 separate reactors for each phase (L1, L2, L3)</t>
  </si>
  <si>
    <t>DL-WI-29</t>
  </si>
  <si>
    <t>DC Capacitor</t>
  </si>
  <si>
    <t>Each is three phase</t>
  </si>
  <si>
    <t>Current Transformers (integrated)</t>
  </si>
  <si>
    <t>One on each phase</t>
  </si>
  <si>
    <t>S1, S2</t>
  </si>
  <si>
    <t>.WT</t>
  </si>
  <si>
    <t>.WT1</t>
  </si>
  <si>
    <t>.WT2</t>
  </si>
  <si>
    <t>.WA.Z1</t>
  </si>
  <si>
    <t>AC Earth Switch?</t>
  </si>
  <si>
    <t>DC Reactor</t>
  </si>
  <si>
    <t>Arrester</t>
  </si>
  <si>
    <t>M = Manual?</t>
  </si>
  <si>
    <t>Hall Effect Current Transducer</t>
  </si>
  <si>
    <t>.R1</t>
  </si>
  <si>
    <t>Connections to cable screens</t>
  </si>
  <si>
    <t>Capacitive Voltage Transformer</t>
  </si>
  <si>
    <t>U.C1</t>
  </si>
  <si>
    <t>U.C2</t>
  </si>
  <si>
    <t>.U</t>
  </si>
  <si>
    <t>.VA, .VB, .VC</t>
  </si>
  <si>
    <t>DC Zero sequence smoothing reactor</t>
  </si>
  <si>
    <t>DL-WI-46</t>
  </si>
  <si>
    <t>WP1.Q11</t>
  </si>
  <si>
    <t>WP2.Q11</t>
  </si>
  <si>
    <t>WP1.Q21</t>
  </si>
  <si>
    <t>WP2.Q21</t>
  </si>
  <si>
    <t>WP1.L1</t>
  </si>
  <si>
    <t>WP2.L1</t>
  </si>
  <si>
    <t>WT2.F1</t>
  </si>
  <si>
    <t>WT2.F2</t>
  </si>
  <si>
    <t>WP1.F1</t>
  </si>
  <si>
    <t>WP2.F1</t>
  </si>
  <si>
    <t>R1.F1</t>
  </si>
  <si>
    <t>R1.F2</t>
  </si>
  <si>
    <t>U.F11</t>
  </si>
  <si>
    <t>Reactor</t>
  </si>
  <si>
    <t>AC Filter Resistor</t>
  </si>
  <si>
    <t>3 contacts, manual operation</t>
  </si>
  <si>
    <t>3 contacts, 3 mechanisms</t>
  </si>
  <si>
    <t>3 contacts, 1 mechanism</t>
  </si>
  <si>
    <t>AC Disconnector (Bungalora Only)</t>
  </si>
  <si>
    <t>AC Circuit Breaker (Bungalora Only)</t>
  </si>
  <si>
    <t>Number</t>
  </si>
  <si>
    <t>kgs of paint</t>
  </si>
  <si>
    <t xml:space="preserve">tins of paint </t>
  </si>
  <si>
    <t>Cost of Paint</t>
  </si>
  <si>
    <t xml:space="preserve">Contractor Rate </t>
  </si>
  <si>
    <t>per hour</t>
  </si>
  <si>
    <t>Hours per reactor</t>
  </si>
  <si>
    <t>U.T1</t>
  </si>
  <si>
    <t>R1.T11</t>
  </si>
  <si>
    <t>R1.T12</t>
  </si>
  <si>
    <t>R1.T21</t>
  </si>
  <si>
    <t>R1.T22</t>
  </si>
  <si>
    <t xml:space="preserve">Mullumbimby </t>
  </si>
  <si>
    <t>AC Surge Arrestor</t>
  </si>
  <si>
    <t>Hall Effect Current Transformer</t>
  </si>
  <si>
    <t>WT.L1</t>
  </si>
  <si>
    <t>WT1.Q11</t>
  </si>
  <si>
    <t>WT1.R1</t>
  </si>
  <si>
    <t>WT2.T1</t>
  </si>
  <si>
    <t>WA.Z1.Q21</t>
  </si>
  <si>
    <t>WA.Z1.F1</t>
  </si>
  <si>
    <t>WA.Z1.T11</t>
  </si>
  <si>
    <t>WA.Z1.C1</t>
  </si>
  <si>
    <t>WA.Z1.C2</t>
  </si>
  <si>
    <t>WA.Z1.L1</t>
  </si>
  <si>
    <t>WA.Z1.T1</t>
  </si>
  <si>
    <t>WA.Z1.T2</t>
  </si>
  <si>
    <t>WA.Z1.Z11.C1</t>
  </si>
  <si>
    <t>WA.Z1.Z11.R1</t>
  </si>
  <si>
    <t>WA.Z1.Z11.L1</t>
  </si>
  <si>
    <t>WA.Z1.Z11.T1</t>
  </si>
  <si>
    <t>.WA.Z1.Z11</t>
  </si>
  <si>
    <t>.WA.Z1.Z12</t>
  </si>
  <si>
    <t>WA.Z1.Z12.C1</t>
  </si>
  <si>
    <t>WA.Z1.Z12.R1</t>
  </si>
  <si>
    <t>WA.Z1.Z12.L1</t>
  </si>
  <si>
    <t>WA.Z1.Z12.T1</t>
  </si>
  <si>
    <t>U.L1</t>
  </si>
  <si>
    <t>U.X1</t>
  </si>
  <si>
    <t>Outdoor Post Type Current Transformer</t>
  </si>
  <si>
    <t>Air Gap Surge Limiter</t>
  </si>
  <si>
    <t>U.Vx.C1</t>
  </si>
  <si>
    <t>Rogowski Current Transformer</t>
  </si>
  <si>
    <t>U.Vx.C2</t>
  </si>
  <si>
    <t>U.Vx.T1</t>
  </si>
  <si>
    <t>U.Vx.T2</t>
  </si>
  <si>
    <t>U.Vx.T3</t>
  </si>
  <si>
    <t>U.Vx.V1</t>
  </si>
  <si>
    <t>U.Vx.V2</t>
  </si>
  <si>
    <t>IGBT Stack</t>
  </si>
  <si>
    <t>.WP1 and .WP2</t>
  </si>
  <si>
    <t>DC Cable Screen Arrestor</t>
  </si>
  <si>
    <t>Cable Screen Current Transformer</t>
  </si>
  <si>
    <t>R1.L1</t>
  </si>
  <si>
    <t>WPx.U1</t>
  </si>
  <si>
    <t>DC Disconnector</t>
  </si>
  <si>
    <t>DC Earth Switch</t>
  </si>
  <si>
    <t>WPx.L1</t>
  </si>
  <si>
    <t>WPx.C1</t>
  </si>
  <si>
    <t>WPx.F1</t>
  </si>
  <si>
    <t>WPx.Q11</t>
  </si>
  <si>
    <t>WPx.Q21</t>
  </si>
  <si>
    <t>WPx.T11</t>
  </si>
  <si>
    <t>WPx.T12</t>
  </si>
  <si>
    <t>WT.L2</t>
  </si>
  <si>
    <t>WT.L3</t>
  </si>
  <si>
    <t>WT.C1</t>
  </si>
  <si>
    <t>WT.C2</t>
  </si>
  <si>
    <t>WT.Z1</t>
  </si>
  <si>
    <t>WT.Q11</t>
  </si>
  <si>
    <t>DC Voltage Divider</t>
  </si>
  <si>
    <t>Insulated Wall Bushing</t>
  </si>
  <si>
    <t>DC Surge Arrester</t>
  </si>
  <si>
    <t>Integrated Current Transformer</t>
  </si>
  <si>
    <t>Maintenance Connect Reference</t>
  </si>
  <si>
    <t>Number of Components to be serviced</t>
  </si>
  <si>
    <t xml:space="preserve">Scheduled Maintenance </t>
  </si>
  <si>
    <t>Summary</t>
  </si>
  <si>
    <t>APA Material Costs</t>
  </si>
  <si>
    <t>Hours per CT</t>
  </si>
  <si>
    <t xml:space="preserve">Hours per CT </t>
  </si>
  <si>
    <t>APA Costs</t>
  </si>
  <si>
    <t>Contractor Costs</t>
  </si>
  <si>
    <t>APA Staff Costs</t>
  </si>
  <si>
    <t>Contractor Labour</t>
  </si>
  <si>
    <t>Contractor Materials</t>
  </si>
  <si>
    <t>Contractor Hourly Rate</t>
  </si>
  <si>
    <t>DL-WI-28</t>
  </si>
  <si>
    <t>Adjustment factor Labour</t>
  </si>
  <si>
    <t>Adjustment factor materials</t>
  </si>
  <si>
    <t>Total in AER Period</t>
  </si>
  <si>
    <t>Contractor Labour (Hrs)</t>
  </si>
  <si>
    <t>DL-WI-33</t>
  </si>
  <si>
    <t>APA Maintenance Staff (Hrs)</t>
  </si>
  <si>
    <t>DL-WI-35</t>
  </si>
  <si>
    <t>Hours per VT</t>
  </si>
  <si>
    <t xml:space="preserve">Hours per VT </t>
  </si>
  <si>
    <t>Average IGBT replacement cost per stack</t>
  </si>
  <si>
    <t xml:space="preserve">Material Costs </t>
  </si>
  <si>
    <t>diameter (m)</t>
  </si>
  <si>
    <t>length (m)</t>
  </si>
  <si>
    <t>From the Material Data Sheet</t>
  </si>
  <si>
    <t>Whole Tins</t>
  </si>
  <si>
    <t>Sandpaper, cleaners, brushes, etc</t>
  </si>
  <si>
    <t>Average material cost per reactor</t>
  </si>
  <si>
    <t>DL-WI-36</t>
  </si>
  <si>
    <t>Hours per voltage divider</t>
  </si>
  <si>
    <t>OIL FILLED CAPACITOR MAINTENANCE</t>
  </si>
  <si>
    <t xml:space="preserve">Contractor Byron Bay Trees  </t>
  </si>
  <si>
    <t>Hours per capacitor</t>
  </si>
  <si>
    <t>Spill Kits</t>
  </si>
  <si>
    <t>Hours per spill kit</t>
  </si>
  <si>
    <t>Hours per site</t>
  </si>
  <si>
    <t>Sites</t>
  </si>
  <si>
    <t>Cable Route</t>
  </si>
  <si>
    <t>Hours per month</t>
  </si>
  <si>
    <t>Hours per yard per month</t>
  </si>
  <si>
    <t>Fire Detection and Alarm System</t>
  </si>
  <si>
    <t>0010 (1)</t>
  </si>
  <si>
    <t>0010 (2)</t>
  </si>
  <si>
    <t>Sheet Name</t>
  </si>
  <si>
    <t>Link</t>
  </si>
  <si>
    <t>Eye Stations</t>
  </si>
  <si>
    <t>Cost Per Contact</t>
  </si>
  <si>
    <t>Cost Per Mechanism</t>
  </si>
  <si>
    <t>Estimates based on Quote from ABB for a pole replacement in 2012</t>
  </si>
  <si>
    <t xml:space="preserve">Costs </t>
  </si>
  <si>
    <t>Number of Components</t>
  </si>
  <si>
    <t>Number of Contacts</t>
  </si>
  <si>
    <t>Number of Breaker Mechanisms</t>
  </si>
  <si>
    <t>Average price per Circuit Breaker</t>
  </si>
  <si>
    <t>Contractor Labour Cost</t>
  </si>
  <si>
    <t>APA Labour Costs</t>
  </si>
  <si>
    <t>Time per mechanism</t>
  </si>
  <si>
    <t>Estimated at 8 hours per mechanism</t>
  </si>
  <si>
    <t xml:space="preserve">APA Staff </t>
  </si>
  <si>
    <t>APA staff hours / mechanism</t>
  </si>
  <si>
    <t xml:space="preserve">Total APA staff hours </t>
  </si>
  <si>
    <t xml:space="preserve">2 APA staff </t>
  </si>
  <si>
    <t>Hours per circuit breaker</t>
  </si>
  <si>
    <t>Average equipment hire cost per circuit breaker</t>
  </si>
  <si>
    <t>Contractor requires hire of cherry pickers and cranes to be organised by APA</t>
  </si>
  <si>
    <t>Total Maintenance Cost (2014)</t>
  </si>
  <si>
    <t>Hours per wall bushing</t>
  </si>
  <si>
    <t>Phone and data connection costs</t>
  </si>
  <si>
    <t>stokers siding, sihn repair/replacement</t>
  </si>
  <si>
    <t>Stokers siding</t>
  </si>
  <si>
    <t>replced signs along rail track going into Muwulmbar</t>
  </si>
  <si>
    <t>Cable Easement</t>
  </si>
  <si>
    <t>Portable Fire Extinguishers</t>
  </si>
  <si>
    <t>Emergency Lighting</t>
  </si>
  <si>
    <t>Uninterruptible Power Supplies</t>
  </si>
  <si>
    <t>Energised Maintenance</t>
  </si>
  <si>
    <t>QLD-ET-WI-PM006-0005</t>
  </si>
  <si>
    <t>IGBT Valves</t>
  </si>
  <si>
    <t>Calibration of Equipment</t>
  </si>
  <si>
    <t>Thearle/SAE</t>
  </si>
  <si>
    <t>Hours per transformer</t>
  </si>
  <si>
    <t>Oil sample checking now included in the Wilson contract was $1,000 p.a.</t>
  </si>
  <si>
    <t>Hours per reactor since the WI requires them to be cleaned</t>
  </si>
  <si>
    <t>Visual Inspection of each of the IGBT Stacks</t>
  </si>
  <si>
    <t xml:space="preserve">Reduced Light Test for all IGBT's </t>
  </si>
  <si>
    <t>Hours per IGBT valve (wheel test equipment up to each IGBT stack and test each IGBT individually)</t>
  </si>
  <si>
    <t>DL-WI-26</t>
  </si>
  <si>
    <t>Defines all the required steps</t>
  </si>
  <si>
    <t>PLC FILTER TUNING UNIT MAINTENANCE </t>
  </si>
  <si>
    <t>Hours per tuning cct</t>
  </si>
  <si>
    <t>???</t>
  </si>
  <si>
    <t>DL-WI-45</t>
  </si>
  <si>
    <t>Included above</t>
  </si>
  <si>
    <t>Round trip from one site to other</t>
  </si>
  <si>
    <t>hours</t>
  </si>
  <si>
    <t>When there is a cable fault one of the technicians is assigned full time to the repair. Assuming 12 cable faults per year and 1 week for each fault = 12 x 1 / 52 x 50% (because might be at other site)</t>
  </si>
  <si>
    <t>Note this has only claimed the travel time - it is assumed that while the technician is at the other site they perform maintenance tasks</t>
  </si>
  <si>
    <t>Additional Hours (p.a.)</t>
  </si>
  <si>
    <t>Hours per site per visit</t>
  </si>
  <si>
    <t>Zinc Oxide Surge Arrestors</t>
  </si>
  <si>
    <t>Hours per filter resistor</t>
  </si>
  <si>
    <t>Valve Cooling System Maintenance</t>
  </si>
  <si>
    <t>Valve Cooling Pump Maintenance</t>
  </si>
  <si>
    <t>Valve Cooling MCC Thermographic Imaging</t>
  </si>
  <si>
    <t>Fans</t>
  </si>
  <si>
    <t>Air Blast Cooler (Fan) Maintenance</t>
  </si>
  <si>
    <t>Valve Dehumidifier Maintenance</t>
  </si>
  <si>
    <t>Valve Humidifier Control System</t>
  </si>
  <si>
    <t>Nitrogen Discharge Unit</t>
  </si>
  <si>
    <t>Hours per switch</t>
  </si>
  <si>
    <t>DISCONNECTOR &amp; EARTH SWITCH MAINTENANCE</t>
  </si>
  <si>
    <t>MOTORISED OPERATING MECHANISM MAINTENANCE</t>
  </si>
  <si>
    <t>MANUAL OPERATING MECHANISM MAINTENANCE</t>
  </si>
  <si>
    <t>Cost of the specialist training courses for contractors</t>
  </si>
  <si>
    <t>Other Items</t>
  </si>
  <si>
    <t>p.a.</t>
  </si>
  <si>
    <t>APA Staff Member on call including remote logon to verify</t>
  </si>
  <si>
    <t>Notify management that there is an issue</t>
  </si>
  <si>
    <t>Notify authorities that capability is reduced (1 system out)</t>
  </si>
  <si>
    <t>Notification</t>
  </si>
  <si>
    <t>Notify APA staff and maintenance contractors</t>
  </si>
  <si>
    <t>Isolation</t>
  </si>
  <si>
    <t>Switch out the system with the cable fault</t>
  </si>
  <si>
    <t>Locate the fault</t>
  </si>
  <si>
    <t>Connect Thumper and create "hole"</t>
  </si>
  <si>
    <t>The thumper deliberately enlarges the original fault to make it easier to find</t>
  </si>
  <si>
    <t>Average time, since could be located in remote parts of the cable route</t>
  </si>
  <si>
    <t>APA personnel sent to approximate fault location (2 staff)</t>
  </si>
  <si>
    <t>Locate the actual fault location (2 staff)</t>
  </si>
  <si>
    <t>Average time. If takes more than 4 hours then more staff are called into the search</t>
  </si>
  <si>
    <t>Validate the fault location</t>
  </si>
  <si>
    <t xml:space="preserve">Disconnect thumper from cable </t>
  </si>
  <si>
    <t xml:space="preserve">APA staff member assigned fulltime to manage the repair </t>
  </si>
  <si>
    <t>QLD-ET-WI-PM120-0180</t>
  </si>
  <si>
    <t xml:space="preserve">Next Due: </t>
  </si>
  <si>
    <t>QLD-ET-WI-PMxxx-0180</t>
  </si>
  <si>
    <t>Standard Time</t>
  </si>
  <si>
    <t xml:space="preserve">hours to undertake onsite briefing </t>
  </si>
  <si>
    <t>Additional time required when onsite technician must travel to the opposite site</t>
  </si>
  <si>
    <t>APA Hours</t>
  </si>
  <si>
    <t>Total APA hours</t>
  </si>
  <si>
    <t>Trips per year (due to annual leave)</t>
  </si>
  <si>
    <t>Trips per year (due to Cable Faults)</t>
  </si>
  <si>
    <t>QLD-ET-WI-PM012-0010</t>
  </si>
  <si>
    <t>0160 (1)</t>
  </si>
  <si>
    <t>0160 (2)</t>
  </si>
  <si>
    <t>Hours per building</t>
  </si>
  <si>
    <t>DC disconnectors</t>
  </si>
  <si>
    <t>Control System</t>
  </si>
  <si>
    <t xml:space="preserve">Comms </t>
  </si>
  <si>
    <t xml:space="preserve">OWS Computers </t>
  </si>
  <si>
    <t>Hours per UPS</t>
  </si>
  <si>
    <t>MUST have air-conditioners to keep this working</t>
  </si>
  <si>
    <t xml:space="preserve">Pump and motor alignment </t>
  </si>
  <si>
    <t>Photographic evidence</t>
  </si>
  <si>
    <t>Fan Motor replacement</t>
  </si>
  <si>
    <t>Time to replace Fan Blade</t>
  </si>
  <si>
    <t>Fan Motor Lifetime</t>
  </si>
  <si>
    <t>years</t>
  </si>
  <si>
    <t>Fan Blade Lifetime</t>
  </si>
  <si>
    <t>Annual material cost (Fan Blades)</t>
  </si>
  <si>
    <t>Annual material cost (Fan Motors)</t>
  </si>
  <si>
    <t>Time to replace (Fan Motors)</t>
  </si>
  <si>
    <t>Fan Blade replacement</t>
  </si>
  <si>
    <t>Annual maintenance hours (Fan Blades)</t>
  </si>
  <si>
    <t>Annual maintenance hours (Fan Motors)</t>
  </si>
  <si>
    <t>per fan</t>
  </si>
  <si>
    <t>hours / fan</t>
  </si>
  <si>
    <t>4 weeks annual leave means on average each local technician will be on leave for 1 of the monthly visits. The technician at the other site is then required to travel to give Hawkins access. Two technicians hence 12 x 2 x 4 / 52 trips</t>
  </si>
  <si>
    <t>Internally lights required at 5 doors</t>
  </si>
  <si>
    <t>Externally lights required around perimeter</t>
  </si>
  <si>
    <t>Lifetime of each battery</t>
  </si>
  <si>
    <t>Cost of each battery</t>
  </si>
  <si>
    <t>Annual cost of batteries</t>
  </si>
  <si>
    <t>years (2-3 years is reasonable given the harsh conditions)</t>
  </si>
  <si>
    <t>Testing</t>
  </si>
  <si>
    <t>Replacement</t>
  </si>
  <si>
    <t>minutes</t>
  </si>
  <si>
    <t>Battery replacements per year</t>
  </si>
  <si>
    <t>minutes / light</t>
  </si>
  <si>
    <t>Total Time</t>
  </si>
  <si>
    <t>hours (annual battery replacements / 2 since done every 6 months)</t>
  </si>
  <si>
    <t xml:space="preserve">per UPS </t>
  </si>
  <si>
    <t>minutes / UPS</t>
  </si>
  <si>
    <t>hours (annual battery test and replacement)</t>
  </si>
  <si>
    <t>N/A</t>
  </si>
  <si>
    <t>DIAL BEFORE YOU DIG</t>
  </si>
  <si>
    <t>APA staff will attend the site with the person making the call to ensure they do not hit the HVDC cable</t>
  </si>
  <si>
    <t xml:space="preserve">Cards </t>
  </si>
  <si>
    <t>Typically three days but can be longer</t>
  </si>
  <si>
    <t>Test the repair</t>
  </si>
  <si>
    <t>Use HI-POT to test the cable after the repair</t>
  </si>
  <si>
    <t xml:space="preserve">Additional APA staff required during the repair </t>
  </si>
  <si>
    <t>Erect tent over the two joints (and removal)</t>
  </si>
  <si>
    <t>Inspect the reactors to ensure dry before reenergisation</t>
  </si>
  <si>
    <t>Reenergisation</t>
  </si>
  <si>
    <t>Coordinate Repairs</t>
  </si>
  <si>
    <t>Locate suitable length of cable</t>
  </si>
  <si>
    <t>Repair</t>
  </si>
  <si>
    <t>Estimate length of cable to be replaced</t>
  </si>
  <si>
    <t>Based on history of repairs in that area (more replaced if other joints are nearby)</t>
  </si>
  <si>
    <t>Several drums of different lengths so will pick most appropriate to cut required length off</t>
  </si>
  <si>
    <t>Post Repair</t>
  </si>
  <si>
    <t>Update the cable history to show latest repair</t>
  </si>
  <si>
    <t>Cable Joint</t>
  </si>
  <si>
    <t>Two required for each repair</t>
  </si>
  <si>
    <t>HVDC Cable</t>
  </si>
  <si>
    <t>Typical length of repair</t>
  </si>
  <si>
    <t xml:space="preserve">Total material cost per repair </t>
  </si>
  <si>
    <t>Only  required for underground faults</t>
  </si>
  <si>
    <t>Percentage of faults which are underground to in GST</t>
  </si>
  <si>
    <t>APA material costs</t>
  </si>
  <si>
    <t xml:space="preserve">Find the fault in the cable </t>
  </si>
  <si>
    <t>Even after thumping only a small hole less than 10mm in diameter</t>
  </si>
  <si>
    <t>APA Staff Time</t>
  </si>
  <si>
    <t>Expose the Cable</t>
  </si>
  <si>
    <t>Remove the cover (only if in GST)</t>
  </si>
  <si>
    <t>Qualified supervisor of the excavator (only underground)</t>
  </si>
  <si>
    <t>Switch system back on (including notifying AEMO etc)</t>
  </si>
  <si>
    <t>Pre-inspection of the three reactors before energisation (at both ends of the link)</t>
  </si>
  <si>
    <t>CABLE REPAIRS</t>
  </si>
  <si>
    <t>CONTROL SYSTEM REPAIRS</t>
  </si>
  <si>
    <t xml:space="preserve">Number of repairs </t>
  </si>
  <si>
    <t>Repairs Per Year</t>
  </si>
  <si>
    <t>Number of requests (pa)</t>
  </si>
  <si>
    <t>Computer combines all the readings from the various Current Transformers and Voltage Transformers throughout each system</t>
  </si>
  <si>
    <t>The computer is running a version of Microsoft Windows which is no longer supported (An embedded version of NT4)</t>
  </si>
  <si>
    <t xml:space="preserve">These cards generate a large amount of heat </t>
  </si>
  <si>
    <t>APA have located a number of spares from second hand shops which are then used as replacements</t>
  </si>
  <si>
    <t>The control system comprises three main parts</t>
  </si>
  <si>
    <t>Personal computer running the operating system and all the interface cards</t>
  </si>
  <si>
    <t>The PC is not an industrial design (it is standard commercial grade)</t>
  </si>
  <si>
    <t>It is not possible to replace one of the components without an upgrade to the whole system</t>
  </si>
  <si>
    <t>The PCI interface cards each contain a number of processors</t>
  </si>
  <si>
    <t>The PCI cards are plugged into the PC motherboard so the heat generated by the cards can not be isolated from the PC</t>
  </si>
  <si>
    <t>MUST have UPS to ensure stable power supply</t>
  </si>
  <si>
    <t xml:space="preserve">Number of Control Systems </t>
  </si>
  <si>
    <t>Even with these precautions there are a considerable number of repairs</t>
  </si>
  <si>
    <t>Additional control measure is to coat the fibre glassing in an insulating grease</t>
  </si>
  <si>
    <t xml:space="preserve">Bugs get caught in this grease </t>
  </si>
  <si>
    <t>Bugs per sq cm was 3 - 4 after only 4 months</t>
  </si>
  <si>
    <t>Starts per year</t>
  </si>
  <si>
    <t>Prestart inspection of each phase reactor</t>
  </si>
  <si>
    <t xml:space="preserve">minutes </t>
  </si>
  <si>
    <t>Switching another 30 minutes per site</t>
  </si>
  <si>
    <t xml:space="preserve">Total Time </t>
  </si>
  <si>
    <t>hours/prestart inspection</t>
  </si>
  <si>
    <t>The original cost of applying the dry ice treatment was $25k per building. Annual cleaning will reduce the time (and cost)</t>
  </si>
  <si>
    <t>Price per building</t>
  </si>
  <si>
    <t>Price per reactor</t>
  </si>
  <si>
    <t>Hours per reactor (two people for a full 8 hour day - requires attention to detail)</t>
  </si>
  <si>
    <t>PHASE REACTOR MAINTENANCE</t>
  </si>
  <si>
    <t>AC Reactor (Phase Reactor)</t>
  </si>
  <si>
    <t>Average hours per repair (to identify the faulty card, rectify and test) - many faster, but some are MUCH longer…</t>
  </si>
  <si>
    <t>Incidents (alarms on the Alarm Screen)</t>
  </si>
  <si>
    <t xml:space="preserve">Power supply </t>
  </si>
  <si>
    <t>CPU cards</t>
  </si>
  <si>
    <t>PCI Cards</t>
  </si>
  <si>
    <t>Cost of the replacement cards</t>
  </si>
  <si>
    <t>Sometimes a card reset will fix the problem</t>
  </si>
  <si>
    <t>Air Conditioner Maintenance</t>
  </si>
  <si>
    <t>Contracted Rate</t>
  </si>
  <si>
    <t xml:space="preserve">Number of Air-conditioners </t>
  </si>
  <si>
    <t>per building</t>
  </si>
  <si>
    <t xml:space="preserve">Buildings </t>
  </si>
  <si>
    <t xml:space="preserve">Total number of air-conditioners </t>
  </si>
  <si>
    <t>per month</t>
  </si>
  <si>
    <t>Lifetime of air-conditioners</t>
  </si>
  <si>
    <t>Cost of air-conditioners</t>
  </si>
  <si>
    <t xml:space="preserve">Annual Cost to replace </t>
  </si>
  <si>
    <t xml:space="preserve">HI-POT, Thumper, 4 x Multi-meter, Low Resistance (micro-ohm meter for IGBT testing), </t>
  </si>
  <si>
    <t xml:space="preserve">Safety equipment </t>
  </si>
  <si>
    <t xml:space="preserve">Labour 4 hours each quarter to bring contractors onsite </t>
  </si>
  <si>
    <t>Test done every 6 months - TEX On SITE does this (look for invoices)</t>
  </si>
  <si>
    <t>Per annum</t>
  </si>
  <si>
    <t>Personnel taking the photographs need to allocate time to take and UPLOAD</t>
  </si>
  <si>
    <t>Log book</t>
  </si>
  <si>
    <t xml:space="preserve">Photographic + Direct Entry </t>
  </si>
  <si>
    <t>Photographic</t>
  </si>
  <si>
    <t>Photographic + Log book</t>
  </si>
  <si>
    <t>0104 (2)</t>
  </si>
  <si>
    <t>Buildings</t>
  </si>
  <si>
    <t>DL-WI-25</t>
  </si>
  <si>
    <t>Dry Ice blasting of the phase reactor coil</t>
  </si>
  <si>
    <t xml:space="preserve">Per set of test equipment </t>
  </si>
  <si>
    <t>only one set</t>
  </si>
  <si>
    <t>Modelling</t>
  </si>
  <si>
    <t xml:space="preserve">Not Affected </t>
  </si>
  <si>
    <t xml:space="preserve">Affected </t>
  </si>
  <si>
    <t>Times</t>
  </si>
  <si>
    <t>minutes to check location on map and confirm OK</t>
  </si>
  <si>
    <t>Affected - Phone Call to discuss details</t>
  </si>
  <si>
    <t xml:space="preserve">Affected - Phone call and site visit required </t>
  </si>
  <si>
    <t>minutes to check on map and call to discuss details</t>
  </si>
  <si>
    <t>Hours per year</t>
  </si>
  <si>
    <t>0104 (1)</t>
  </si>
  <si>
    <t>Building ac</t>
  </si>
  <si>
    <t>Prestart Inspection</t>
  </si>
  <si>
    <t>Cable Repairs</t>
  </si>
  <si>
    <t>Control System Repairs</t>
  </si>
  <si>
    <t>DBYD</t>
  </si>
  <si>
    <t>9th harmonic reactor added during plant commissioning</t>
  </si>
  <si>
    <t>BUILDING AIR-CONDITIONERS</t>
  </si>
  <si>
    <t xml:space="preserve">Percentage of Affected requiring a site visit </t>
  </si>
  <si>
    <t>Now requires APA to issue a permit and supervision of the actual digging</t>
  </si>
  <si>
    <t>minutes including site visit, travel times, issue permit and supervise the dig</t>
  </si>
  <si>
    <t>Hours per IGBT valve (each valve contains 148 IGBTs)</t>
  </si>
  <si>
    <t>IGBT VALVE REPAIRS</t>
  </si>
  <si>
    <t>Each "Valve" consists of 8 stacks of individual IGBTs</t>
  </si>
  <si>
    <t>7 stacks of 20 IGBTs</t>
  </si>
  <si>
    <t>1 stack of 8 IGBTs</t>
  </si>
  <si>
    <t xml:space="preserve">Total IGBTs </t>
  </si>
  <si>
    <t>including Spare</t>
  </si>
  <si>
    <t>IGBT Repairs</t>
  </si>
  <si>
    <t>0104 (3)</t>
  </si>
  <si>
    <t>Hours per arrestor</t>
  </si>
  <si>
    <t>0038 (1)</t>
  </si>
  <si>
    <t>0038 (2)</t>
  </si>
  <si>
    <t>AIR GAP SURGE LIMITER MAINTENANCE </t>
  </si>
  <si>
    <t>0001</t>
  </si>
  <si>
    <t>0003</t>
  </si>
  <si>
    <t>0004</t>
  </si>
  <si>
    <t>0005</t>
  </si>
  <si>
    <t>0006</t>
  </si>
  <si>
    <t>0011</t>
  </si>
  <si>
    <t>0013</t>
  </si>
  <si>
    <t>0014</t>
  </si>
  <si>
    <t>0016</t>
  </si>
  <si>
    <t>0017</t>
  </si>
  <si>
    <t>0019</t>
  </si>
  <si>
    <t>0022</t>
  </si>
  <si>
    <t>0024</t>
  </si>
  <si>
    <t>0026</t>
  </si>
  <si>
    <t>0028</t>
  </si>
  <si>
    <t>0042</t>
  </si>
  <si>
    <t>0054</t>
  </si>
  <si>
    <t>0056</t>
  </si>
  <si>
    <t>0060</t>
  </si>
  <si>
    <t>0062</t>
  </si>
  <si>
    <t>0110</t>
  </si>
  <si>
    <t>0120</t>
  </si>
  <si>
    <t>0124</t>
  </si>
  <si>
    <t>0126</t>
  </si>
  <si>
    <t>0128</t>
  </si>
  <si>
    <t>0140</t>
  </si>
  <si>
    <t>0142</t>
  </si>
  <si>
    <t>0150</t>
  </si>
  <si>
    <t>0052</t>
  </si>
  <si>
    <t>0180</t>
  </si>
  <si>
    <t>Converter Station Thermographic Inspection</t>
  </si>
  <si>
    <t>Discussion</t>
  </si>
  <si>
    <t>These windows will allow the scheduled maintenance to be undertaken</t>
  </si>
  <si>
    <t>It is assumed that the windows will be installed before the annual inspection in 2015</t>
  </si>
  <si>
    <t xml:space="preserve">Thermographic inspection of the Converter barn is not  possible due to the installation of solid walls (and noise barriers) </t>
  </si>
  <si>
    <t xml:space="preserve">A capital works program is being considered which will add windows to the converter barns </t>
  </si>
  <si>
    <t>APA Supervision (Hrs)</t>
  </si>
  <si>
    <t>Log book + Photographs</t>
  </si>
  <si>
    <t>The tag on each extinguisher indicates when it requires maintenance</t>
  </si>
  <si>
    <t>Hours per site (ensuring invoices correctly entered on system and log completed)</t>
  </si>
  <si>
    <t>Hours per site (check log completed)</t>
  </si>
  <si>
    <t>Hours per site (access)</t>
  </si>
  <si>
    <t>Hours per site (including the check and updating Log book)</t>
  </si>
  <si>
    <t>It will be upgraded in the near future</t>
  </si>
  <si>
    <t>Assumption: Each light has its own battery (likely to avoid cable runs)</t>
  </si>
  <si>
    <t>Currently there is limited emergency lighting installed at the two sites</t>
  </si>
  <si>
    <t>Hours per site (8 hours for the inspection and 2 hours for log book update + upload of photographs)</t>
  </si>
  <si>
    <t>Each UPS contains a battery</t>
  </si>
  <si>
    <t>Average cost of batteries</t>
  </si>
  <si>
    <t>Per UPS per year</t>
  </si>
  <si>
    <t>Hours per yard per month (ensuring invoices correctly entered on system and log completed)</t>
  </si>
  <si>
    <t>Yards</t>
  </si>
  <si>
    <t>Hours per capacitor (site access for contractor)</t>
  </si>
  <si>
    <t>Hours per capacitor (engaging contractor, scheduling contractor, ensuring invoices correctly entered on system and log completed)</t>
  </si>
  <si>
    <t>Hours per capacitor (no additional time for APA staff)</t>
  </si>
  <si>
    <t>This time includes</t>
  </si>
  <si>
    <t>Close the Purchase Order and enter Invoice details into the systems</t>
  </si>
  <si>
    <t>There is a requirement to undertake an onsite safety briefing whenever contractors are given access to the site</t>
  </si>
  <si>
    <t>Hours per yard per month (some supervision required)</t>
  </si>
  <si>
    <t>Contractor</t>
  </si>
  <si>
    <t>Thumper</t>
  </si>
  <si>
    <t>Used to locate faults in the cable (after a cable fault)</t>
  </si>
  <si>
    <t>Hi-Pot</t>
  </si>
  <si>
    <t>Used to test the cable after a cable repair</t>
  </si>
  <si>
    <t>Get the thumper and hi-pot test equipment out of storage and test they are working</t>
  </si>
  <si>
    <t>Hours per month (Technicians meet with contractor regularly to explain what is needed)</t>
  </si>
  <si>
    <t>Byron Bay Trees</t>
  </si>
  <si>
    <t>comments</t>
  </si>
  <si>
    <t>Invoice shows incorrect rate for 4 man crew</t>
  </si>
  <si>
    <t>Bungalora station</t>
  </si>
  <si>
    <t>Bungalora Station "No photos since Luke onsite"</t>
  </si>
  <si>
    <t>Bungalora Station</t>
  </si>
  <si>
    <t>cost (including GST)</t>
  </si>
  <si>
    <t>Excluding Chipper $343.2</t>
  </si>
  <si>
    <t>Bungalora and Mullumbimby stations (excluding chipper hire)</t>
  </si>
  <si>
    <t>Adjusting for 4 hours which was not charged</t>
  </si>
  <si>
    <t>Excluding GST</t>
  </si>
  <si>
    <t>Byron Bay Trees 2013</t>
  </si>
  <si>
    <t>12 months</t>
  </si>
  <si>
    <t>Clearing for line fault</t>
  </si>
  <si>
    <t>Extra clearing due to line fault</t>
  </si>
  <si>
    <t>Includes clearing for a fault</t>
  </si>
  <si>
    <t>Including GST</t>
  </si>
  <si>
    <t>Byron Bay Trees Aug 2011 - July 2012</t>
  </si>
  <si>
    <t>Contractors</t>
  </si>
  <si>
    <t>Hourly rate for APA technicians</t>
  </si>
  <si>
    <t>Percentage of vegetation management in Yard</t>
  </si>
  <si>
    <t>Component Costs</t>
  </si>
  <si>
    <t>per metre</t>
  </si>
  <si>
    <t>Dig bore hole (adjusted for % underground)</t>
  </si>
  <si>
    <t>(adjusted for % underground)</t>
  </si>
  <si>
    <t>Modelling Assumption</t>
  </si>
  <si>
    <t>Hours per capacitor (requires measurements to be made)</t>
  </si>
  <si>
    <t>Directlink Site Electricity Review: Mullumbimby</t>
  </si>
  <si>
    <t>(Amounts are Ex GST)</t>
  </si>
  <si>
    <t>Supplier</t>
  </si>
  <si>
    <t>Period</t>
  </si>
  <si>
    <t>kWh</t>
  </si>
  <si>
    <t>Amount</t>
  </si>
  <si>
    <t>Country Energy</t>
  </si>
  <si>
    <t>ERM Power Retail</t>
  </si>
  <si>
    <t>Origin</t>
  </si>
  <si>
    <t>Directlink Site Electricity Review: Bungalora</t>
  </si>
  <si>
    <t>This is a very simple test - During the scheduled maintenance shut down, instead of using the control system to complete the shut down the emergency button is pressed</t>
  </si>
  <si>
    <t xml:space="preserve">Discussion </t>
  </si>
  <si>
    <t>This maintenance is not scheduled during this AER period</t>
  </si>
  <si>
    <t>It is included to avoid confusion with Work Instruction 45 which lists this maintenance</t>
  </si>
  <si>
    <t xml:space="preserve">In 2008 the annual cost was </t>
  </si>
  <si>
    <t>in 2008 (agreement shown below)</t>
  </si>
  <si>
    <t>ELECTRICITY COSTS</t>
  </si>
  <si>
    <t>Electricity Costs</t>
  </si>
  <si>
    <t>PRESTART INSPECTIONS</t>
  </si>
  <si>
    <t>Average rate for the two APA technicians</t>
  </si>
  <si>
    <t>Capitalise</t>
  </si>
  <si>
    <t>TRUE or FALSE</t>
  </si>
  <si>
    <t>This value comes from the Modelling Assumption worksheet</t>
  </si>
  <si>
    <t>Hours per month (two technicians and updating vegetation contractor on areas requiring work)</t>
  </si>
  <si>
    <t xml:space="preserve">APA try to walk the full 56km of the cable route once a year </t>
  </si>
  <si>
    <t>Due to the difficult and isolated terrain both technicians are required</t>
  </si>
  <si>
    <t>Valve operation, replacing deionising resin, removing and inspecting strainers, testing safety valves, transducer checks</t>
  </si>
  <si>
    <t>Hours per reactor (due to the extent of the 15 yr maintenance have allowed extra time)</t>
  </si>
  <si>
    <t>Air circulating through the ducting and reactor results in dust build up</t>
  </si>
  <si>
    <t>Fibre glass ducting is showing signs of cracking so are applying grease to the surface each year (must first remove the old grease)</t>
  </si>
  <si>
    <t>To clean the reactors a special machine grinds dry ice (CO2) and immediately uses it as the abrasive for blasting between the reactor coils (which also accumulate dust)</t>
  </si>
  <si>
    <t>Need to clean off grease before the new coat is reapplied</t>
  </si>
  <si>
    <t>Coating the fibre glass in an insulating grease</t>
  </si>
  <si>
    <t xml:space="preserve">This is just the annual testing of the IGBT Values </t>
  </si>
  <si>
    <t>The specialist test equipment must be set up and packed away after the testing</t>
  </si>
  <si>
    <t>Hours per IGBT valve (extra time allowed due to the number of failures and need to order replacements)</t>
  </si>
  <si>
    <t>Hours per building (discounted due to simple nature of the test)</t>
  </si>
  <si>
    <t>Hours per circuit breaker (increased due to the size of this job)</t>
  </si>
  <si>
    <t>Hours per circuit breaker (Contractor has specified that 2 APA staff must be available during the maintenance)</t>
  </si>
  <si>
    <t>AC Earth Switch</t>
  </si>
  <si>
    <t>Number of maintenance contracts</t>
  </si>
  <si>
    <t>Typically 2 to 3 years (domestic units not suited to running 24 x 7)</t>
  </si>
  <si>
    <t>System A and System B for each of the 6 buildings</t>
  </si>
  <si>
    <t>Assumptions</t>
  </si>
  <si>
    <t xml:space="preserve">The railway line was closed in 2003 and Directlink is finding each year they need to do more vegetation management </t>
  </si>
  <si>
    <t>The following analysis attempts to estimate what is required</t>
  </si>
  <si>
    <t>APA have purchased a Failure Reporting, Analysis, and Corrective Action System (FRACAS)</t>
  </si>
  <si>
    <t xml:space="preserve">The FRACAS system provides basic analysis tools </t>
  </si>
  <si>
    <t>APA are working to determine the data that needs to be captured and usefully analysed</t>
  </si>
  <si>
    <t>Appropriate data will then need to be entered into the system</t>
  </si>
  <si>
    <t>Once the data is entered the basic analysis tools can be used</t>
  </si>
  <si>
    <t>The aim is to improve the efficiency of the maintenance</t>
  </si>
  <si>
    <t>There is heuristic evidence that the number of cable faults was increasing</t>
  </si>
  <si>
    <t>The maintenance strategy (for cable repairs) was changed to replace larger sections of cable in areas with previous problems</t>
  </si>
  <si>
    <t>Heuristically the changed strategy has stabilised the number of cable faults</t>
  </si>
  <si>
    <t>If the data was available for analysis using FRACAS this result could be statistically verified</t>
  </si>
  <si>
    <t>Examples</t>
  </si>
  <si>
    <t>Cable Faults</t>
  </si>
  <si>
    <t>IGBT Failures</t>
  </si>
  <si>
    <t>There is heuristic evidence that cable faults are causing IGBT failures</t>
  </si>
  <si>
    <t>Determine data that should be captured in FRACAS</t>
  </si>
  <si>
    <t>Enter data</t>
  </si>
  <si>
    <t>Perform analysis to determine if entered data is sufficient</t>
  </si>
  <si>
    <t>Design templates and reports</t>
  </si>
  <si>
    <t>There is an initial set up phase for FRACAS</t>
  </si>
  <si>
    <t>Ongoing use of the FRACAS system</t>
  </si>
  <si>
    <t>Capturing required data</t>
  </si>
  <si>
    <t xml:space="preserve">Regular analysis of data </t>
  </si>
  <si>
    <t>Propose modifications to maintenance strategy</t>
  </si>
  <si>
    <t xml:space="preserve">Implement modified maintenance strategy </t>
  </si>
  <si>
    <t>Test if the modified maintenance strategy is working</t>
  </si>
  <si>
    <t>Hours</t>
  </si>
  <si>
    <t>Modelling APA Staff Costs</t>
  </si>
  <si>
    <t>Material Costs</t>
  </si>
  <si>
    <t xml:space="preserve">Assumptions </t>
  </si>
  <si>
    <t>During the initial design phase additional support will have to be obtained from the FRACAS system developer</t>
  </si>
  <si>
    <t>Yearly ongoing maintenance of the package</t>
  </si>
  <si>
    <t>Order new cards and provide assistance during tricky diagnostics</t>
  </si>
  <si>
    <t>Hours per fan</t>
  </si>
  <si>
    <t>3 monthly check fans for imbalance</t>
  </si>
  <si>
    <t>Annual check of motor current and current imbalance</t>
  </si>
  <si>
    <t>Cleanliness - listening 1 minute per fan</t>
  </si>
  <si>
    <t>10 minutes per motor</t>
  </si>
  <si>
    <t>This percentage appears under Yard Maintenance the remainder in Vegetation Management (of the Cable Route)</t>
  </si>
  <si>
    <t>Mullumbimby is due to be fully operational in August 2015</t>
  </si>
  <si>
    <t>Mullumbimby reduction due to loss of 1 converter</t>
  </si>
  <si>
    <t>Reasoning</t>
  </si>
  <si>
    <t>Cost of the insulating grease</t>
  </si>
  <si>
    <t>Price per tub</t>
  </si>
  <si>
    <t>Average cost per reactor</t>
  </si>
  <si>
    <t>Cost per reactor</t>
  </si>
  <si>
    <t>Cost of initial dry ice cleaning</t>
  </si>
  <si>
    <t>Reduced time if cleaned annually</t>
  </si>
  <si>
    <t>QLD-ET-WI-PM003-0056</t>
  </si>
  <si>
    <t>Every 3 months(s) </t>
  </si>
  <si>
    <t>Check for imbalance</t>
  </si>
  <si>
    <t>QLD-ET-WI-PM012-0056</t>
  </si>
  <si>
    <t>Check for current imbalance in the fan motors</t>
  </si>
  <si>
    <t>Hours per fan (1 minute per fan motor)</t>
  </si>
  <si>
    <t>Hours per fan (10 minutes per fan motor)</t>
  </si>
  <si>
    <t>Undertake Cleaning</t>
  </si>
  <si>
    <t>Reliability Engineer</t>
  </si>
  <si>
    <t>The operator notes that the Control system is not in the correct state</t>
  </si>
  <si>
    <t>Identify the fault card</t>
  </si>
  <si>
    <t>Card Replacements are more complex</t>
  </si>
  <si>
    <t>When replacing a card the correct software must be loaded and specific programming information identifying the location of the card</t>
  </si>
  <si>
    <t>Relay Cards</t>
  </si>
  <si>
    <t>It is estimated that just reprogramming a card take around 2 hours</t>
  </si>
  <si>
    <t>The most common failure</t>
  </si>
  <si>
    <t>Assumed percentage of cards that are faulty and must be replaced</t>
  </si>
  <si>
    <t>Cost of cards</t>
  </si>
  <si>
    <t xml:space="preserve">Annual cost of card replacement </t>
  </si>
  <si>
    <t>Fault Identification and Rectification</t>
  </si>
  <si>
    <t xml:space="preserve">Average Failure rate </t>
  </si>
  <si>
    <t>Average failures per year</t>
  </si>
  <si>
    <t>Basis for figures</t>
  </si>
  <si>
    <t xml:space="preserve">195 IGBTs Replaced over the last 5 years: </t>
  </si>
  <si>
    <t>Hours for each IGBT (involves removal of water pipes, fibre optic, shields AND commissioning)</t>
  </si>
  <si>
    <t>Number of IGBT replacements</t>
  </si>
  <si>
    <t xml:space="preserve">Per Year </t>
  </si>
  <si>
    <t xml:space="preserve">Modelling Assumptions </t>
  </si>
  <si>
    <t>Source: Analysis from Noel Powell received 27/3/14</t>
  </si>
  <si>
    <t>If this value is $0 then check the Modelling Assumptions sheet for CAPITALISE</t>
  </si>
  <si>
    <t>Average IGBT replacement cost per year</t>
  </si>
  <si>
    <t xml:space="preserve">One month of lower use at Mullumbimby </t>
  </si>
  <si>
    <t>Ignore likely to be undertaking commissioning tests</t>
  </si>
  <si>
    <t xml:space="preserve">APA Technical Staff hours </t>
  </si>
  <si>
    <t xml:space="preserve">APA Supervisor Staff hours </t>
  </si>
  <si>
    <t>Updating fault location details, ordering replacement spares, paying invoices</t>
  </si>
  <si>
    <t>Was unable to separate Yard Maintenance from Vegetation Management along the cable route</t>
  </si>
  <si>
    <t>Refer to sheet Modelling Assumptions to change the percentage</t>
  </si>
  <si>
    <t>Note: That each capacitor is actually made up of banks of capacitors. The above figure is the number of BANKS of capacitors</t>
  </si>
  <si>
    <t>Capacitors which are found to be leaking oil (annual inspection) or measured capacitance is down (three yearly inspection) are replaced</t>
  </si>
  <si>
    <t>No figures were provided for the number of capacitors which are replaced</t>
  </si>
  <si>
    <t>The cost of the capacitors would be CAPEX - however should have included contractor costs for the replacement</t>
  </si>
  <si>
    <t>Hours per site (raise and close WO, check that log has been updated)</t>
  </si>
  <si>
    <t>Once per month</t>
  </si>
  <si>
    <t>Was unable to separate Vegetation Management from the Bryon Bay Tree company invoices</t>
  </si>
  <si>
    <t>Each month the technicians pick a different section of the route</t>
  </si>
  <si>
    <t>In addition to replacing the Cable Markers this is used as a pre-inspection of areas requiring vegetation management</t>
  </si>
  <si>
    <t>The Transformer OEM has been contracted to undertake this maintenance</t>
  </si>
  <si>
    <t xml:space="preserve">There is one spare transformer </t>
  </si>
  <si>
    <t>Including Spare</t>
  </si>
  <si>
    <t>There are three transformers at each site</t>
  </si>
  <si>
    <t>Contracted Cost of the Maintenance</t>
  </si>
  <si>
    <t>Per Site</t>
  </si>
  <si>
    <t>Using a thermographic camera take photographs of the various components looking for those which are running excessively hot</t>
  </si>
  <si>
    <t>Hours per site (extra hour per site allocated for inspection of the photographs and storing)</t>
  </si>
  <si>
    <t>Material Costs for 15 year maintenance</t>
  </si>
  <si>
    <t>The testing of the individual values is then undertaken</t>
  </si>
  <si>
    <t>The valve positions which are faulty are recorded</t>
  </si>
  <si>
    <t>Hours per IGBT valve (undertaken at same time as Visual Inspection so no extra time allocated)</t>
  </si>
  <si>
    <t>Majority of this cost is the 15 year circuit breaker maintenance</t>
  </si>
  <si>
    <t>Hours per mechanism</t>
  </si>
  <si>
    <t>The Air conditioners are used to protect the "fragile" Control Systems</t>
  </si>
  <si>
    <t>Refer to Control System Repairs</t>
  </si>
  <si>
    <t>Two for IGBT replacement (not done during scheduled maintenance)</t>
  </si>
  <si>
    <t>Connections to Cable Screen</t>
  </si>
  <si>
    <t>Invoices for Bryon Bay Trees</t>
  </si>
  <si>
    <t>It is assumed that the new Mullumbimby phase reactor will also be treated each year</t>
  </si>
  <si>
    <t>REMOTE COMMUNICATIONS</t>
  </si>
  <si>
    <t>SITE SECURITY</t>
  </si>
  <si>
    <t xml:space="preserve">Sydney Night Patrol Security </t>
  </si>
  <si>
    <t>Remote Comms</t>
  </si>
  <si>
    <t>Site Security</t>
  </si>
  <si>
    <t>Annual Cost of replacement IGBTs</t>
  </si>
  <si>
    <t>Data</t>
  </si>
  <si>
    <t xml:space="preserve">Number of Cable Faults </t>
  </si>
  <si>
    <t>Years</t>
  </si>
  <si>
    <t>Average number of cable faults</t>
  </si>
  <si>
    <t>Per Year</t>
  </si>
  <si>
    <t>Travel to the other site (if other technician not available)</t>
  </si>
  <si>
    <t>One round trip assumed to be required 25% of the time</t>
  </si>
  <si>
    <t>The new Mullumbimby station will have a different design of Phase Reactor which does not require the same level of maintenance</t>
  </si>
  <si>
    <t>Site Access for Contractors</t>
  </si>
  <si>
    <t>Security briefing</t>
  </si>
  <si>
    <t>Application of grease</t>
  </si>
  <si>
    <t>Technicians</t>
  </si>
  <si>
    <t>Supervision during Dry Ice Cleaning</t>
  </si>
  <si>
    <t>Scheduling</t>
  </si>
  <si>
    <t>Additional due to critical nature</t>
  </si>
  <si>
    <t>PHASE REACTOR FAN MAINTENANCE</t>
  </si>
  <si>
    <t>0104 (4)</t>
  </si>
  <si>
    <t>Lubricant</t>
  </si>
  <si>
    <t>The 5 yearly maintenance of the Fans was last undertaken in 2013 - It will be due again in 2018</t>
  </si>
  <si>
    <t>Hours per reactor fan</t>
  </si>
  <si>
    <t>Reactor Fans</t>
  </si>
  <si>
    <t>While the new Mullumbimby converter has different phase reactors there will still be a need to check the phase reactor fans</t>
  </si>
  <si>
    <t xml:space="preserve">2 fans per reactor </t>
  </si>
  <si>
    <t>AC Reactor Cooling Fans</t>
  </si>
  <si>
    <t>Price per reactor fan</t>
  </si>
  <si>
    <t>Average cost per reactor fan</t>
  </si>
  <si>
    <t>Requires close attention to detail - 2 staff for a full day each reactor</t>
  </si>
  <si>
    <t xml:space="preserve">High priority item: EXTRA attention to detail </t>
  </si>
  <si>
    <t>Raise and close work order, arranging specialist Dry Ice contract cleaner, sourcing dry ice, purchasing grease, etc</t>
  </si>
  <si>
    <t>Cost of dry ice assumed to be included in the contractor cost</t>
  </si>
  <si>
    <t>It is assumed that the new Mullumbimby fans will have their 5 year inspection brought into line with the other reactor fans</t>
  </si>
  <si>
    <t>Total Material Costs</t>
  </si>
  <si>
    <t>A suitable computer motherboard is no longer available (even from industrial suppliers)</t>
  </si>
  <si>
    <t>Spare Transformer</t>
  </si>
  <si>
    <t>APA Oil Sample</t>
  </si>
  <si>
    <t xml:space="preserve">APA staff </t>
  </si>
  <si>
    <t>One APA technician for 2 hours at each site</t>
  </si>
  <si>
    <t>Material Cost of the testing</t>
  </si>
  <si>
    <t>For all 7 samples</t>
  </si>
  <si>
    <t xml:space="preserve">Discount </t>
  </si>
  <si>
    <t>hours (two staff for 2.5 hours)</t>
  </si>
  <si>
    <t>Average number replaced pa</t>
  </si>
  <si>
    <t>Replacement Costs</t>
  </si>
  <si>
    <t>Hours to replace each capacitor</t>
  </si>
  <si>
    <t xml:space="preserve">Total hours to replace failed capacitors </t>
  </si>
  <si>
    <t>Average hours to replace caps</t>
  </si>
  <si>
    <t>hours per year</t>
  </si>
  <si>
    <t>hours per year per capacitor</t>
  </si>
  <si>
    <t>5 years</t>
  </si>
  <si>
    <t>Arranging training courses for staff</t>
  </si>
  <si>
    <t>Arranging training courses for contractors</t>
  </si>
  <si>
    <t>Supervisor hours</t>
  </si>
  <si>
    <t>Material Cost of the courses</t>
  </si>
  <si>
    <t>Construction Industry Induction</t>
  </si>
  <si>
    <t>Once</t>
  </si>
  <si>
    <t>external</t>
  </si>
  <si>
    <t>APA Induction</t>
  </si>
  <si>
    <t>internal</t>
  </si>
  <si>
    <t>Directlink Induction</t>
  </si>
  <si>
    <t>18 months</t>
  </si>
  <si>
    <t>Confined Space Access</t>
  </si>
  <si>
    <t>2 years</t>
  </si>
  <si>
    <t>3 years</t>
  </si>
  <si>
    <t>Directlink High Voltage Switching Operator - Initial Course</t>
  </si>
  <si>
    <t>High Voltage Switching Operator  - Practical Assessment</t>
  </si>
  <si>
    <t>Abridged Authorised Recipient Training</t>
  </si>
  <si>
    <t>APA Safety System Training</t>
  </si>
  <si>
    <t>APA Permit Issue Officer Training PIO-B</t>
  </si>
  <si>
    <t>Excavation Training PIO-E</t>
  </si>
  <si>
    <t>Low Voltage Rescue Training</t>
  </si>
  <si>
    <t>1 year</t>
  </si>
  <si>
    <t>First Aid training</t>
  </si>
  <si>
    <t>Resusitation Training</t>
  </si>
  <si>
    <t>Working at Heights</t>
  </si>
  <si>
    <t>APA Oracle Finance System Training</t>
  </si>
  <si>
    <t>APA Maintenance Connection Training</t>
  </si>
  <si>
    <t xml:space="preserve">Electrical License Renewal </t>
  </si>
  <si>
    <t>Mach2 Control System Training</t>
  </si>
  <si>
    <t>Circuit Breaker Maintenance Training</t>
  </si>
  <si>
    <t>Elevated Work Platform</t>
  </si>
  <si>
    <t>Basic Rigging</t>
  </si>
  <si>
    <t>Forklift Training</t>
  </si>
  <si>
    <t>Underground Locator Training</t>
  </si>
  <si>
    <t>Directlink Training Matrix</t>
  </si>
  <si>
    <t>N/A for external contractors</t>
  </si>
  <si>
    <t>hrs/pa</t>
  </si>
  <si>
    <t>Training courses (for staff and contractors)</t>
  </si>
  <si>
    <t>Contractor Labour Cost for testing</t>
  </si>
  <si>
    <t>APA Technician Time</t>
  </si>
  <si>
    <t>hrs p.a.</t>
  </si>
  <si>
    <t>APA Supervisor Time (Pay invoices etc)</t>
  </si>
  <si>
    <t>Hours per site (there is still a requirement to close the WOs)</t>
  </si>
  <si>
    <t>Site visit is required if excavation is within 3 meters of the cable</t>
  </si>
  <si>
    <t>APA Technician Times</t>
  </si>
  <si>
    <t>APA Supervisor Times</t>
  </si>
  <si>
    <t xml:space="preserve">Affected - Discuss site visit with supervisor </t>
  </si>
  <si>
    <t>Values derived from above figures (do not edit)</t>
  </si>
  <si>
    <t>Background to estimated number of inspections per year</t>
  </si>
  <si>
    <t>One for each cable fault</t>
  </si>
  <si>
    <t>Each cable fault can actually require more than one re-start</t>
  </si>
  <si>
    <t>Each card has unique data programmed into it (in EPROM) to identify its location</t>
  </si>
  <si>
    <t>FIRE SPRINKER SYSTEM</t>
  </si>
  <si>
    <t>After the Mullumbimby fire it has been decided to install a fire suppression systems in the converter buildings</t>
  </si>
  <si>
    <t>Drying components (even if they must be uninstalled and sent for professional treatment) will be much less expensive than replacement</t>
  </si>
  <si>
    <t>At this stage it is unclear if APA will also install a parallel Gas Suppression system - hence this option has not been costed</t>
  </si>
  <si>
    <t>Water Tanks</t>
  </si>
  <si>
    <t>Valves</t>
  </si>
  <si>
    <t>All these components will require specialist maintenance</t>
  </si>
  <si>
    <t>Maintenance Contract</t>
  </si>
  <si>
    <t>0000 (1)</t>
  </si>
  <si>
    <t>0000 (2)</t>
  </si>
  <si>
    <t>Hours per site (to close the WO generated by MC)</t>
  </si>
  <si>
    <t>Major corrective maintenance has been undertaken recently</t>
  </si>
  <si>
    <t>It is felt that this has addressed issues that were being experienced with these pumps (leaks)</t>
  </si>
  <si>
    <t>Pumps</t>
  </si>
  <si>
    <t>Hours per pump</t>
  </si>
  <si>
    <t xml:space="preserve">Annual maintenance is therefore assumed to be an inspection, check of the oil and check the alignment </t>
  </si>
  <si>
    <t>Aug-12 to Jul-13</t>
  </si>
  <si>
    <t>kWh / month</t>
  </si>
  <si>
    <t xml:space="preserve">Difference </t>
  </si>
  <si>
    <t>Total "Saving"</t>
  </si>
  <si>
    <t>Sometimes reprogramming the cards is sufficient to fix the problem</t>
  </si>
  <si>
    <t>Not Used</t>
  </si>
  <si>
    <t xml:space="preserve">Invoices </t>
  </si>
  <si>
    <t>Nov 12 - Feb 14</t>
  </si>
  <si>
    <t>Hours per year - to let the contractor into the site each month</t>
  </si>
  <si>
    <t>Hours per year - To open and close WO and enter the monthly invoices onto the system</t>
  </si>
  <si>
    <t>Average monthly cost in 2013$</t>
  </si>
  <si>
    <t>Average monthly cost in 2014$</t>
  </si>
  <si>
    <t>Hours per fan (to replace fans and motors)</t>
  </si>
  <si>
    <t>Cost of similar work (in 2012)</t>
  </si>
  <si>
    <t>Diesel pumps (two)</t>
  </si>
  <si>
    <t>Fuel Storage</t>
  </si>
  <si>
    <t>Reticulation (pipework)</t>
  </si>
  <si>
    <t>CONTROL ROOM OPERATIONS</t>
  </si>
  <si>
    <t>Control Room Costs</t>
  </si>
  <si>
    <t>Hourly rate for APA Operations Manager</t>
  </si>
  <si>
    <t>Rate for APA Operations Manager</t>
  </si>
  <si>
    <t>CAPITALISED COST OF CAPACITORS</t>
  </si>
  <si>
    <t>Average cost (2013)</t>
  </si>
  <si>
    <t>Will only be included if Modelling Assumptions CAPITALISE = FALSE</t>
  </si>
  <si>
    <t xml:space="preserve">Average replacement cost </t>
  </si>
  <si>
    <t>While 5 capacitors were purchased in 2013 the modelling assumes this failure rate</t>
  </si>
  <si>
    <t>Assumed failure rate</t>
  </si>
  <si>
    <t>Total Number of Capacitors</t>
  </si>
  <si>
    <t>This is figure is conservative (given 5 purchased in 12 months)</t>
  </si>
  <si>
    <t>Per "Capacitor shown on schematic" per year</t>
  </si>
  <si>
    <t>Modelled replacement cost</t>
  </si>
  <si>
    <t>Modelled Cost per IGBT</t>
  </si>
  <si>
    <t>Cost Per IGBT</t>
  </si>
  <si>
    <t>Cost Per Cable Joint</t>
  </si>
  <si>
    <t xml:space="preserve">Cost of Cable </t>
  </si>
  <si>
    <t>Cost per Oil Filled Capacitor</t>
  </si>
  <si>
    <t>Operations Manager</t>
  </si>
  <si>
    <t>This will include observing acceptance testing of the new station</t>
  </si>
  <si>
    <t>Modelling Assumptions</t>
  </si>
  <si>
    <t>Hours 2016 to 2020</t>
  </si>
  <si>
    <t>Hours per maintenance item</t>
  </si>
  <si>
    <t>Check the Maintenance Log updated</t>
  </si>
  <si>
    <t>It excludes photographic updating (this is added separately when for those items requiring a photographic record)</t>
  </si>
  <si>
    <t>Contractor Access to Site</t>
  </si>
  <si>
    <t>Charge Out Rates for APA Staff</t>
  </si>
  <si>
    <t>Rates of Inflation</t>
  </si>
  <si>
    <t>TRAINING COURSES FOR CONTRACTORS</t>
  </si>
  <si>
    <t>To address the unique nature of some of the maintenance requirements APA pay for contractors to receive specialist training</t>
  </si>
  <si>
    <t xml:space="preserve">The rural nature of the two converter stations also means that APA need to maintain a strong relationship with their contractors </t>
  </si>
  <si>
    <t>This does not include training courses that the Contractor should undertake themselves</t>
  </si>
  <si>
    <t>Training Matrix</t>
  </si>
  <si>
    <t>ONSITE TEST EQUIPMENT MAINTENANCE</t>
  </si>
  <si>
    <t>Technician Hours spent on simple repairs</t>
  </si>
  <si>
    <t>Supervisor Hours spent on invoices for simple maintenance</t>
  </si>
  <si>
    <t>hours per month at each site (looking through the CMs)</t>
  </si>
  <si>
    <t>hour per month (to raise and close WOs and to enter invoices into the financial system)</t>
  </si>
  <si>
    <t>Training Courses</t>
  </si>
  <si>
    <t>Onsite Test Equipment</t>
  </si>
  <si>
    <t>This is a functional test only - Calibration of the equipment is captured under Onsite Test Equipment</t>
  </si>
  <si>
    <t>Peak</t>
  </si>
  <si>
    <t>Off Peak</t>
  </si>
  <si>
    <t>Shoulder</t>
  </si>
  <si>
    <t>Energy Charges</t>
  </si>
  <si>
    <t>Network Charges</t>
  </si>
  <si>
    <t>Other</t>
  </si>
  <si>
    <t>Off Peak Demand</t>
  </si>
  <si>
    <t>Peak Demand</t>
  </si>
  <si>
    <t>Shoulder Demand</t>
  </si>
  <si>
    <t>Access Charge</t>
  </si>
  <si>
    <t>LREC</t>
  </si>
  <si>
    <t>SREC</t>
  </si>
  <si>
    <t>ESC</t>
  </si>
  <si>
    <t>AEMO Charge</t>
  </si>
  <si>
    <t>AEMO Ancillary</t>
  </si>
  <si>
    <t>VIP Metering</t>
  </si>
  <si>
    <t>To Dec 2013</t>
  </si>
  <si>
    <t>Actual Bill</t>
  </si>
  <si>
    <t>From March 2013</t>
  </si>
  <si>
    <t>From Jan 2014</t>
  </si>
  <si>
    <t>Total (2014)</t>
  </si>
  <si>
    <t>Total (exc GST)</t>
  </si>
  <si>
    <t>Originally Claimed</t>
  </si>
  <si>
    <t>Other Charges</t>
  </si>
  <si>
    <t>Access &amp; Metering</t>
  </si>
  <si>
    <t>OTHER COSTS</t>
  </si>
  <si>
    <t>Two scheduled maintenance periods</t>
  </si>
  <si>
    <t>All converter buildings must be inspected</t>
  </si>
  <si>
    <t>After the Mullumbimby fire an inspection of the phase reactors has been added</t>
  </si>
  <si>
    <t>The inspection looks for moisture on the phase reactors</t>
  </si>
  <si>
    <t>Additional outages to undertake maintenance found during scheduled outage</t>
  </si>
  <si>
    <t>Per phase reactor</t>
  </si>
  <si>
    <t>Original switching time (applied to each of the 2 systems)</t>
  </si>
  <si>
    <t>QLD-ET-WI-PM001-0050</t>
  </si>
  <si>
    <t>0050 (1)</t>
  </si>
  <si>
    <t>0050 (2)</t>
  </si>
  <si>
    <t>Nitrogen bottle replacement</t>
  </si>
  <si>
    <t>The nitrogen bottle must be replaced regularly</t>
  </si>
  <si>
    <t>Each converter building has 4 bottles (4 x 6 = 24 in total)</t>
  </si>
  <si>
    <t>It takes an hour to replace the bottles (every 2 months per building)</t>
  </si>
  <si>
    <t>Another hour has been allocated for the exchange of the bottles (every 2 months per site) and to update the log</t>
  </si>
  <si>
    <t>Cumulative</t>
  </si>
  <si>
    <t>Rank</t>
  </si>
  <si>
    <t>APA GROUP</t>
  </si>
  <si>
    <t>DIRECTLINK ANALYSIS</t>
  </si>
  <si>
    <t>Directlink - GEIP Review of O&amp;M Procedures</t>
  </si>
  <si>
    <t>Nil</t>
  </si>
  <si>
    <t>GIER - Recommendations</t>
  </si>
  <si>
    <t>Y</t>
  </si>
  <si>
    <t>Network Management Plan</t>
  </si>
  <si>
    <t>Issued</t>
  </si>
  <si>
    <t>Forecast Methodology</t>
  </si>
  <si>
    <t>Documentation Procedures</t>
  </si>
  <si>
    <t>Doc ID</t>
  </si>
  <si>
    <t>Rev</t>
  </si>
  <si>
    <t>Title</t>
  </si>
  <si>
    <t>Provided Y/N</t>
  </si>
  <si>
    <t>Status</t>
  </si>
  <si>
    <t>DL-DO-01</t>
  </si>
  <si>
    <t>Directlink Documentation Index</t>
  </si>
  <si>
    <t>DL-DO-02</t>
  </si>
  <si>
    <t>Documentation Control</t>
  </si>
  <si>
    <t>N</t>
  </si>
  <si>
    <t>Not Issued</t>
  </si>
  <si>
    <t>DL-DO-03</t>
  </si>
  <si>
    <t>NSW Regulatory Compliance Plan</t>
  </si>
  <si>
    <t>DL-DO-04</t>
  </si>
  <si>
    <t>Outage Recording Procedure</t>
  </si>
  <si>
    <t>DL-DO-05</t>
  </si>
  <si>
    <t>Operations Environmental Management plan</t>
  </si>
  <si>
    <t>DL-DO-06</t>
  </si>
  <si>
    <t>new</t>
  </si>
  <si>
    <t>DL-DO-08</t>
  </si>
  <si>
    <t>A</t>
  </si>
  <si>
    <t>Baseline Compliance Documentation</t>
  </si>
  <si>
    <t>Operating Procedures</t>
  </si>
  <si>
    <t>DL-OP-01</t>
  </si>
  <si>
    <t>Overview of Directlink</t>
  </si>
  <si>
    <t>DL-OP-02</t>
  </si>
  <si>
    <t>Using the Directlink local/Remote Operator Workstation</t>
  </si>
  <si>
    <t>DL-OP-03</t>
  </si>
  <si>
    <t>External Control Schemes Functional Description</t>
  </si>
  <si>
    <t>DL-OP-04</t>
  </si>
  <si>
    <t>Control of Directlink Using the Operator Workstation</t>
  </si>
  <si>
    <t>DL-OP-05</t>
  </si>
  <si>
    <t>Directlink Operations</t>
  </si>
  <si>
    <t>DL-OP-06</t>
  </si>
  <si>
    <t>HV Switching Manual</t>
  </si>
  <si>
    <t>DL-OP-07</t>
  </si>
  <si>
    <t xml:space="preserve">Not Used </t>
  </si>
  <si>
    <t>DL-OP-08</t>
  </si>
  <si>
    <t>Approved HV Equipment</t>
  </si>
  <si>
    <t>DL-OP-09</t>
  </si>
  <si>
    <t>Approved LV Equipment</t>
  </si>
  <si>
    <t>DL-OP-10</t>
  </si>
  <si>
    <t>DL-OP-11</t>
  </si>
  <si>
    <t>Site Induction - Level 5</t>
  </si>
  <si>
    <t>Revoked</t>
  </si>
  <si>
    <t>DL-OP-12</t>
  </si>
  <si>
    <t>Site Induction - Level 4</t>
  </si>
  <si>
    <t>DL-OP-13</t>
  </si>
  <si>
    <t>DL-OP-14</t>
  </si>
  <si>
    <t>DL-OP-15</t>
  </si>
  <si>
    <t>Permit to Work System</t>
  </si>
  <si>
    <t>DL-OP-16</t>
  </si>
  <si>
    <t>Co-ordination of Excavation Works Near DC Cable</t>
  </si>
  <si>
    <t>DL-OP-17</t>
  </si>
  <si>
    <t>Site Maintenance, Outages and Equipment Failures</t>
  </si>
  <si>
    <t>DL-OP-18</t>
  </si>
  <si>
    <t>Guidelines for Encroachment</t>
  </si>
  <si>
    <t>Rev 1 in Progress</t>
  </si>
  <si>
    <t>DL-OP-19</t>
  </si>
  <si>
    <t>DL-OP-20</t>
  </si>
  <si>
    <t>Guidelines For POC Response to Operational Events</t>
  </si>
  <si>
    <t>DL-OP-21</t>
  </si>
  <si>
    <t>Black System Procedure</t>
  </si>
  <si>
    <t>DL-OP-22</t>
  </si>
  <si>
    <t>Remote Operations</t>
  </si>
  <si>
    <t>DL-OP-23</t>
  </si>
  <si>
    <t>Emergency Response Plan</t>
  </si>
  <si>
    <t>DL-OP-24</t>
  </si>
  <si>
    <t>HVDC Cable Repairs</t>
  </si>
  <si>
    <t>DL-OP-25</t>
  </si>
  <si>
    <t>Analysis of Response of HVDC Assets to an Applicable Event (Network Event Response)</t>
  </si>
  <si>
    <t>DL-OP-26</t>
  </si>
  <si>
    <t>DL-OP-27</t>
  </si>
  <si>
    <t>Protocol Revision of theMACH II Control &amp; Protection System</t>
  </si>
  <si>
    <t>DL-OP-28</t>
  </si>
  <si>
    <t>Work Instructions</t>
  </si>
  <si>
    <t>DL-WI-01</t>
  </si>
  <si>
    <t>Tagout/Lockout Procedure</t>
  </si>
  <si>
    <t>DL-WI-02</t>
  </si>
  <si>
    <t>Entry to Converter Building</t>
  </si>
  <si>
    <t>DL-WI-03</t>
  </si>
  <si>
    <t>Preparation of Valve Enclosures for Access and for Energisation</t>
  </si>
  <si>
    <t>DL-WI-04</t>
  </si>
  <si>
    <t>Access to Sites</t>
  </si>
  <si>
    <t>DL-WI-05</t>
  </si>
  <si>
    <t>Safe to Earth Procedure</t>
  </si>
  <si>
    <t>DL-WI-06</t>
  </si>
  <si>
    <t>Application of Earths</t>
  </si>
  <si>
    <t>DL-WI-07</t>
  </si>
  <si>
    <t>Discharging of Capacitor Banks</t>
  </si>
  <si>
    <t>DL-WI-08</t>
  </si>
  <si>
    <t>HV Switching Sheets - Standard Wording</t>
  </si>
  <si>
    <t>DL-WI-09</t>
  </si>
  <si>
    <t>Methods of High Voltage Isolation and Earthing</t>
  </si>
  <si>
    <t>DL-WI-10</t>
  </si>
  <si>
    <t>DL-WI-11</t>
  </si>
  <si>
    <t>Refilling Cooling System</t>
  </si>
  <si>
    <t>DL-WI-12</t>
  </si>
  <si>
    <t>Interrogation of Valve Data from IPM</t>
  </si>
  <si>
    <t>DL-WI-13</t>
  </si>
  <si>
    <t>IGBT Replacement</t>
  </si>
  <si>
    <t>DL-WI-14</t>
  </si>
  <si>
    <t>DL-WI-15</t>
  </si>
  <si>
    <t>Basic Site Communications Troubleshooting</t>
  </si>
  <si>
    <t>DL-WI-16</t>
  </si>
  <si>
    <t>Outage and Failed Equipment Reporting</t>
  </si>
  <si>
    <t>Monthly Energised Maintenance Inspections</t>
  </si>
  <si>
    <t>DL-WI-18</t>
  </si>
  <si>
    <t>Nitrogen Gas Facility</t>
  </si>
  <si>
    <t>DL-WI-19</t>
  </si>
  <si>
    <t>DL-WI-20</t>
  </si>
  <si>
    <t>DL-WI-21</t>
  </si>
  <si>
    <t>DL-WI-22</t>
  </si>
  <si>
    <t>Entry Into Confined Spaces and Poorly Ventilated Areas</t>
  </si>
  <si>
    <t>DL-WI-23</t>
  </si>
  <si>
    <t>Resetting Automatic Shunt Valves</t>
  </si>
  <si>
    <t>DL-WI-24</t>
  </si>
  <si>
    <t>Annual Valve Humidity Control System Maintenance</t>
  </si>
  <si>
    <t>Annual IGBT Valve Maintenance</t>
  </si>
  <si>
    <t>DL-WI-27</t>
  </si>
  <si>
    <t>Annual Rogowski Current Transducer Maintenance</t>
  </si>
  <si>
    <t>Directlink Annual Reactor Maintenance</t>
  </si>
  <si>
    <t>DL-WI-30</t>
  </si>
  <si>
    <t>Directlink Annual Capacitor Maintenance</t>
  </si>
  <si>
    <t>Directlink Annual Hall Effect Current Transducer Maintenance</t>
  </si>
  <si>
    <t>DL-WI-32</t>
  </si>
  <si>
    <t>Directlink Annual Outdoor Post Type Current Transformer Maintenance</t>
  </si>
  <si>
    <t>Directlink Annual Cable Screen Current Transformer Maintenance</t>
  </si>
  <si>
    <t>DL-WI-34</t>
  </si>
  <si>
    <t>Directlink Annual Surge Arrestor Maintenance</t>
  </si>
  <si>
    <t>Directlink Annual AC Filter Resistor Maintenance</t>
  </si>
  <si>
    <t>Directlink Annual &amp; Two Year Direct Voltage Divider Maintenance</t>
  </si>
  <si>
    <t>DL-WI-37</t>
  </si>
  <si>
    <t>Capacitive Voltage Transformer Maintenance</t>
  </si>
  <si>
    <t>Directlink Three Year Capacitor Maintenance</t>
  </si>
  <si>
    <t>DL-WI-40</t>
  </si>
  <si>
    <t>Hipotronics Cable Fault Locator Equipment</t>
  </si>
  <si>
    <t>DL-WI-41</t>
  </si>
  <si>
    <t>Hipotronics DC Insulation Test Set</t>
  </si>
  <si>
    <t>DL-WI-42</t>
  </si>
  <si>
    <t>ABB Capacitance Bridge Type CB10 Test Set</t>
  </si>
  <si>
    <t>DL-WI-43</t>
  </si>
  <si>
    <t>DL-WI-44</t>
  </si>
  <si>
    <t>Converter Pre-energisation Inspection</t>
  </si>
  <si>
    <t>Disconnector &amp; Earth SwitchMaintenance</t>
  </si>
  <si>
    <t>Annual Zero Sequence and Phase Reactor Maintenance</t>
  </si>
  <si>
    <t>Safety Procedures</t>
  </si>
  <si>
    <t>DL-SP-01</t>
  </si>
  <si>
    <t>Response to a Serious Electrical Accident</t>
  </si>
  <si>
    <t>DL-SP-02</t>
  </si>
  <si>
    <t>Response to a Serious Electrical Accident - External</t>
  </si>
  <si>
    <t>DL-SP-03</t>
  </si>
  <si>
    <t>Job Safety Analysis - Handling of Gas Cylinders</t>
  </si>
  <si>
    <t>DL-SP-04</t>
  </si>
  <si>
    <t>Dangerous Goods Manifest - Mullumbimby (BUNGALORA)</t>
  </si>
  <si>
    <t>DL-SP-05</t>
  </si>
  <si>
    <t>Dangerous Goods Manifest - Bungalora</t>
  </si>
  <si>
    <t>DL-SP-06</t>
  </si>
  <si>
    <t>Directlink Safety Plan</t>
  </si>
  <si>
    <t>DL-SP-07</t>
  </si>
  <si>
    <t>Directlink Safety Manual</t>
  </si>
  <si>
    <t>Operational Forms</t>
  </si>
  <si>
    <t>DL-OF-01</t>
  </si>
  <si>
    <t>Work Site Safety Form</t>
  </si>
  <si>
    <t>DL-OF-02</t>
  </si>
  <si>
    <t>Electrical Access/Test Permit</t>
  </si>
  <si>
    <t>DL-OF-03</t>
  </si>
  <si>
    <t>Electrical Access/Test Permit - Supplementary Page</t>
  </si>
  <si>
    <t>DL-OF-04 (ML)</t>
  </si>
  <si>
    <t>Permit Application Form</t>
  </si>
  <si>
    <t>DL-OF-05</t>
  </si>
  <si>
    <t>Authority to Work In The Vicinity Of Electrical or Mechanical Plant</t>
  </si>
  <si>
    <t>DL-OF-06</t>
  </si>
  <si>
    <t>Clearance to Place Electrical Apparatus Into Service</t>
  </si>
  <si>
    <t>DL-OF-07</t>
  </si>
  <si>
    <t>Statement of Condition of Apparatus/Plant</t>
  </si>
  <si>
    <t>DL-OF-08</t>
  </si>
  <si>
    <t>Switching Sheet</t>
  </si>
  <si>
    <t>DL-OF-09</t>
  </si>
  <si>
    <t>System Outage Request</t>
  </si>
  <si>
    <t>DL-OF-10</t>
  </si>
  <si>
    <t>System Work Notification</t>
  </si>
  <si>
    <t>DL-OF-11</t>
  </si>
  <si>
    <t>Access Notification</t>
  </si>
  <si>
    <t>DL-OF-12</t>
  </si>
  <si>
    <t>Work Permit</t>
  </si>
  <si>
    <t>DL-OF-13</t>
  </si>
  <si>
    <t>Callout Log</t>
  </si>
  <si>
    <t>DL-OF-14</t>
  </si>
  <si>
    <t>Consumables Log</t>
  </si>
  <si>
    <t>DL-OF-15</t>
  </si>
  <si>
    <t>Maintenance Log</t>
  </si>
  <si>
    <t>?????</t>
  </si>
  <si>
    <t>DL-OF-16</t>
  </si>
  <si>
    <t>Operations Log</t>
  </si>
  <si>
    <t>DL-OF-17</t>
  </si>
  <si>
    <t>Outage Register</t>
  </si>
  <si>
    <t>DL-OF-18</t>
  </si>
  <si>
    <t>Visitors Log</t>
  </si>
  <si>
    <t>DL-OF-19</t>
  </si>
  <si>
    <t>Hot Work Permit</t>
  </si>
  <si>
    <t>??</t>
  </si>
  <si>
    <t>DL-OF-20</t>
  </si>
  <si>
    <t>DL-OF-21 (ML)</t>
  </si>
  <si>
    <t>Directlink Excavation Requirements</t>
  </si>
  <si>
    <t>DL-OF-22</t>
  </si>
  <si>
    <t>Directlink Excavation Request</t>
  </si>
  <si>
    <t>DL-OF-23</t>
  </si>
  <si>
    <t>Accident / Incident Report Form</t>
  </si>
  <si>
    <t>DL-OF-24</t>
  </si>
  <si>
    <t>Confined Space Permit</t>
  </si>
  <si>
    <t>DL-OF-25</t>
  </si>
  <si>
    <t>Safety Observation Report</t>
  </si>
  <si>
    <t>DL-OF-26</t>
  </si>
  <si>
    <t>Directlink Phase Reactor Inspection Record Form</t>
  </si>
  <si>
    <t>DL-OF-27</t>
  </si>
  <si>
    <t>DC Cable Repair</t>
  </si>
  <si>
    <t>DL-OF-28</t>
  </si>
  <si>
    <t xml:space="preserve">Record of Temporary Change to MACH II Control System </t>
  </si>
  <si>
    <t>DL-OF-29</t>
  </si>
  <si>
    <t>Valve Room Inspection Form</t>
  </si>
  <si>
    <t>DL-OF-30</t>
  </si>
  <si>
    <t>IGBT Replacement Form</t>
  </si>
  <si>
    <t>DL-OF-31</t>
  </si>
  <si>
    <t>PHASE REACTOR 5 YR FAN INSPECTION RECORD</t>
  </si>
  <si>
    <t>NITROGEN BOTTLE REPLACEMENT</t>
  </si>
  <si>
    <t>REDUCED OPERATIONS</t>
  </si>
  <si>
    <t>Electricity Use and Demand</t>
  </si>
  <si>
    <t>Assumed Cost of Electricity</t>
  </si>
  <si>
    <t>c/kWh</t>
  </si>
  <si>
    <t>$/kVA</t>
  </si>
  <si>
    <t>c/kWh (Average value for most recent 12 months)</t>
  </si>
  <si>
    <t>per calendar month</t>
  </si>
  <si>
    <t>$ per day</t>
  </si>
  <si>
    <t>Have ignored the one month that the new converter at Mullumbimby is not fully operational</t>
  </si>
  <si>
    <t>Monthly Average Electricity Use (operational after fire)</t>
  </si>
  <si>
    <t>Other Calculations</t>
  </si>
  <si>
    <t>APA supervisor hours</t>
  </si>
  <si>
    <t>To enter the invoices into the system</t>
  </si>
  <si>
    <t>hours per month</t>
  </si>
  <si>
    <t>Checks</t>
  </si>
  <si>
    <t>Count Cells which are not blank</t>
  </si>
  <si>
    <t>Number of cells</t>
  </si>
  <si>
    <t>DJV are negotiating a lower rate for their energy use</t>
  </si>
  <si>
    <t>Energy Charges as Percentage of total bill</t>
  </si>
  <si>
    <t>If $0 then check CAPITALIZE on the Modelling Assumptions Sheet</t>
  </si>
  <si>
    <t>Prepared for the Directlink Joint Venture</t>
  </si>
  <si>
    <t>Key</t>
  </si>
  <si>
    <t>Important notes are highlighted</t>
  </si>
  <si>
    <t>Period July 2015 to June 2020</t>
  </si>
  <si>
    <t>Per PAIR of converter buildings (each end of the link being started must be inspected)</t>
  </si>
  <si>
    <t>Alternate Maintenance Strategy</t>
  </si>
  <si>
    <t>Rather than maintain a/c aim to replace (before they fail)</t>
  </si>
  <si>
    <t>Network Charges (kWh)</t>
  </si>
  <si>
    <t>Network Charges (kW)</t>
  </si>
  <si>
    <t xml:space="preserve">Each air blast cooler comprises 7 banks of 5 in each building </t>
  </si>
  <si>
    <t>From below assuming required replacements are undertaken annually</t>
  </si>
  <si>
    <t>2015/16</t>
  </si>
  <si>
    <t>2016/17</t>
  </si>
  <si>
    <t>2017/18</t>
  </si>
  <si>
    <t>2018/19</t>
  </si>
  <si>
    <t>2019/20</t>
  </si>
  <si>
    <t>First Year in the Financial Year</t>
  </si>
  <si>
    <t>Reference Year</t>
  </si>
  <si>
    <t xml:space="preserve">Reference Year </t>
  </si>
  <si>
    <t>Historical Costs calculated in the Reference Year</t>
  </si>
  <si>
    <t>Financial Year</t>
  </si>
  <si>
    <t>Reference Financial Year</t>
  </si>
  <si>
    <t>2014/15</t>
  </si>
  <si>
    <t>Total in Reference Year (per maintenance cycle)</t>
  </si>
  <si>
    <t>Average cost in Reference Year (2014)</t>
  </si>
  <si>
    <t>Total in Reference Year</t>
  </si>
  <si>
    <t>20% of original quote and adjusting 2012 to the Reference Year of 2014</t>
  </si>
  <si>
    <t>80% of original quote and adjusting 2012 to the Reference Year of 2014</t>
  </si>
  <si>
    <t>Per Repair in Reference Year</t>
  </si>
  <si>
    <t>It is necessary to estimate the current cost of electricity for the Reference Year since the HVDC link has not been fully operational since August 2012</t>
  </si>
  <si>
    <t>2015/16 and 2016/17</t>
  </si>
  <si>
    <t>These 3 reactors are installed in the new Mullumbimby converter - the original phase reactors require special maintenance and are treated on sheet 0104 (2)</t>
  </si>
  <si>
    <t>OEM designed interface cards plugged into the computer connected to external racks of equipment</t>
  </si>
  <si>
    <t>OEM designed external racks of equipment are connected to the various CTs and VTs</t>
  </si>
  <si>
    <t xml:space="preserve">OEM proprietary - PCI cards </t>
  </si>
  <si>
    <t>OEM is able to support all but the computer motherboard</t>
  </si>
  <si>
    <t>If link between cable faults and IGBT was verified OEM now offers current limiting devices on the DC side which may reduce the number of IGBT faults</t>
  </si>
  <si>
    <t>Detailed Analysis (period of normal operation)</t>
  </si>
  <si>
    <t>Estimated cost of electricity in Reference Year</t>
  </si>
  <si>
    <t>Assumed Cost of Electricity Reference Year 2014/15</t>
  </si>
  <si>
    <t xml:space="preserve">Analysis of Electricity Use </t>
  </si>
  <si>
    <t>Two pumps per building</t>
  </si>
  <si>
    <t>Assumption this maintenance only applies to the original phase reactors</t>
  </si>
  <si>
    <t>DC ZERO SEQUENCE SMOOTHING REACTOR MAINTENANCE</t>
  </si>
  <si>
    <t>DC zero sequence smoothing reactor</t>
  </si>
  <si>
    <t>WT.T11</t>
  </si>
  <si>
    <t>Totals</t>
  </si>
  <si>
    <t>Management Operations, Maintenance and Commercial Services Agreement (the MOMCSA)</t>
  </si>
  <si>
    <t>Agreed Margin from 10.1 (c) (i)</t>
  </si>
  <si>
    <t>MOMCSA Multiplier</t>
  </si>
  <si>
    <t>EII Forecast</t>
  </si>
  <si>
    <t>Opex Forecast</t>
  </si>
  <si>
    <t>Actual Costs</t>
  </si>
  <si>
    <t>Description</t>
  </si>
  <si>
    <t>Comments</t>
  </si>
  <si>
    <t>Materials List</t>
  </si>
  <si>
    <t>Pall Filter Cartridges</t>
  </si>
  <si>
    <t>Permusoft De-ionising Resin</t>
  </si>
  <si>
    <t>800 litres required</t>
  </si>
  <si>
    <t>Nitrogen - BOC</t>
  </si>
  <si>
    <t>General Consumables</t>
  </si>
  <si>
    <t>Total Materials</t>
  </si>
  <si>
    <t>Contractors List</t>
  </si>
  <si>
    <t>Maintenance Contractors</t>
  </si>
  <si>
    <t>Control Room Contractor (Gasnet)</t>
  </si>
  <si>
    <t>Cable Jointing Contractor</t>
  </si>
  <si>
    <t>Country Energy - Bungalora</t>
  </si>
  <si>
    <t>Country Energy - Mullumbimby</t>
  </si>
  <si>
    <t>Country Energy - House Services</t>
  </si>
  <si>
    <t>Cable Easement Maintenance</t>
  </si>
  <si>
    <t>Hot Stick &amp; earth Lead Testing</t>
  </si>
  <si>
    <t>Vermin Control</t>
  </si>
  <si>
    <t>Station Grounds Maintenance</t>
  </si>
  <si>
    <t>Bungalora Backflow Device Testing</t>
  </si>
  <si>
    <t>Annual Mtce</t>
  </si>
  <si>
    <t>Telstra - WAN Data &amp; Internet</t>
  </si>
  <si>
    <t>Landline &amp; Mobile Comms</t>
  </si>
  <si>
    <t>DBYD Charges</t>
  </si>
  <si>
    <t>X-Info Landholder Database</t>
  </si>
  <si>
    <t>Richmond Waste Rubbish Collection Service</t>
  </si>
  <si>
    <t>Meter Data</t>
  </si>
  <si>
    <t>Recipient Training</t>
  </si>
  <si>
    <t>Portaloo Hire</t>
  </si>
  <si>
    <t>Consultants &amp; Regulatory Audits</t>
  </si>
  <si>
    <t>Security Patrols</t>
  </si>
  <si>
    <t>Security Alarm Monitoring</t>
  </si>
  <si>
    <t>Fire System Checks</t>
  </si>
  <si>
    <t>Platform Hire</t>
  </si>
  <si>
    <t>Legal Fees</t>
  </si>
  <si>
    <t>Software Licences</t>
  </si>
  <si>
    <t>Total Contractors</t>
  </si>
  <si>
    <t>Travel</t>
  </si>
  <si>
    <t>Timesheet Allocations</t>
  </si>
  <si>
    <t>HCC Allocation</t>
  </si>
  <si>
    <t>Total O&amp;M</t>
  </si>
  <si>
    <t>OpEx O&amp;M</t>
  </si>
  <si>
    <t>Hot Sticks, Gloves, Earth Leads, etc</t>
  </si>
  <si>
    <t>Deionising resin</t>
  </si>
  <si>
    <t>From OPEX Budget</t>
  </si>
  <si>
    <t>Contractor Labour Costs</t>
  </si>
  <si>
    <t>DBYD Annual Fee</t>
  </si>
  <si>
    <t>Pest control at the two sites</t>
  </si>
  <si>
    <t>per quarter</t>
  </si>
  <si>
    <t>Portaloo Hire (at Mullumbimby)</t>
  </si>
  <si>
    <t>No onsite toilet</t>
  </si>
  <si>
    <t>Consumables used at the sites</t>
  </si>
  <si>
    <t>Monthly service fee</t>
  </si>
  <si>
    <t>Waste Removal</t>
  </si>
  <si>
    <t>TRAVEL</t>
  </si>
  <si>
    <t>Submitting claims for travel expenses</t>
  </si>
  <si>
    <t>Average per year</t>
  </si>
  <si>
    <t>Mullumbimby and Bungalora are connected by six HV DC cables</t>
  </si>
  <si>
    <t>The cables are laid side by side either in Galvanised Steel Trough (above ground) or buried (underground)</t>
  </si>
  <si>
    <t>The cable easement is approximately 59km long</t>
  </si>
  <si>
    <t>With six cables each 59km long indicates that Directlink contains 354km of HV DC cable</t>
  </si>
  <si>
    <t>The cables are in pairs, with one pair connecting to one (of the three) converter station(s)</t>
  </si>
  <si>
    <t>Roughly 50% of the cable is in GST with the remaining 50% buried underground</t>
  </si>
  <si>
    <t>Technician Hours</t>
  </si>
  <si>
    <t>P(1,2,3)-U VALVE ENCLOSURE</t>
  </si>
  <si>
    <t>P(1,2,3)-U-V(A,B,C)-V(1,2)</t>
  </si>
  <si>
    <t>IGBT valve stacks</t>
  </si>
  <si>
    <t>TD-001</t>
  </si>
  <si>
    <t>PV,2PG</t>
  </si>
  <si>
    <t>no/no/yes</t>
  </si>
  <si>
    <t>1JNL100033-472 Rev 00</t>
  </si>
  <si>
    <t>Electrical check Inspection</t>
  </si>
  <si>
    <t>P(1,2,3)-U-L1</t>
  </si>
  <si>
    <t>Converter Reactors</t>
  </si>
  <si>
    <t>TD-003</t>
  </si>
  <si>
    <t>PG</t>
  </si>
  <si>
    <t>1,5</t>
  </si>
  <si>
    <t>11.98 Rev 00</t>
  </si>
  <si>
    <t>Inspection Fans</t>
  </si>
  <si>
    <t>P(1,2,3)-U-L2</t>
  </si>
  <si>
    <t>Filter Reactor</t>
  </si>
  <si>
    <t>TD-024</t>
  </si>
  <si>
    <t>PE,PG</t>
  </si>
  <si>
    <t>MI-99.01.0163</t>
  </si>
  <si>
    <t>Inspection</t>
  </si>
  <si>
    <t>Filter CT</t>
  </si>
  <si>
    <t>TD-076</t>
  </si>
  <si>
    <t>PE</t>
  </si>
  <si>
    <t>½</t>
  </si>
  <si>
    <t>P(1,2,3)-U-X1</t>
  </si>
  <si>
    <t>Wall Bushing (pole bus)</t>
  </si>
  <si>
    <t>TD-009</t>
  </si>
  <si>
    <t>2770 501E-8</t>
  </si>
  <si>
    <t>P(1,2,3)-U-V(A,B,C)-C(1,2)</t>
  </si>
  <si>
    <t>TD-014</t>
  </si>
  <si>
    <t>SECAP B-003/TD-HLA-011</t>
  </si>
  <si>
    <t>3PE, 2PG</t>
  </si>
  <si>
    <t>Capacitance measurement</t>
  </si>
  <si>
    <t>P(1,2,3)-U-C(1,2)</t>
  </si>
  <si>
    <t>PE, 2PG</t>
  </si>
  <si>
    <t>P(1,2,3)-U-V(A,B,C)-T(1,2,3)</t>
  </si>
  <si>
    <t>Direct Current Measuring Device (Rogowski)</t>
  </si>
  <si>
    <t>TD-074</t>
  </si>
  <si>
    <t>Power Electronic Measurements</t>
  </si>
  <si>
    <t>P(1,2,3)-WP POLE BUS</t>
  </si>
  <si>
    <t>P(1,2,3)-WP(1,2)-L1</t>
  </si>
  <si>
    <t>DC Smoothing Reactor</t>
  </si>
  <si>
    <t>TD-005</t>
  </si>
  <si>
    <t>PE, PG</t>
  </si>
  <si>
    <t>P(1,2,3)-WP(1,2)-C1</t>
  </si>
  <si>
    <t>P(1,2,3)-WP(1,2)-F1</t>
  </si>
  <si>
    <t>TD-044</t>
  </si>
  <si>
    <t xml:space="preserve"> XL 300 021-242</t>
  </si>
  <si>
    <t xml:space="preserve"> Inspection</t>
  </si>
  <si>
    <t>P(1,2,3)-WP(1,2)-Q11</t>
  </si>
  <si>
    <t>DC Disconnecter</t>
  </si>
  <si>
    <t>TD-058</t>
  </si>
  <si>
    <t>¼</t>
  </si>
  <si>
    <t>PB, PG</t>
  </si>
  <si>
    <t>5275 826E-23</t>
  </si>
  <si>
    <t>Motor drive mechanism</t>
  </si>
  <si>
    <t>5309 868E-1</t>
  </si>
  <si>
    <t>Switch</t>
  </si>
  <si>
    <t>P(1,2,3)-WP(1,2)-Q21</t>
  </si>
  <si>
    <t>DC Earthing Switch</t>
  </si>
  <si>
    <t>P(1,2,3)-WP(1,2)-T(11,12)</t>
  </si>
  <si>
    <t>DC Measuring Device</t>
  </si>
  <si>
    <t xml:space="preserve"> TD-074</t>
  </si>
  <si>
    <t>LB 2000-S/SP5</t>
  </si>
  <si>
    <t>P(1,2,3)-WP(1,2)-U1</t>
  </si>
  <si>
    <t>Direct Voltage Divider</t>
  </si>
  <si>
    <t>TD-075</t>
  </si>
  <si>
    <t>F9837_1.DOC</t>
  </si>
  <si>
    <t>P(1,2,3)-R1</t>
  </si>
  <si>
    <t>P(1,2,3)-R1-L1</t>
  </si>
  <si>
    <t>DC Zero Sequence Smoothing Reactor</t>
  </si>
  <si>
    <t>P(1,2,3)-R1-F(1,2)</t>
  </si>
  <si>
    <t>Metallic Screen Arrester</t>
  </si>
  <si>
    <t>HAAR 490 800</t>
  </si>
  <si>
    <t>P(1,2,3)-R1-T(1,2)</t>
  </si>
  <si>
    <t>DC Cable Screen Current Transformer</t>
  </si>
  <si>
    <t>P(1,2,3)-WA-Z1 AC FILTER BANK</t>
  </si>
  <si>
    <t>P(1,2,3)-WA-Z1-Z11-C1</t>
  </si>
  <si>
    <t>AC Filter Capacitor</t>
  </si>
  <si>
    <t>HP39 TD-011</t>
  </si>
  <si>
    <t>P(1,2,3)-WA-Z1-Z12-C1</t>
  </si>
  <si>
    <t>HP78 TD-011</t>
  </si>
  <si>
    <t>P(1,2,3)-WA-Z1-C1</t>
  </si>
  <si>
    <t>AC PLC Noise Capacitor</t>
  </si>
  <si>
    <t>TD-015</t>
  </si>
  <si>
    <t>1HSE 96001-1E</t>
  </si>
  <si>
    <t>P(1,2,3)-WA-Z1-C2</t>
  </si>
  <si>
    <t>P(1,2,3)-WA-Z1-Z11-L1</t>
  </si>
  <si>
    <t>AC Filter Reactor</t>
  </si>
  <si>
    <t>HP39 TD-021</t>
  </si>
  <si>
    <t>MI-99.01.0162</t>
  </si>
  <si>
    <t>P(1,2,3)-WA-Z1-Z12-L1</t>
  </si>
  <si>
    <t>AC Filter Reactor HP78</t>
  </si>
  <si>
    <t>TD-021</t>
  </si>
  <si>
    <t>P(1,2,3)-WA-Z1-L1 AC</t>
  </si>
  <si>
    <t>PLC Noise Filter Reactor</t>
  </si>
  <si>
    <t>TD-025</t>
  </si>
  <si>
    <t>MI-99.01.0199</t>
  </si>
  <si>
    <t>P(1,2,3)-WA-Z1-Z11-R1</t>
  </si>
  <si>
    <t>HP39 TD-031</t>
  </si>
  <si>
    <t>F9535_1.DOC</t>
  </si>
  <si>
    <t>P(1,2,3)-WA-Z1-Z12-R1</t>
  </si>
  <si>
    <t>HP78 TD-031</t>
  </si>
  <si>
    <t>P(1,2,3)-WA-Z1-Z11-T1</t>
  </si>
  <si>
    <t>AC Filter Current Transformer</t>
  </si>
  <si>
    <t>TD-072</t>
  </si>
  <si>
    <t>EKM Mm-0001.98</t>
  </si>
  <si>
    <t>P(1,2,3)-WA-Z1-Z12-T1</t>
  </si>
  <si>
    <t>P(1,2,3)-WA-Z1-F1</t>
  </si>
  <si>
    <t>AC Filter Bus Arrester</t>
  </si>
  <si>
    <t>TD-042</t>
  </si>
  <si>
    <t>XL 300 021-243</t>
  </si>
  <si>
    <t>P(1,2,3)-WA-Z1-Q21</t>
  </si>
  <si>
    <t>AC Earthing Switch</t>
  </si>
  <si>
    <t>TD-052</t>
  </si>
  <si>
    <t>5275 826E-24</t>
  </si>
  <si>
    <t>Manual drive mechanism</t>
  </si>
  <si>
    <t>5309 868E-2</t>
  </si>
  <si>
    <t>P(1,2,3)-WA-Z1-T(1,2)</t>
  </si>
  <si>
    <t>AC Current Transformer (LEM)</t>
  </si>
  <si>
    <t>TD-071</t>
  </si>
  <si>
    <t>P(1,2,3)-WA-Z1-T11</t>
  </si>
  <si>
    <t>Voltage Transformer</t>
  </si>
  <si>
    <t>TD-077</t>
  </si>
  <si>
    <t>EKH WB-15.97</t>
  </si>
  <si>
    <t>P(1,2,3)-WT(1,2) AC BUS</t>
  </si>
  <si>
    <t>P(1,2,3)-WT2-T1</t>
  </si>
  <si>
    <t>TD-002</t>
  </si>
  <si>
    <t>yes/yes/yes</t>
  </si>
  <si>
    <t>000 169 568 MI</t>
  </si>
  <si>
    <t>Inspection (oil etc)</t>
  </si>
  <si>
    <t>PE, PX</t>
  </si>
  <si>
    <t>Insulating oil</t>
  </si>
  <si>
    <t>PX, PE</t>
  </si>
  <si>
    <t>Bushings Insulation resistance measurements</t>
  </si>
  <si>
    <t>PX, PG</t>
  </si>
  <si>
    <t>Transformer overhaul</t>
  </si>
  <si>
    <t>P(1,2,3)-WT2-F1</t>
  </si>
  <si>
    <t>AC Bus Arrester</t>
  </si>
  <si>
    <t>XL 300 021-242</t>
  </si>
  <si>
    <t>P(1,2,3)-WT2-F2</t>
  </si>
  <si>
    <t>Power Transformer Neutral Arrester</t>
  </si>
  <si>
    <t>P(1,2,3)-WT1-Q(1,2)</t>
  </si>
  <si>
    <t>AC Circuit Breaker (3 ph)</t>
  </si>
  <si>
    <t>TD-051</t>
  </si>
  <si>
    <t>1-2(3)</t>
  </si>
  <si>
    <t>1HSB425409-100en0</t>
  </si>
  <si>
    <t>Greasing</t>
  </si>
  <si>
    <t>6 (4)</t>
  </si>
  <si>
    <t>Thermo vision measurements</t>
  </si>
  <si>
    <t>15 (1)</t>
  </si>
  <si>
    <t>2PB, 3PG</t>
  </si>
  <si>
    <t>Preventative maintenance</t>
  </si>
  <si>
    <t>30 (2)</t>
  </si>
  <si>
    <t>Overhaul</t>
  </si>
  <si>
    <t>P(1,2,3)-WT1-Q11</t>
  </si>
  <si>
    <t>AC Disconnector (3 ph)</t>
  </si>
  <si>
    <t>5309 869E-1</t>
  </si>
  <si>
    <t>5275 826-24 en rev0</t>
  </si>
  <si>
    <t>Hand-operated device</t>
  </si>
  <si>
    <t>WT PLC FILTER</t>
  </si>
  <si>
    <t>WT-C(1,2)</t>
  </si>
  <si>
    <t>no/no/no</t>
  </si>
  <si>
    <t>WT-L(1,2,3)</t>
  </si>
  <si>
    <t>AC PLC Noise Filter Reactor</t>
  </si>
  <si>
    <t>MI-99.01.0200</t>
  </si>
  <si>
    <t>WT-Z(1,2)</t>
  </si>
  <si>
    <t>AC PLC Filter Capacitor Tuning Unit</t>
  </si>
  <si>
    <t>TD-091</t>
  </si>
  <si>
    <t>HENF600012</t>
  </si>
  <si>
    <t>1-2</t>
  </si>
  <si>
    <t>1/12</t>
  </si>
  <si>
    <t>1/4</t>
  </si>
  <si>
    <t>P(1,2,3)-U-T1</t>
  </si>
  <si>
    <t>QLD-ET-WI-PM060-0104</t>
  </si>
  <si>
    <t>Item</t>
  </si>
  <si>
    <t>Crew</t>
  </si>
  <si>
    <t>Duration</t>
  </si>
  <si>
    <t>Energised item/converter/system</t>
  </si>
  <si>
    <t>Remarks</t>
  </si>
  <si>
    <t>Document</t>
  </si>
  <si>
    <t>TD</t>
  </si>
  <si>
    <t>VALVE COOLING SYSTEM</t>
  </si>
  <si>
    <t>TD-302</t>
  </si>
  <si>
    <t>8-5599-203 (Swede Water)</t>
  </si>
  <si>
    <t>8-5599-203</t>
  </si>
  <si>
    <t>System check, Water leakage, Noise</t>
  </si>
  <si>
    <t>PM, PG</t>
  </si>
  <si>
    <t>Item 5 “Installation &amp; Start up Manual”</t>
  </si>
  <si>
    <t>Oxygen measurement</t>
  </si>
  <si>
    <t>8-1000-150/E</t>
  </si>
  <si>
    <t>Main pumps</t>
  </si>
  <si>
    <t>Item 2.4 &amp; 2.5 “Operation Manual”</t>
  </si>
  <si>
    <t>Expansion vessel (C1)</t>
  </si>
  <si>
    <t>See “Cooler”</t>
  </si>
  <si>
    <t>Air blast coolers</t>
  </si>
  <si>
    <t>8-1000-182/E</t>
  </si>
  <si>
    <t>Pump motors, Bearings</t>
  </si>
  <si>
    <t>8-1000-104/E</t>
  </si>
  <si>
    <t>Safety valve</t>
  </si>
  <si>
    <t>8-1000-087/E</t>
  </si>
  <si>
    <t>Filter</t>
  </si>
  <si>
    <t>8-9900-002</t>
  </si>
  <si>
    <t>Ion-exchange vessel</t>
  </si>
  <si>
    <t>8-1000-016/E</t>
  </si>
  <si>
    <t>Main strainer</t>
  </si>
  <si>
    <t>8-1000-208/E</t>
  </si>
  <si>
    <t>Conductivity meter</t>
  </si>
  <si>
    <t>FIRING PROTECTION SYSTEM</t>
  </si>
  <si>
    <t>WFS-NTF-6B2202</t>
  </si>
  <si>
    <t>Power supply</t>
  </si>
  <si>
    <t>Air flow filter</t>
  </si>
  <si>
    <t>Piping cleaning</t>
  </si>
  <si>
    <t>Smoke test</t>
  </si>
  <si>
    <t>AIR CONDITION UNITS</t>
  </si>
  <si>
    <t>DEHUMIDIFIERS</t>
  </si>
  <si>
    <t>UPS-SYSTEM</t>
  </si>
  <si>
    <t>CW FAN SILENCERS</t>
  </si>
  <si>
    <t>Cleaning</t>
  </si>
  <si>
    <t>CONVERTER STATION</t>
  </si>
  <si>
    <t>General inspection of the whole station</t>
  </si>
  <si>
    <t>1/52</t>
  </si>
  <si>
    <t>Hours per site (contractor on site and to install the bottles)</t>
  </si>
  <si>
    <t>Hours per site (processing invoices)</t>
  </si>
  <si>
    <t>From Operations Manager 7/5/14</t>
  </si>
  <si>
    <t>Bottles per year</t>
  </si>
  <si>
    <t>Nitrogen Gas</t>
  </si>
  <si>
    <t>Total Cost p.a. (from Operations Manager 7/5/14)</t>
  </si>
  <si>
    <t>Nitrogen Gas (refill)</t>
  </si>
  <si>
    <t>Per bottle (From Operations Manager 7/5/14)</t>
  </si>
  <si>
    <t xml:space="preserve">Container service charge </t>
  </si>
  <si>
    <t>Number of "containers"</t>
  </si>
  <si>
    <t>per month (From Operations Manager 7/5/14)</t>
  </si>
  <si>
    <t>(From Operations Manager 7/5/14)</t>
  </si>
  <si>
    <t>Material Cost per site per month</t>
  </si>
  <si>
    <t>APA GasNet remotely operate the Directlink asset</t>
  </si>
  <si>
    <t>Adjusting for inflation 2008 to 2014</t>
  </si>
  <si>
    <t xml:space="preserve">From the CY14/FY15 OPEX Budget </t>
  </si>
  <si>
    <t xml:space="preserve">Current cost (anecdotal) </t>
  </si>
  <si>
    <t>Converting initial cost to the Reference Year of 2014</t>
  </si>
  <si>
    <t>Average annual rate of Inflation on Control Room Costs</t>
  </si>
  <si>
    <t xml:space="preserve">Before using APA GasNet Directlink used to use Country Energy </t>
  </si>
  <si>
    <t xml:space="preserve">Comprising hourly rate of $5.42 for 4,918.84 hours </t>
  </si>
  <si>
    <t xml:space="preserve">Comprising hourly rate of $5.42 for 3,578.98 hours </t>
  </si>
  <si>
    <t xml:space="preserve">Comprising hourly rate of $5.42 for 3,373.68 hours </t>
  </si>
  <si>
    <t xml:space="preserve">Comprising hourly rate of $5.42 for 2,382.31 hours </t>
  </si>
  <si>
    <t>Average</t>
  </si>
  <si>
    <t>Converting to Reference Year (APA GasNet inflation rate)</t>
  </si>
  <si>
    <t>Converting to Reference Year (Modelled inflation)</t>
  </si>
  <si>
    <t>Cost of the control room (APA GasNet)</t>
  </si>
  <si>
    <t>Mullumbimby Converter Fire occurred in August 2012</t>
  </si>
  <si>
    <t>Directlink continued to operate (with two systems) until July 2013</t>
  </si>
  <si>
    <t>It was turned off in August 2013 for repairs</t>
  </si>
  <si>
    <t>It resumed operation with two converters in Jan 2014 (when another cable fault occurred)</t>
  </si>
  <si>
    <t>Use in September and April would be expected to be lower due to Annual Maintenance</t>
  </si>
  <si>
    <t>While the APA GasNet cost has increased ahead of inflation it is still lower than the cost of using Country Energy</t>
  </si>
  <si>
    <t>Cost</t>
  </si>
  <si>
    <t xml:space="preserve">Average </t>
  </si>
  <si>
    <t xml:space="preserve">The CY14/FY14 Opex Budget allocates </t>
  </si>
  <si>
    <t>Invoices show that the onsite guard has been removed after the security fencing was upgraded</t>
  </si>
  <si>
    <t>Total (for 8 months)</t>
  </si>
  <si>
    <t>From CY14/FY15 OPEX Budget</t>
  </si>
  <si>
    <t xml:space="preserve">From CY14/FY15 OPEX Budget </t>
  </si>
  <si>
    <t>Invoices indicate there are material costs but have not been included</t>
  </si>
  <si>
    <t>Annual Cost of Maintenance Contract</t>
  </si>
  <si>
    <t>Per Annum (Anecdotal value from Operations Manager 7/5/14)</t>
  </si>
  <si>
    <t>Contracted rate per site</t>
  </si>
  <si>
    <t>The aim is to extinguishing any fire before it can destroy the entire converter station (as occurred at Mullumbimby)</t>
  </si>
  <si>
    <t xml:space="preserve">The modelling has assumed that this will be contracted to a specialist fire company </t>
  </si>
  <si>
    <t>Contracted rate per building</t>
  </si>
  <si>
    <t>Per Building Per Inspection (Anecdotal as recommended by Operations manager who indicated the "cost will be three times the cost of maintaining the current fire system")</t>
  </si>
  <si>
    <t>Nominal cost to purchase and replace diesel fuel for the two pumps assumed to be included in the contractor costs</t>
  </si>
  <si>
    <t>Maintenance of the fire extinguishers is contracted to Hawkins on Fire</t>
  </si>
  <si>
    <t>The contractor exchanges extinguishers as required</t>
  </si>
  <si>
    <t>Annual Contractor Costs</t>
  </si>
  <si>
    <t>Hydrant Flow Tests</t>
  </si>
  <si>
    <t>An additional charge is included to undertake hydrant flow tests</t>
  </si>
  <si>
    <t>Annual Contracted Fee (Anecdotal : From Operations Manager 7/5/14)</t>
  </si>
  <si>
    <t>Hawkins On Fire - Contracted rate per 6 months per site</t>
  </si>
  <si>
    <t>This modelling has assumed that the enhanced emergency lighting is installed before July 2015</t>
  </si>
  <si>
    <t>Applied to all labour rates (explained in Appendix A of the report)</t>
  </si>
  <si>
    <t>Anecdotal data taken from email from regulatory manager 24/3/14</t>
  </si>
  <si>
    <t>All the following figures should be considered anecdotal</t>
  </si>
  <si>
    <t xml:space="preserve">Anecdotal - this figure was chosen as a reasonable average Hourly Rate </t>
  </si>
  <si>
    <t>not sighted</t>
  </si>
  <si>
    <t>This has been captured in monthly maintenance hence no additional costs are shown for less frequent maintenance</t>
  </si>
  <si>
    <t>Maintenance Connection will still raise Work Orders for the less frequent maintenance hence a small allowance has been included to process these events</t>
  </si>
  <si>
    <t>Hours per site (this work is captured in the monthly maintenance shown above)</t>
  </si>
  <si>
    <t>Hours per site (there is still a requirement to open and close multiple WOs generated by Maintenance Connection (as listed below))</t>
  </si>
  <si>
    <t>This work is captured in the monthly maintenance</t>
  </si>
  <si>
    <t>future</t>
  </si>
  <si>
    <t>Call out fee</t>
  </si>
  <si>
    <t>per month (Two sites must be visited)</t>
  </si>
  <si>
    <t>per hour (anecdotal from operations manager 7/5/14)</t>
  </si>
  <si>
    <t>Annual Call out fee</t>
  </si>
  <si>
    <t>Hawkins on Fire charge a fixed rate for all the required maintenance + Call out fee</t>
  </si>
  <si>
    <t>The inspection is also required to check for vermin in and around the site</t>
  </si>
  <si>
    <t>Consultants and Technical Compliance</t>
  </si>
  <si>
    <t>Applied to all materials (explained in Appendix A of the report)</t>
  </si>
  <si>
    <t>Home Cost Centre Cost Allocation Percentage</t>
  </si>
  <si>
    <t xml:space="preserve">A cable fault in one cable will shut down the connected converter stations </t>
  </si>
  <si>
    <t>For safety reasons it is necessary to shut down the other converter stations</t>
  </si>
  <si>
    <t>Anecdotal - email from Operations Manager 7/5/14</t>
  </si>
  <si>
    <t>Calculated from the following figures</t>
  </si>
  <si>
    <t>Inv. No.</t>
  </si>
  <si>
    <t>$</t>
  </si>
  <si>
    <t>Civex</t>
  </si>
  <si>
    <t>Thearle</t>
  </si>
  <si>
    <t>NKT</t>
  </si>
  <si>
    <t>JD &amp; LF Reeves</t>
  </si>
  <si>
    <t>includes excavation costs</t>
  </si>
  <si>
    <t>Jan 2013.</t>
  </si>
  <si>
    <t>Treated as anecdotal since invoices were not provided</t>
  </si>
  <si>
    <t xml:space="preserve">Cost of Cable Repairs </t>
  </si>
  <si>
    <t>No digging is required to access the cables when located in GST (above ground)</t>
  </si>
  <si>
    <t>Digging is required when the cable is located underground (either in conduit or buried directly in the soil)</t>
  </si>
  <si>
    <t>Costs include the Specialist Cable Jointer, Electrical Contractor and Heavy lift contractor (to get the cable to the site and install)</t>
  </si>
  <si>
    <t>Barrier Tape / conduit</t>
  </si>
  <si>
    <t>Discussions indicate that 100m lengths are not uncommon</t>
  </si>
  <si>
    <t>metres</t>
  </si>
  <si>
    <t>If the material costs are $0 then it is likely that Capitalise is set to TRUE on the Modelling Assumptions worksheet</t>
  </si>
  <si>
    <t>Material Costs Per Fault</t>
  </si>
  <si>
    <t>APA staff time per fault</t>
  </si>
  <si>
    <t>Contractor Costs Per Fault</t>
  </si>
  <si>
    <t>Fault above ground</t>
  </si>
  <si>
    <t>The cable is cut in two places and the faulty section of cable is removed</t>
  </si>
  <si>
    <t>As such each cable repair requires the installation of TWO cable joints</t>
  </si>
  <si>
    <t xml:space="preserve">The cable must be bought in drums with ABB setting a large minimum order quantity </t>
  </si>
  <si>
    <t>Fault Buried</t>
  </si>
  <si>
    <t>Fault in Transition / GST</t>
  </si>
  <si>
    <t>Fault in Conduit</t>
  </si>
  <si>
    <t>Converted to reference year of 2014</t>
  </si>
  <si>
    <t>Fault underground</t>
  </si>
  <si>
    <t>Average of the two options shown below converted to reference year of 2014</t>
  </si>
  <si>
    <t>There are also concerns about public safety once the trench has been exposed</t>
  </si>
  <si>
    <t xml:space="preserve">Security Fencing and security guards are required </t>
  </si>
  <si>
    <t>The following costs are used in the modelling</t>
  </si>
  <si>
    <t>Total Per Annum in Reference Year (including any clearing for cable repairs)</t>
  </si>
  <si>
    <t>Projection FY13/14</t>
  </si>
  <si>
    <t>For most of this period Directlink was not operational - hence does not include clearing required for cable faults</t>
  </si>
  <si>
    <t>Additional amount required for clearing for cable faults</t>
  </si>
  <si>
    <t>Cost of Vegetation Management</t>
  </si>
  <si>
    <t>FY13/14 (7 months)</t>
  </si>
  <si>
    <t>(includes the chipper charge)</t>
  </si>
  <si>
    <t>In reference year (2014)</t>
  </si>
  <si>
    <t>Security patrols at the two sites</t>
  </si>
  <si>
    <t xml:space="preserve">Alarm System Monitoring </t>
  </si>
  <si>
    <t>Invoices shown below</t>
  </si>
  <si>
    <t>The Operations Manager is required to oversee Directlink, Murraylink and other APA activities</t>
  </si>
  <si>
    <t>In 2015 they are going to be heavily involved with activities associated with the new Mullumbimby Converter Station</t>
  </si>
  <si>
    <t>Total percentage allocated to Directlink</t>
  </si>
  <si>
    <t>During the month of commissioning the majority of the Operations Manager's time will be spent on Directlink</t>
  </si>
  <si>
    <t>Modelling estimates 8 weeks of 4 days spent on DL</t>
  </si>
  <si>
    <t xml:space="preserve">Normal allocation would be </t>
  </si>
  <si>
    <t>Hours spend in the first two months of 2015/16 due to new Mullumbimby converter station</t>
  </si>
  <si>
    <t>Hours that would have been allocated using above percentage</t>
  </si>
  <si>
    <t>Additional Hours in 2015/16</t>
  </si>
  <si>
    <t>Hours 2015/16</t>
  </si>
  <si>
    <t>Modelling APA Staff Costs (Operations Manager)</t>
  </si>
  <si>
    <t>Budget</t>
  </si>
  <si>
    <t>Adjusted to 2014$</t>
  </si>
  <si>
    <t>Cost (2014$)</t>
  </si>
  <si>
    <t>For Labour rates the mid point has been selected</t>
  </si>
  <si>
    <t xml:space="preserve">Exposure to overseas prices for most materials means the model has selected the upper end of the RBA's </t>
  </si>
  <si>
    <t>The modelling has used the Reserve Bank of Australia (RBA) target range of 2 to 3%</t>
  </si>
  <si>
    <t>Since maintenance work always occurs equally at both sites the model simply uses a value of 1 hour</t>
  </si>
  <si>
    <t>MOMCSA</t>
  </si>
  <si>
    <t>Average of Mullumbimby and Bungalora</t>
  </si>
  <si>
    <t>SUGGESTED saving</t>
  </si>
  <si>
    <t>Contract to Procure Electricity for ALL APA assets</t>
  </si>
  <si>
    <t>Annual Saving with national procurement contract</t>
  </si>
  <si>
    <t>Cost without contract</t>
  </si>
  <si>
    <t>FY14/15</t>
  </si>
  <si>
    <t>FY15/16</t>
  </si>
  <si>
    <t>Current</t>
  </si>
  <si>
    <t>Subject to new contract negotiation</t>
  </si>
  <si>
    <t>Final Cost with saving</t>
  </si>
  <si>
    <t>Anecdotal information from Regulatory Manager 8/4/14</t>
  </si>
  <si>
    <t>Contract covers period July 14 to June 16</t>
  </si>
  <si>
    <t>Detailed inspection of the phase reactors in the new Mullumbimby station is not required however vermin inspection of the converter building will still be required</t>
  </si>
  <si>
    <t>Inspection of the converter building for vermin etc</t>
  </si>
  <si>
    <t>Per building</t>
  </si>
  <si>
    <t>Inspection of phase reactors</t>
  </si>
  <si>
    <t>hours (required in 5 out of 6 buildings)</t>
  </si>
  <si>
    <t>Vermin inspection</t>
  </si>
  <si>
    <t>Switching</t>
  </si>
  <si>
    <t>Average times (per start)</t>
  </si>
  <si>
    <t>Anecdotal values discussed with Operations Manager</t>
  </si>
  <si>
    <t xml:space="preserve">Total APA Technician Time </t>
  </si>
  <si>
    <t>Senior Reliability Engineer</t>
  </si>
  <si>
    <t xml:space="preserve">The X-info database should probably be shared with Cable Repairs but is included here </t>
  </si>
  <si>
    <t>Estimated value from Operations Manager 20/3/14</t>
  </si>
  <si>
    <t>Actual breakdown of the requests from Operations Manager</t>
  </si>
  <si>
    <t>Anecdotal discussed with Operations Manager</t>
  </si>
  <si>
    <t>Anecdotal value : The actual number of requests 1/3/13 to 1/3/14 provided by Operations Manager</t>
  </si>
  <si>
    <t>Dial Before You Dig is a national service which allows people intending to do earthworks to check that they are not going to encounter underground cables/pipes</t>
  </si>
  <si>
    <t>Enquires made to Dial Before You Dig which may affect the HVDC cable are passed to APA for checking</t>
  </si>
  <si>
    <t>If there is a chance that the earthworks will affect the cable APA staff must be in attendance during the earthworks (recent rule change)</t>
  </si>
  <si>
    <t>Average monthly cost of the invoices analysed below</t>
  </si>
  <si>
    <t>Monthly cost of alarm monitoring (anecdotal from the CY14/FY15 OPEX Budget)</t>
  </si>
  <si>
    <t>Average Percentage Saving (on Energy Charges)</t>
  </si>
  <si>
    <t>Using the Commercial Retail Margin from NERA Report for AEMC</t>
  </si>
  <si>
    <t>Average Total Saving (on total bill)</t>
  </si>
  <si>
    <t>The bottle are used in pairs - so when changed 2 bottles are replaced</t>
  </si>
  <si>
    <t>Anecdotal Information from Operations Manager</t>
  </si>
  <si>
    <t>July 2011 had multiple outages for cable faults and IGBT faults.</t>
  </si>
  <si>
    <t>System 1 was offline for one day on 14/7/14 and then from 18/7/14 till early August.</t>
  </si>
  <si>
    <t>System 2 was offline until 22/7/14, then again on 29/7/13 for one day.</t>
  </si>
  <si>
    <t>System 3 was offline until 15/7/14 and then from 22/7/14 till early August.</t>
  </si>
  <si>
    <t>Electricity Use and Demand (July 2011 to July 2012)</t>
  </si>
  <si>
    <t>The following usage data comes from the 13 electricity invoices for Bungalora and Mullumbimby for the period immediately before the Mullumbimby fire</t>
  </si>
  <si>
    <t>This period (July 2011 to July 2012) is considered to represent typical electricity use when three converter stations are available</t>
  </si>
  <si>
    <t xml:space="preserve">It was considered desirable to include a full 12 months of electricity use in this analysis </t>
  </si>
  <si>
    <t xml:space="preserve">The choice was between July 2011 and July 2012 </t>
  </si>
  <si>
    <t>Both months show below average use however July 2011 does not reflect normal operation</t>
  </si>
  <si>
    <t>For most of the month only one system was operational and therefore the analysis has used July 2012</t>
  </si>
  <si>
    <t>per week</t>
  </si>
  <si>
    <t>Source: CY14/FY15 OPEX Budget</t>
  </si>
  <si>
    <t>Assumed number of unscheduled IGBT replacements</t>
  </si>
  <si>
    <t>Hours per unscheduled IGBT repair</t>
  </si>
  <si>
    <t>Time Between Maintenance (years)</t>
  </si>
  <si>
    <t>PC</t>
  </si>
  <si>
    <t>Control Specialist</t>
  </si>
  <si>
    <t>A PC is a specialist that has been trained by ABB (or ABB´s subsuppliers) to such a level of competence that the PC can, without any supervision or guidance, take charge of maintenance of the control equipment.</t>
  </si>
  <si>
    <t>PB</t>
  </si>
  <si>
    <t>Breaker Specialist</t>
  </si>
  <si>
    <t>A PB is a specialist that has been trained by ABB (or ABB´s subsuppliers) to such a level of competence that the PB can, without any supervision or guidance, take charge of maintenance of breakers and disconnectors.</t>
  </si>
  <si>
    <t>PX</t>
  </si>
  <si>
    <t>Transformer Specialist</t>
  </si>
  <si>
    <t>A PX is a specialist that has been trained by ABB (or ABB´s subsuppliers) to such a level of competence that the PX can, without any supervision or guidance, take charge of maintenance of power transformers.</t>
  </si>
  <si>
    <t>PV</t>
  </si>
  <si>
    <t>Valve Specialist</t>
  </si>
  <si>
    <t>A PV is a specialist that has been trained by ABB (or ABB´s subsuppliers) to such a level of competence that the PV can, without any supervision or guidance, take charge of maintenance of the converter equipment</t>
  </si>
  <si>
    <t>Mechanic</t>
  </si>
  <si>
    <t>A PM is a person who is able to perform advanced mechanical work with the guidance of drawings and written instructions.</t>
  </si>
  <si>
    <t>Electrician</t>
  </si>
  <si>
    <t>A PE is a person who is able to perform advanced electrical work with the guidance of drawings and written instructions.</t>
  </si>
  <si>
    <t>Helper</t>
  </si>
  <si>
    <t>A helper is a person who can perform work under the direct guidance of a mechanic, an electrician or a specialist.</t>
  </si>
  <si>
    <t>Hours per switch (from ABB recommended maintenance - although this suggests every 3 years)</t>
  </si>
  <si>
    <t xml:space="preserve">This worksheet does not make a material contribution to the total O&amp;M Direct Cost </t>
  </si>
  <si>
    <t>This item only considers maintenance of the motors</t>
  </si>
  <si>
    <t>Hours per mechanism (from the ABB recommended maintenance)</t>
  </si>
  <si>
    <t>Hours per switch (from the ABB recommended maintenance - however this suggests every 3 years)</t>
  </si>
  <si>
    <t>Anecdotally a contractor inspects the spill kits every 6 months</t>
  </si>
  <si>
    <t>Hours per VT (from the ABB recommended maintenance)</t>
  </si>
  <si>
    <t>Anecdotally : "Turn on the tap and ensure that water comes out"</t>
  </si>
  <si>
    <t>Checking of the Eye Wash Station is a health and safety requirement so this worksheet includes APA staff time to ensure that the maintenance is done and LOGS updated</t>
  </si>
  <si>
    <t>Gas capture and replacement is reportedly not part of maintenance (is required for repairs)</t>
  </si>
  <si>
    <t>Hours per building (from the ABB recommended valve maintenance)</t>
  </si>
  <si>
    <t>Hours per arrestor (the ABB maintenance suggests that this will take 1 hour but have used the time suggested by APA staff)</t>
  </si>
  <si>
    <t>Hours per CT (agrees with ABB recommended maintenance)</t>
  </si>
  <si>
    <t>Hours per voltage divider (validated against ABB recommended maintenance)</t>
  </si>
  <si>
    <t>Hours per voltage divider (assumed to be inspection and halved the time recommended on the ABB maintenance schedule)</t>
  </si>
  <si>
    <t>Hours per CT (this is half the value detailed on the ABB recommended maintenance)</t>
  </si>
  <si>
    <t>Hours per CT (as per ABB recommended maintenance for WA.Z1.Z1x.T1)</t>
  </si>
  <si>
    <t>Hours per arrestor (from ABB recommended maintenance)</t>
  </si>
  <si>
    <t>The contract also covers testing of hose reels and hydrants</t>
  </si>
  <si>
    <t>Hours per building (ensuring invoices correctly entered on system and log completed - contractor hours (not used) + additional time to order and invoice required batteries)</t>
  </si>
  <si>
    <t>Hours per pump (aligns with the ABB recommended time)</t>
  </si>
  <si>
    <t>An examination of the Corrective Maintenance tasks showed a considerable number of small "building maintenance related" items</t>
  </si>
  <si>
    <t xml:space="preserve">An allowance has been included to undertake these minor maintenance tasks </t>
  </si>
  <si>
    <t xml:space="preserve">Other costs at the two sites have been included in this worksheet with the costs taken from the CY14/FY15 OPEX budget </t>
  </si>
  <si>
    <t>Inspection of the surge limiters</t>
  </si>
  <si>
    <t>Hours per reactor (assumes that ABB recommended time is per PAIR of fans)</t>
  </si>
  <si>
    <t>Requires measurements and anecdotally is described as "difficult to access"</t>
  </si>
  <si>
    <t xml:space="preserve">Battery replacement as needed </t>
  </si>
  <si>
    <t>Should probably discount for the first year (given the batteries are new) but since this does not make a material difference have ignored</t>
  </si>
  <si>
    <t>Commercial Grade Sealed Lead Acid Battery (7Ah)</t>
  </si>
  <si>
    <t>ABB recommended inspection only checked that the fan motors where running</t>
  </si>
  <si>
    <t>Testing revealed the dehumidifiers were non-operational so fans were only circulating air …</t>
  </si>
  <si>
    <t xml:space="preserve">APA have updated the maintenance procedure to include a functional test of the dehumidifiers </t>
  </si>
  <si>
    <t>This enhanced maintenance is undertaken annually</t>
  </si>
  <si>
    <t>Have used the same cost as Thearle/SAE despite invoices showing Munters costs are somewhat higher</t>
  </si>
  <si>
    <t>Hours per site (Anecdotal: time suggested by the Operations Manager noting that there are three systems at each site)</t>
  </si>
  <si>
    <t>Munters (Onsite OPEX suggests that this might be slightly too high as Mullumbimby only is shown as $1540)</t>
  </si>
  <si>
    <t>Invoices show that repairs are expensive so will accept slightly higher maintenance and $0 for materials</t>
  </si>
  <si>
    <t>Discussions</t>
  </si>
  <si>
    <t>Hours per UPS (discounted time recognising no contractors involved but must still ensure invoices correctly entered on system and log completed)</t>
  </si>
  <si>
    <t>years (2-3 years is reasonable given commercial sealed lead acid battery and the harsh conditions)</t>
  </si>
  <si>
    <t>Thearle/SAE fixed price - Includes writing the report and submitting all required photographic evidence</t>
  </si>
  <si>
    <t>Anecdotal : Discussed with Works Scheduler</t>
  </si>
  <si>
    <t>Those components which are running excessively hot are probably faulty (and require further maintenance)</t>
  </si>
  <si>
    <t>Before testing can commence the control system must be placed in the correct mode</t>
  </si>
  <si>
    <t>Record keeping (locations of the faulty valves)</t>
  </si>
  <si>
    <t>Hours per IGBT valve - As discussed with Work Scheduler (note the ABB maintenance suggests 3 staff for 3 hours)</t>
  </si>
  <si>
    <t>Purchase of 5 capacitors was placed in August 2013 totalling $31700 (From Operation Manager 4/4/14)</t>
  </si>
  <si>
    <t>This worksheet calculates the additional hours (travel) required for the technician at one site to travel to the other site (because the other technician is unavailable)</t>
  </si>
  <si>
    <t>This is only undertaken on this worksheet due to the requirement for monthly maintenance</t>
  </si>
  <si>
    <t>No escalation from 2014$</t>
  </si>
  <si>
    <t>INCIDENTAL INVESTIGATIONS</t>
  </si>
  <si>
    <t>Incidental Investigations</t>
  </si>
  <si>
    <t>Anecdotally the Operations Managers suggested that the cost of the maintenance will be  "three times higher than maintenance of the current fire system"</t>
  </si>
  <si>
    <t>The new sprinkler system is installed before July 2015</t>
  </si>
  <si>
    <t>Hours per building per visit (since occurs monthly have included estimated time for the technician to travel from the other site (refer tab 0000 (1)))</t>
  </si>
  <si>
    <t>Cost of the signs per month (Suggested allowance from the Operations Manager)</t>
  </si>
  <si>
    <t>Figure provided in email from Operations Manager 31/3/14</t>
  </si>
  <si>
    <t>In 2014$</t>
  </si>
  <si>
    <t>Hours per site (Anecdotal: Operations Manager suggests 2 days per building with 3 buildings at each site)</t>
  </si>
  <si>
    <t>Source: OPEX Budget indicates 800 litres required per year</t>
  </si>
  <si>
    <t>Hours per site (minor extra allowance over annual to process the WO created by Maintenance Connection)</t>
  </si>
  <si>
    <t>Hours per site (taking times from ABB recommended maintenance of strainer and ion-exchange vessel)</t>
  </si>
  <si>
    <t>Thearle/SAE (Anecdotal: Works Scheduler stated it was a fixed price for the inspection and report)</t>
  </si>
  <si>
    <t>Anecdotal: Includes hire of the thermal imager (not possible to combine with 0126)</t>
  </si>
  <si>
    <t>Anecdotal: Discussed with the Works Scheduler and the Operations Manager</t>
  </si>
  <si>
    <t>This maintenance is covered as a single item under 0060 (as outlined in discussions with the Works Scheduler)</t>
  </si>
  <si>
    <t>Anecdotal: Provided by Operations Manager</t>
  </si>
  <si>
    <t>Hours per reactor (this task will take several days - but safety briefings will be required each day + assistance)</t>
  </si>
  <si>
    <t>m^2 (from above table)</t>
  </si>
  <si>
    <t>Total Area to be painted</t>
  </si>
  <si>
    <t>All of the following figures were provided anecdotally by the Operations Manager</t>
  </si>
  <si>
    <t>Per Building (Anecdotal: Provided by Operations Manager)</t>
  </si>
  <si>
    <t>Price per reactor for dry ice cleaning (Anecdotal: refer to discussion below)</t>
  </si>
  <si>
    <t>22kg from Dow Corning (Anecdotal: Provided by Operations Manager)</t>
  </si>
  <si>
    <t>16.5 tubs used in the last maintenance cycle (Anecdotal: Operations Manager after discussion with onsite technicians)</t>
  </si>
  <si>
    <t>Hours per reactor (WI requires them to be cleaned and this aligns with ABB's recommended maintenance)</t>
  </si>
  <si>
    <t>Hours per building (Using the recommended hourly figure for ion-exchange maintenance from ABB)</t>
  </si>
  <si>
    <t>The following anecdotal costs were initially developed by the Operations Manager</t>
  </si>
  <si>
    <t>15 year maintenance of the circuit breakers has not been performed before and is not similar to any earlier work</t>
  </si>
  <si>
    <t>Contractor has requested that two APA staff are available throughout the maintenance</t>
  </si>
  <si>
    <t>Hours per circuit breaker (from ABB recommended maintenance)</t>
  </si>
  <si>
    <t xml:space="preserve">OEM instruction requires connection of a meter to make necessary measurements </t>
  </si>
  <si>
    <t>From the ABB recommended maintenance</t>
  </si>
  <si>
    <t>Anecdotal: Provided by Reliability Engineer</t>
  </si>
  <si>
    <t>Deducting time that the cables have been non-operational</t>
  </si>
  <si>
    <t>APA staff member on call is required to dial-in to validate the fault</t>
  </si>
  <si>
    <t>Source: Anecdotally discussed with the Works Scheduler</t>
  </si>
  <si>
    <t>Anecdotal: Analysis provided by the Operations Manager 7/5/14</t>
  </si>
  <si>
    <t>per year (i.e. much more expensive that current strategy so can not be recommended)</t>
  </si>
  <si>
    <t>Source: Invoices</t>
  </si>
  <si>
    <t>Refer to Appendix A of the report for a discussion of these values</t>
  </si>
  <si>
    <t>Anecdotal: CY14/FY15 OPEX Budget combining phone and data charges</t>
  </si>
  <si>
    <t>hour(s) per month</t>
  </si>
  <si>
    <t>Anecdotal: From CY14/FY15 OPEX Budget</t>
  </si>
  <si>
    <t>Travel and accommodation to the two remote sites for APA staff</t>
  </si>
  <si>
    <t>Hourly rate for Senior Reliability Engineer</t>
  </si>
  <si>
    <t>Assumed rate for the Senior Reliability Engineer</t>
  </si>
  <si>
    <t>Assumed to fall between the Engineer and Operations Manager</t>
  </si>
  <si>
    <t>With Escalation (2014$)</t>
  </si>
  <si>
    <t xml:space="preserve">Without Escalation </t>
  </si>
  <si>
    <t>Hourly rate for Work Practices Specialist</t>
  </si>
  <si>
    <t>Hourly rate for APA O&amp;M Supervisor</t>
  </si>
  <si>
    <t>Hourly rate for APA Reliability Engineer</t>
  </si>
  <si>
    <t>Rate for a leading hand</t>
  </si>
  <si>
    <t>Rate for an engineer</t>
  </si>
  <si>
    <t>Assumed rate for the Work Practices Specialist</t>
  </si>
  <si>
    <t>Thereafter</t>
  </si>
  <si>
    <t>Percentage allocated to Directlink</t>
  </si>
  <si>
    <t>Average hours per annum</t>
  </si>
  <si>
    <t xml:space="preserve">APA Standard Week </t>
  </si>
  <si>
    <t>Working weeks per year</t>
  </si>
  <si>
    <t>weeks (52 - 4 weeks annual leave - 10 days of public holidays)</t>
  </si>
  <si>
    <t>Full time hours per year</t>
  </si>
  <si>
    <t>Anecdotal - Source draft CY14/FY15 budget</t>
  </si>
  <si>
    <t>Hour allocated to Directlink</t>
  </si>
  <si>
    <t>Works Planner</t>
  </si>
  <si>
    <t>Hourly rate for APA technicians including HCC</t>
  </si>
  <si>
    <t>Hourly rate for APA O&amp;M Supervisor including HCC</t>
  </si>
  <si>
    <t>Hourly rate for APA Reliability Engineer including HCC</t>
  </si>
  <si>
    <t>Hourly rate for APA Operations Manager including HCC</t>
  </si>
  <si>
    <t>Hourly rate for Senior Reliability Engineer including HCC</t>
  </si>
  <si>
    <t>Hourly rate for Work Practices Specialist including HCC</t>
  </si>
  <si>
    <t>Discussed with the regulatory manager</t>
  </si>
  <si>
    <t xml:space="preserve">Thearle base rate is $65 but most invoices show considerable amounts of overtime at $85 (and also must allow for travel). </t>
  </si>
  <si>
    <t>Anecdotally SAE are quoted as $75 per hour (from O&amp;M Supervisor)</t>
  </si>
  <si>
    <t>O&amp;M Supervisor</t>
  </si>
  <si>
    <t>Assumed to be the rate of a senior technician</t>
  </si>
  <si>
    <t>Hourly rate for Works Planner</t>
  </si>
  <si>
    <t>Assumed rate for the Works Planner</t>
  </si>
  <si>
    <t>Hourly rate for Works Planner including HCC</t>
  </si>
  <si>
    <t>Pasted Values</t>
  </si>
  <si>
    <t>Setting O&amp;M Supervisor cost to $0</t>
  </si>
  <si>
    <t>Setting Technician cost to $0</t>
  </si>
  <si>
    <t>Converting to hours</t>
  </si>
  <si>
    <t>Live APA Staff Values</t>
  </si>
  <si>
    <t>APA Staff Cost from Summary tab</t>
  </si>
  <si>
    <t>Must still process the WO generated by Maintenance Connection (Time PER CAPACITOR)</t>
  </si>
  <si>
    <t xml:space="preserve">It is recognised that APA staff will be required to provide assistance to these consultants </t>
  </si>
  <si>
    <t>The time is captured elsewhere in the model</t>
  </si>
  <si>
    <t>APA O&amp;M Supervisor</t>
  </si>
  <si>
    <t>Schedule the maintenance (ensure contractors are available during the planned outages)</t>
  </si>
  <si>
    <t>Locate the Work Instructions (stored separately from Maintenance Connection)</t>
  </si>
  <si>
    <t>Process contractor invoice including check the invoice is for an approved purchase order</t>
  </si>
  <si>
    <t>Open and Read the preventative maintenance task from Maintenance Connection</t>
  </si>
  <si>
    <t xml:space="preserve">Plan the steps in the Work Order </t>
  </si>
  <si>
    <t>Raise the Purchase Order in the financial management system</t>
  </si>
  <si>
    <t>Assemble and Send detailed work package to the contractors</t>
  </si>
  <si>
    <t>Onsite supervision of the work (especially during major scheduled outages)</t>
  </si>
  <si>
    <t>Complete the work order</t>
  </si>
  <si>
    <t>Attach maintenance results</t>
  </si>
  <si>
    <t xml:space="preserve">Update results fields </t>
  </si>
  <si>
    <t>Close work order</t>
  </si>
  <si>
    <t>Prepare invoice for payment approval by the Operations Manager</t>
  </si>
  <si>
    <t>Debrief with the contractor after work has been completed</t>
  </si>
  <si>
    <t xml:space="preserve">There are two periods when APA schedule preventative maintenance </t>
  </si>
  <si>
    <t>Identify and assess suitable contractors for the work</t>
  </si>
  <si>
    <t xml:space="preserve">Hours per reactor </t>
  </si>
  <si>
    <t>During these two periods it is usual for the O&amp;M Supervisor to be onsite</t>
  </si>
  <si>
    <t>Approximately 5% of the allocated time includes travel time</t>
  </si>
  <si>
    <t>Work Practices Specialist</t>
  </si>
  <si>
    <t xml:space="preserve">Total </t>
  </si>
  <si>
    <t>Working</t>
  </si>
  <si>
    <t xml:space="preserve">The following tables are only valid if the Working section is manually updated </t>
  </si>
  <si>
    <t>APA Staff Costs (Techs)</t>
  </si>
  <si>
    <t>APA Staff Costs (O&amp;M Sup)</t>
  </si>
  <si>
    <t>Work Instruction specifies that the reliability engineer must be present during dry ice cleaning (per building x 5)</t>
  </si>
  <si>
    <t>Refer to Appendix A of the report for a discussion of this role</t>
  </si>
  <si>
    <t>The review of Directlink operations found that there was a need for a Senior Reliability Engineer</t>
  </si>
  <si>
    <t>INDEX</t>
  </si>
  <si>
    <t>Hyperlink to worksheet</t>
  </si>
  <si>
    <t>Electricity use at the converter stations appears to depend on the number of converter stations which are in operation</t>
  </si>
  <si>
    <t>Referring to the following figure:</t>
  </si>
  <si>
    <t>Black Area: No converters operating</t>
  </si>
  <si>
    <t>Purple Area: One converter operating</t>
  </si>
  <si>
    <t>Red Area: Two converters operating</t>
  </si>
  <si>
    <t>Green Area: Three converters operating</t>
  </si>
  <si>
    <t>While the transition between none to one converters in operation and also from one to two converters is clear - the transition between two and three is unclear</t>
  </si>
  <si>
    <t>Also the Peak demand using this 30 minute data is significantly lower than the peak demand shown on the electricity bills (15 minute interval data was not available)</t>
  </si>
  <si>
    <t>Grouping the components from the Single Line Diagram</t>
  </si>
  <si>
    <t>Analysis of the Single Line Diagram</t>
  </si>
  <si>
    <t xml:space="preserve">End-to-End Line Diagram </t>
  </si>
  <si>
    <t>This is the only diagram showing the difference between the two sites (WT area at Bungalora)</t>
  </si>
  <si>
    <t>Minutes</t>
  </si>
  <si>
    <t>Other Worksheets</t>
  </si>
  <si>
    <t>Summary of PMs</t>
  </si>
  <si>
    <t>Chart Summary</t>
  </si>
  <si>
    <t>Blank</t>
  </si>
  <si>
    <t>DL PMs</t>
  </si>
  <si>
    <t>OnSite Contractors</t>
  </si>
  <si>
    <t>DL OPEX Budget</t>
  </si>
  <si>
    <t>Schematics</t>
  </si>
  <si>
    <t>Grouped Components</t>
  </si>
  <si>
    <t>ABB Maintenance</t>
  </si>
  <si>
    <t>Electricity Invoices</t>
  </si>
  <si>
    <t>Maintenance Documents</t>
  </si>
  <si>
    <t>Components in Schematic</t>
  </si>
  <si>
    <t>As shown in the Report</t>
  </si>
  <si>
    <t>Summary Worksheets</t>
  </si>
  <si>
    <t>Supporting Worksheets</t>
  </si>
  <si>
    <t>Costed Worksheets</t>
  </si>
  <si>
    <t>Return to Index</t>
  </si>
  <si>
    <t>Modelling has assumed that the new Mullumbimby converter will have a new control system</t>
  </si>
  <si>
    <t xml:space="preserve">This new control system will not have as many faults as the existing controllers </t>
  </si>
  <si>
    <t>per year</t>
  </si>
  <si>
    <t>Operation and Maintenance Model (O&amp;M Model)</t>
  </si>
  <si>
    <t>Presents a bottom up cost study of the Directlink HVDC link</t>
  </si>
  <si>
    <t>Read Me</t>
  </si>
  <si>
    <t xml:space="preserve">Disclaimer </t>
  </si>
  <si>
    <t>Asset Mgt Team</t>
  </si>
  <si>
    <t>Anecdotal per metre</t>
  </si>
  <si>
    <t>Anecdotal per cable joint (two required per repair)</t>
  </si>
  <si>
    <r>
      <t xml:space="preserve">Information shown in </t>
    </r>
    <r>
      <rPr>
        <sz val="11"/>
        <color rgb="FFFF0000"/>
        <rFont val="Calibri"/>
        <family val="2"/>
        <scheme val="minor"/>
      </rPr>
      <t>Red</t>
    </r>
    <r>
      <rPr>
        <sz val="11"/>
        <color theme="1"/>
        <rFont val="Calibri"/>
        <family val="2"/>
        <scheme val="minor"/>
      </rPr>
      <t xml:space="preserve"> have been estimated by Phacelift</t>
    </r>
  </si>
  <si>
    <r>
      <t xml:space="preserve">Information shown in </t>
    </r>
    <r>
      <rPr>
        <sz val="11"/>
        <color rgb="FF0070C0"/>
        <rFont val="Calibri"/>
        <family val="2"/>
        <scheme val="minor"/>
      </rPr>
      <t>Blue</t>
    </r>
    <r>
      <rPr>
        <sz val="11"/>
        <color theme="1"/>
        <rFont val="Calibri"/>
        <family val="2"/>
        <scheme val="minor"/>
      </rPr>
      <t xml:space="preserve"> have been discussed with APA staff</t>
    </r>
  </si>
  <si>
    <t xml:space="preserve">not sighted </t>
  </si>
  <si>
    <t>Refer to worksheet Modelling Assumptions to change the percentage</t>
  </si>
  <si>
    <t>Anecdotal figure suggested during discussions with O&amp;M Supervisor</t>
  </si>
  <si>
    <t>Estimate as a nominal amount for grease per CT</t>
  </si>
  <si>
    <t>No maintenance has been costed for this PM - OEM instructions indicate 5 year maintenance not required</t>
  </si>
  <si>
    <t>Hours per wall bushing (from the ABB recommended maintenance)</t>
  </si>
  <si>
    <t xml:space="preserve">per year due to converter station trip when more than 4 IGBTs fail in a single valve </t>
  </si>
  <si>
    <t>Anecdotal: "Two repairs on each system per year" (verbal estimate provided by Operations Manager)</t>
  </si>
  <si>
    <t>Discount for O&amp;M Supervisor time</t>
  </si>
  <si>
    <t>since relationship with contractor is well established</t>
  </si>
  <si>
    <t xml:space="preserve">Anecdotal: Discussions with O&amp;M Supervisor </t>
  </si>
  <si>
    <t>hour per week (allocated at the rate of the O&amp;M Supervisor since they will have to be approved)</t>
  </si>
  <si>
    <t>Directlink is operated in accordance with the Management Operations, Maintenance and Commercial Services Agreement (the MOMCSA)</t>
  </si>
  <si>
    <t>KEY for information shown in the worksheets</t>
  </si>
  <si>
    <t>This O&amp;M Model its findings and its outcomes have been prepared for distribution to the Directlink Joint Venture (“the company”) and the Australian Energy Regulator (AER) in accordance with the agreed scope of work and associated terms and conditions.  Phacelift Consulting Services Pty Ltd and its staff (“Phacelift”) disclaim any assumption of responsibility for any reliance on this model to any person other than the company or AER or for any purpose other than that for which it was prepared.  Whilst Phacelift has prepared this model with due care and skill, it is a condition on the use of this model by the company that: (a) any compensation for liability made by the company on Phacelift in relation to the advice or content provided in the model be limited to a payment which is equal to the fees paid for that advice; and (b) the company indemnify Phacelift for any other loss suffered by the company following any negligence claim made against Phacelift.</t>
  </si>
  <si>
    <t xml:space="preserve">The bottles remain the property of BOC with a monthly rental fee covering the hire of the bottle </t>
  </si>
  <si>
    <t>Directlink must also purchase the nitrogen gas they use</t>
  </si>
  <si>
    <t>The MOMCSA requires a margin to be applied to all costs incurred in the operation and maintenance of Directlink</t>
  </si>
  <si>
    <t>Costs shown on individual worksheets describing maintenance tasks are the actual incurred costs and do not include the margin</t>
  </si>
  <si>
    <t>Costs shown on the Summary Sheets have been adjusted and include the margin</t>
  </si>
  <si>
    <t xml:space="preserve">The applicable margin percentage is included in the Modelling Assumptions worksheet </t>
  </si>
  <si>
    <t>Anecdotal average from a recent order</t>
  </si>
  <si>
    <t>Anecdotal per IGBT</t>
  </si>
  <si>
    <t xml:space="preserve">Select if the component cost is capitalised (if TRUE then value is excluded from OPEX forecast) </t>
  </si>
  <si>
    <t>APA Onsite Technicians</t>
  </si>
  <si>
    <t xml:space="preserve">The sprinkler system will consist of </t>
  </si>
  <si>
    <t>The first system is a sprinkler system</t>
  </si>
  <si>
    <t>Hours per site (raise and close work order, check log completed and catalogue photographs)</t>
  </si>
  <si>
    <t>Test pull the cord out of the back and test it survives, must be done sequentially</t>
  </si>
  <si>
    <t>minutes (pull the cord out of the back and test it survives, must be done on each UPS separately and sequentially)</t>
  </si>
  <si>
    <t>Yard Maintenance</t>
  </si>
  <si>
    <t>Functional Test of High Voltage Test Equipment</t>
  </si>
  <si>
    <t>Hours per month (entering invoices and cataloguing provided photographs)</t>
  </si>
  <si>
    <t>Hours per CT (not shown on the ABB maintenance - however anecdotal discussions highlighted maintenance including application of grease)</t>
  </si>
  <si>
    <t>Only shown on the single line diagram - Not shown in ABB schematic</t>
  </si>
  <si>
    <t>Capacitive Voltage Transformers</t>
  </si>
  <si>
    <t>Rogowski Current Transformers</t>
  </si>
  <si>
    <t>Hall Effect Current Transformers</t>
  </si>
  <si>
    <t>Additional testing is only done periodically</t>
  </si>
  <si>
    <t xml:space="preserve">Non-operational status of the dehumidifiers was confirmed from testing by the OEM </t>
  </si>
  <si>
    <t>This is a placeholder and is not being used on this worksheet</t>
  </si>
  <si>
    <t>Due to the number of components the thermal imaging equipment must be hired separately (cannot be combined with the Thermographic inspection listed in Worksheet 0054)</t>
  </si>
  <si>
    <t>The inspection must check the phase reactors at BOTH ends of the link</t>
  </si>
  <si>
    <t>The start date of the repair is driven by the availability of required contractors</t>
  </si>
  <si>
    <t>Hours per unscheduled IGBT repair (raise wo, raise po, close wo, enter po on system + capturing details)</t>
  </si>
  <si>
    <t>1990's designed computer based on Pentium computer chip with superseded PCI interface slots (for the OEM cards)</t>
  </si>
  <si>
    <t>Anecdotal explanation for using the average cost from invoices  : "May not include patrols at Mullumbimby" (Operations Manager 7/5/14)</t>
  </si>
  <si>
    <t xml:space="preserve">During 2015/16 commissioning of the new Mullumbimby Converter station will be occurring </t>
  </si>
  <si>
    <t>Vegetation Management and Yard Maintenance are both undertaken by Bryon Bay Trees</t>
  </si>
  <si>
    <t xml:space="preserve">Vegetation Management occurs along the cable route - which follows a railway corridor </t>
  </si>
  <si>
    <t>Asset Management Plan</t>
  </si>
  <si>
    <t xml:space="preserve">While this briefing only takes 30 minutes (anecdotal) it occurs at both sites </t>
  </si>
  <si>
    <t>DL-WI-30 &amp; DL-WI-38</t>
  </si>
  <si>
    <t>DL-WI-35 (does not include WT1.R1)</t>
  </si>
  <si>
    <t>Not sighted (OEM maintenance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</si>
</sst>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8" formatCode="&quot;$&quot;#,##0.00;[Red]\-&quot;$&quot;#,##0.00"/>
    <numFmt numFmtId="42" formatCode="_-&quot;$&quot;* #,##0_-;\-&quot;$&quot;* #,##0_-;_-&quot;$&quot;* &quot;-&quot;_-;_-@_-"/>
    <numFmt numFmtId="44" formatCode="_-&quot;$&quot;* #,##0.00_-;\-&quot;$&quot;* #,##0.00_-;_-&quot;$&quot;* &quot;-&quot;??_-;_-@_-"/>
    <numFmt numFmtId="164" formatCode="dd/mm/yyyy"/>
    <numFmt numFmtId="165" formatCode="0000"/>
    <numFmt numFmtId="166" formatCode="&quot;$&quot;#,##0.00"/>
    <numFmt numFmtId="167" formatCode="0.0"/>
    <numFmt numFmtId="168" formatCode="0.0%"/>
    <numFmt numFmtId="169" formatCode="0.000"/>
    <numFmt numFmtId="170" formatCode="&quot;$&quot;#,##0"/>
    <numFmt numFmtId="171" formatCode="#,##0_ ;\-#,##0\ "/>
  </numFmts>
  <fonts count="4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rgb="FF315AAD"/>
      <name val="Calibri"/>
      <family val="2"/>
      <scheme val="minor"/>
    </font>
    <font>
      <sz val="11"/>
      <name val="Calibri"/>
      <family val="2"/>
      <scheme val="minor"/>
    </font>
    <font>
      <sz val="11"/>
      <color rgb="FF0070C0"/>
      <name val="Calibri"/>
      <family val="2"/>
      <scheme val="minor"/>
    </font>
    <font>
      <b/>
      <sz val="8"/>
      <color rgb="FF000000"/>
      <name val="Arial"/>
      <family val="2"/>
    </font>
    <font>
      <sz val="8"/>
      <color theme="1"/>
      <name val="Arial"/>
      <family val="2"/>
    </font>
    <font>
      <sz val="11"/>
      <color theme="0" tint="-0.499984740745262"/>
      <name val="Calibri"/>
      <family val="2"/>
      <scheme val="minor"/>
    </font>
    <font>
      <b/>
      <sz val="11"/>
      <name val="Calibri"/>
      <family val="2"/>
      <scheme val="minor"/>
    </font>
    <font>
      <sz val="11"/>
      <color theme="0" tint="-0.14999847407452621"/>
      <name val="Calibri"/>
      <family val="2"/>
      <scheme val="minor"/>
    </font>
    <font>
      <sz val="11"/>
      <color theme="0" tint="-0.34998626667073579"/>
      <name val="Calibri"/>
      <family val="2"/>
      <scheme val="minor"/>
    </font>
    <font>
      <sz val="10"/>
      <color theme="1"/>
      <name val="Arial"/>
      <family val="2"/>
    </font>
    <font>
      <sz val="10"/>
      <color theme="1"/>
      <name val="Calibri"/>
      <family val="2"/>
      <scheme val="minor"/>
    </font>
    <font>
      <b/>
      <u/>
      <sz val="16"/>
      <color theme="1"/>
      <name val="Arial"/>
      <family val="2"/>
    </font>
    <font>
      <b/>
      <sz val="14"/>
      <color theme="1"/>
      <name val="Arial"/>
      <family val="2"/>
    </font>
    <font>
      <b/>
      <sz val="11"/>
      <color theme="1"/>
      <name val="Arial"/>
      <family val="2"/>
    </font>
    <font>
      <b/>
      <sz val="11"/>
      <color rgb="FFFF0000"/>
      <name val="Wingdings"/>
      <charset val="2"/>
    </font>
    <font>
      <b/>
      <sz val="11"/>
      <color rgb="FF7030A0"/>
      <name val="Calibri"/>
      <family val="2"/>
      <scheme val="minor"/>
    </font>
    <font>
      <b/>
      <sz val="11"/>
      <color rgb="FFFF0000"/>
      <name val="Calibri"/>
      <family val="2"/>
      <scheme val="minor"/>
    </font>
    <font>
      <sz val="8"/>
      <color theme="1"/>
      <name val="Calibri"/>
      <family val="2"/>
      <scheme val="minor"/>
    </font>
    <font>
      <sz val="10"/>
      <name val="Arial"/>
      <family val="2"/>
    </font>
    <font>
      <sz val="14"/>
      <color theme="1"/>
      <name val="Calibri"/>
      <family val="2"/>
      <scheme val="minor"/>
    </font>
    <font>
      <b/>
      <sz val="14"/>
      <color theme="1"/>
      <name val="Calibri"/>
      <family val="2"/>
      <scheme val="minor"/>
    </font>
    <font>
      <b/>
      <sz val="14"/>
      <name val="Arial"/>
      <family val="2"/>
    </font>
    <font>
      <b/>
      <sz val="12"/>
      <name val="Arial"/>
      <family val="2"/>
    </font>
    <font>
      <b/>
      <sz val="10"/>
      <name val="Arial"/>
      <family val="2"/>
    </font>
    <font>
      <b/>
      <i/>
      <sz val="10"/>
      <name val="Arial"/>
      <family val="2"/>
    </font>
    <font>
      <i/>
      <sz val="10"/>
      <name val="Arial"/>
      <family val="2"/>
    </font>
    <font>
      <sz val="11"/>
      <color rgb="FF000000"/>
      <name val="Calibri"/>
      <family val="2"/>
      <scheme val="minor"/>
    </font>
    <font>
      <u/>
      <sz val="11"/>
      <color theme="1"/>
      <name val="Calibri"/>
      <family val="2"/>
      <scheme val="minor"/>
    </font>
    <font>
      <u/>
      <sz val="8"/>
      <color theme="1"/>
      <name val="Calibri"/>
      <family val="2"/>
      <scheme val="minor"/>
    </font>
    <font>
      <u/>
      <sz val="10"/>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6E6E6"/>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48118533890809E-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rgb="FFF2F2F2"/>
        <bgColor indexed="64"/>
      </patternFill>
    </fill>
    <fill>
      <patternFill patternType="solid">
        <fgColor theme="6" tint="0.59996337778862885"/>
        <bgColor indexed="64"/>
      </patternFill>
    </fill>
    <fill>
      <patternFill patternType="solid">
        <fgColor theme="7" tint="0.59996337778862885"/>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CCCCCC"/>
      </top>
      <bottom style="medium">
        <color rgb="FFCCCCCC"/>
      </bottom>
      <diagonal/>
    </border>
    <border>
      <left style="thin">
        <color rgb="FF000000"/>
      </left>
      <right style="medium">
        <color rgb="FFCCCCCC"/>
      </right>
      <top style="thin">
        <color rgb="FF000000"/>
      </top>
      <bottom style="medium">
        <color rgb="FFCCCCCC"/>
      </bottom>
      <diagonal/>
    </border>
    <border>
      <left/>
      <right style="medium">
        <color rgb="FFCCCCCC"/>
      </right>
      <top style="thin">
        <color rgb="FF000000"/>
      </top>
      <bottom style="medium">
        <color rgb="FFCCCCCC"/>
      </bottom>
      <diagonal/>
    </border>
    <border>
      <left/>
      <right style="thin">
        <color rgb="FF000000"/>
      </right>
      <top style="thin">
        <color rgb="FF000000"/>
      </top>
      <bottom style="medium">
        <color rgb="FFCCCCCC"/>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double">
        <color auto="1"/>
      </top>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36" fillId="0" borderId="0"/>
  </cellStyleXfs>
  <cellXfs count="356">
    <xf numFmtId="0" fontId="0" fillId="0" borderId="0" xfId="0"/>
    <xf numFmtId="0" fontId="0" fillId="0" borderId="0" xfId="0" applyAlignment="1">
      <alignment horizontal="left" indent="1"/>
    </xf>
    <xf numFmtId="0" fontId="0" fillId="0" borderId="0" xfId="0" applyAlignment="1">
      <alignment horizontal="left" vertical="top" wrapText="1" indent="1"/>
    </xf>
    <xf numFmtId="0" fontId="16" fillId="0" borderId="10" xfId="0" applyFont="1" applyBorder="1" applyAlignment="1">
      <alignment horizontal="left" vertical="center" wrapText="1" indent="1"/>
    </xf>
    <xf numFmtId="0" fontId="16" fillId="0" borderId="0" xfId="0" applyFont="1" applyAlignment="1">
      <alignment horizontal="left" vertical="top" wrapText="1" indent="1"/>
    </xf>
    <xf numFmtId="14" fontId="0" fillId="0" borderId="0" xfId="0" applyNumberFormat="1"/>
    <xf numFmtId="0" fontId="0" fillId="0" borderId="0" xfId="0" applyNumberFormat="1"/>
    <xf numFmtId="0" fontId="14" fillId="0" borderId="0" xfId="0" applyFont="1"/>
    <xf numFmtId="0" fontId="16" fillId="0" borderId="0" xfId="0" applyFont="1"/>
    <xf numFmtId="0" fontId="18" fillId="0" borderId="0" xfId="42" applyAlignment="1">
      <alignment horizontal="center"/>
    </xf>
    <xf numFmtId="0" fontId="0" fillId="33" borderId="0" xfId="0" applyFill="1"/>
    <xf numFmtId="0" fontId="0" fillId="34" borderId="0" xfId="0" applyFill="1"/>
    <xf numFmtId="0" fontId="0" fillId="35" borderId="0" xfId="0" applyFill="1"/>
    <xf numFmtId="9" fontId="14" fillId="0" borderId="0" xfId="0" applyNumberFormat="1" applyFont="1"/>
    <xf numFmtId="0" fontId="19" fillId="0" borderId="0" xfId="0" applyFont="1"/>
    <xf numFmtId="0" fontId="20" fillId="0" borderId="0" xfId="0" applyFont="1"/>
    <xf numFmtId="0" fontId="0" fillId="36" borderId="0" xfId="0" applyFill="1"/>
    <xf numFmtId="0" fontId="0" fillId="0" borderId="0" xfId="0" applyAlignment="1">
      <alignment horizontal="center"/>
    </xf>
    <xf numFmtId="0" fontId="16" fillId="0" borderId="0" xfId="0" applyFont="1" applyAlignment="1">
      <alignment horizontal="left"/>
    </xf>
    <xf numFmtId="0" fontId="21" fillId="37" borderId="11" xfId="0" applyFont="1" applyFill="1" applyBorder="1" applyAlignment="1">
      <alignment horizontal="center" vertical="top" wrapText="1" readingOrder="1"/>
    </xf>
    <xf numFmtId="0" fontId="21" fillId="37" borderId="12" xfId="0" applyFont="1" applyFill="1" applyBorder="1" applyAlignment="1">
      <alignment horizontal="center" vertical="top" wrapText="1" readingOrder="1"/>
    </xf>
    <xf numFmtId="0" fontId="21" fillId="37" borderId="12" xfId="0" applyFont="1" applyFill="1" applyBorder="1" applyAlignment="1">
      <alignment horizontal="left" vertical="top" wrapText="1" readingOrder="1"/>
    </xf>
    <xf numFmtId="0" fontId="21" fillId="37" borderId="13" xfId="0" applyFont="1" applyFill="1" applyBorder="1" applyAlignment="1">
      <alignment horizontal="center" vertical="top" wrapText="1" readingOrder="1"/>
    </xf>
    <xf numFmtId="17" fontId="22" fillId="0" borderId="14" xfId="0" applyNumberFormat="1" applyFont="1" applyBorder="1" applyAlignment="1">
      <alignment horizontal="left" wrapText="1" readingOrder="1"/>
    </xf>
    <xf numFmtId="0" fontId="22" fillId="0" borderId="14" xfId="0" applyFont="1" applyBorder="1" applyAlignment="1">
      <alignment horizontal="left" wrapText="1" readingOrder="1"/>
    </xf>
    <xf numFmtId="0" fontId="22" fillId="0" borderId="14" xfId="0" applyFont="1" applyBorder="1" applyAlignment="1">
      <alignment horizontal="right" vertical="center" wrapText="1" readingOrder="1"/>
    </xf>
    <xf numFmtId="4" fontId="22" fillId="0" borderId="14" xfId="0" applyNumberFormat="1" applyFont="1" applyBorder="1" applyAlignment="1">
      <alignment horizontal="right" vertical="center" wrapText="1" readingOrder="1"/>
    </xf>
    <xf numFmtId="15" fontId="22" fillId="0" borderId="14" xfId="0" applyNumberFormat="1" applyFont="1" applyBorder="1" applyAlignment="1">
      <alignment horizontal="left" vertical="center" wrapText="1" readingOrder="1"/>
    </xf>
    <xf numFmtId="0" fontId="0" fillId="0" borderId="0" xfId="0" applyAlignment="1"/>
    <xf numFmtId="164" fontId="0" fillId="0" borderId="0" xfId="0" applyNumberFormat="1"/>
    <xf numFmtId="0" fontId="0" fillId="0" borderId="0" xfId="0" applyAlignment="1">
      <alignment horizontal="right"/>
    </xf>
    <xf numFmtId="0" fontId="0" fillId="0" borderId="0" xfId="0" applyAlignment="1">
      <alignment vertical="top" wrapText="1"/>
    </xf>
    <xf numFmtId="0" fontId="0" fillId="0" borderId="0" xfId="0" applyNumberFormat="1" applyAlignment="1">
      <alignment vertical="top" wrapText="1"/>
    </xf>
    <xf numFmtId="6" fontId="0" fillId="0" borderId="0" xfId="0" applyNumberFormat="1"/>
    <xf numFmtId="0" fontId="0" fillId="0" borderId="0" xfId="0" applyFont="1"/>
    <xf numFmtId="0" fontId="16" fillId="0" borderId="0" xfId="0" applyFont="1" applyBorder="1" applyAlignment="1">
      <alignment horizontal="left" vertical="top" wrapText="1" indent="1"/>
    </xf>
    <xf numFmtId="0" fontId="0" fillId="0" borderId="0" xfId="0" applyBorder="1" applyAlignment="1">
      <alignment horizontal="left" indent="1"/>
    </xf>
    <xf numFmtId="0" fontId="0" fillId="0" borderId="0" xfId="0" applyBorder="1" applyAlignment="1">
      <alignment horizontal="left" vertical="top" wrapText="1" indent="1"/>
    </xf>
    <xf numFmtId="0" fontId="0" fillId="0" borderId="0" xfId="0" applyFill="1"/>
    <xf numFmtId="0" fontId="23" fillId="0" borderId="0" xfId="0" applyFont="1"/>
    <xf numFmtId="6" fontId="19" fillId="0" borderId="0" xfId="0" applyNumberFormat="1" applyFont="1"/>
    <xf numFmtId="6" fontId="14" fillId="0" borderId="0" xfId="0" applyNumberFormat="1" applyFont="1"/>
    <xf numFmtId="0" fontId="24" fillId="0" borderId="0" xfId="0" applyFont="1"/>
    <xf numFmtId="0" fontId="23" fillId="36" borderId="0" xfId="0" applyFont="1" applyFill="1"/>
    <xf numFmtId="0" fontId="23" fillId="33" borderId="0" xfId="0" applyFont="1" applyFill="1"/>
    <xf numFmtId="0" fontId="19" fillId="36" borderId="0" xfId="0" applyFont="1" applyFill="1"/>
    <xf numFmtId="0" fontId="19" fillId="0" borderId="0" xfId="0" applyFont="1" applyAlignment="1">
      <alignment horizontal="right"/>
    </xf>
    <xf numFmtId="8" fontId="19" fillId="0" borderId="0" xfId="0" applyNumberFormat="1" applyFont="1"/>
    <xf numFmtId="0" fontId="19" fillId="34" borderId="0" xfId="0" applyFont="1" applyFill="1"/>
    <xf numFmtId="0" fontId="0" fillId="0" borderId="0" xfId="0" applyAlignment="1">
      <alignment vertical="top"/>
    </xf>
    <xf numFmtId="167" fontId="0" fillId="0" borderId="0" xfId="0" applyNumberFormat="1"/>
    <xf numFmtId="165" fontId="0" fillId="0" borderId="0" xfId="0" quotePrefix="1" applyNumberFormat="1" applyAlignment="1">
      <alignment horizontal="right"/>
    </xf>
    <xf numFmtId="0" fontId="0" fillId="0" borderId="0" xfId="0" applyAlignment="1">
      <alignment wrapText="1"/>
    </xf>
    <xf numFmtId="6" fontId="0" fillId="0" borderId="0" xfId="0" applyNumberFormat="1" applyAlignment="1">
      <alignment vertical="top" wrapText="1"/>
    </xf>
    <xf numFmtId="167" fontId="14" fillId="0" borderId="0" xfId="0" applyNumberFormat="1" applyFont="1"/>
    <xf numFmtId="6" fontId="20" fillId="0" borderId="0" xfId="0" applyNumberFormat="1" applyFont="1"/>
    <xf numFmtId="8" fontId="20" fillId="0" borderId="0" xfId="0" applyNumberFormat="1" applyFont="1"/>
    <xf numFmtId="0" fontId="14" fillId="0" borderId="0" xfId="0" applyNumberFormat="1" applyFont="1"/>
    <xf numFmtId="0" fontId="19" fillId="0" borderId="0" xfId="0" applyFont="1" applyAlignment="1">
      <alignment wrapText="1"/>
    </xf>
    <xf numFmtId="0" fontId="19" fillId="33" borderId="0" xfId="0" applyFont="1" applyFill="1"/>
    <xf numFmtId="6" fontId="14" fillId="33" borderId="0" xfId="0" applyNumberFormat="1" applyFont="1" applyFill="1"/>
    <xf numFmtId="2" fontId="0" fillId="0" borderId="0" xfId="0" applyNumberFormat="1"/>
    <xf numFmtId="0" fontId="0" fillId="0" borderId="0" xfId="0" applyAlignment="1">
      <alignment horizontal="right" wrapText="1"/>
    </xf>
    <xf numFmtId="14" fontId="0" fillId="0" borderId="0" xfId="0" applyNumberFormat="1" applyAlignment="1">
      <alignment horizontal="left"/>
    </xf>
    <xf numFmtId="0" fontId="0" fillId="0" borderId="0" xfId="0" applyAlignment="1">
      <alignment horizontal="center" vertical="top" wrapText="1"/>
    </xf>
    <xf numFmtId="0" fontId="19" fillId="0" borderId="15" xfId="0" applyFont="1" applyBorder="1"/>
    <xf numFmtId="0" fontId="19" fillId="0" borderId="15" xfId="0" applyFont="1" applyBorder="1" applyAlignment="1">
      <alignment wrapText="1"/>
    </xf>
    <xf numFmtId="2" fontId="20" fillId="0" borderId="0" xfId="0" applyNumberFormat="1" applyFont="1"/>
    <xf numFmtId="0" fontId="14" fillId="36" borderId="0" xfId="0" applyFont="1" applyFill="1"/>
    <xf numFmtId="8" fontId="0" fillId="0" borderId="0" xfId="0" applyNumberFormat="1"/>
    <xf numFmtId="0" fontId="0" fillId="0" borderId="0" xfId="0" applyAlignment="1">
      <alignment horizontal="center" wrapText="1"/>
    </xf>
    <xf numFmtId="0" fontId="19" fillId="0" borderId="0" xfId="0" applyNumberFormat="1" applyFont="1"/>
    <xf numFmtId="2" fontId="19" fillId="0" borderId="0" xfId="0" applyNumberFormat="1" applyFont="1"/>
    <xf numFmtId="0" fontId="20" fillId="0" borderId="0" xfId="0" applyNumberFormat="1" applyFont="1"/>
    <xf numFmtId="169" fontId="20" fillId="0" borderId="0" xfId="0" applyNumberFormat="1" applyFont="1"/>
    <xf numFmtId="1" fontId="20" fillId="0" borderId="0" xfId="0" applyNumberFormat="1" applyFont="1"/>
    <xf numFmtId="0" fontId="20" fillId="35" borderId="0" xfId="0" applyFont="1" applyFill="1"/>
    <xf numFmtId="9" fontId="20" fillId="0" borderId="0" xfId="0" applyNumberFormat="1" applyFont="1"/>
    <xf numFmtId="167" fontId="20" fillId="0" borderId="0" xfId="0" applyNumberFormat="1" applyFont="1"/>
    <xf numFmtId="0" fontId="19" fillId="0" borderId="0" xfId="0" applyFont="1" applyAlignment="1"/>
    <xf numFmtId="6" fontId="0" fillId="33" borderId="0" xfId="0" applyNumberFormat="1" applyFill="1"/>
    <xf numFmtId="6" fontId="0" fillId="0" borderId="0" xfId="0" applyNumberFormat="1" applyFill="1"/>
    <xf numFmtId="9" fontId="14" fillId="0" borderId="0" xfId="0" applyNumberFormat="1" applyFont="1" applyFill="1"/>
    <xf numFmtId="0" fontId="25" fillId="0" borderId="0" xfId="0" applyFont="1"/>
    <xf numFmtId="2" fontId="25" fillId="0" borderId="0" xfId="0" applyNumberFormat="1" applyFont="1"/>
    <xf numFmtId="0" fontId="0" fillId="33" borderId="0" xfId="0" applyFont="1" applyFill="1"/>
    <xf numFmtId="170" fontId="0" fillId="33" borderId="0" xfId="0" applyNumberFormat="1" applyFont="1" applyFill="1"/>
    <xf numFmtId="0" fontId="19" fillId="0" borderId="0" xfId="0" applyFont="1" applyAlignment="1">
      <alignment horizontal="right" wrapText="1"/>
    </xf>
    <xf numFmtId="0" fontId="16" fillId="39" borderId="0" xfId="0" applyFont="1" applyFill="1"/>
    <xf numFmtId="0" fontId="0" fillId="39" borderId="0" xfId="0" applyFill="1"/>
    <xf numFmtId="170" fontId="0" fillId="0" borderId="0" xfId="0" applyNumberFormat="1"/>
    <xf numFmtId="17" fontId="0" fillId="0" borderId="0" xfId="0" applyNumberFormat="1"/>
    <xf numFmtId="4" fontId="0" fillId="0" borderId="0" xfId="0" applyNumberFormat="1"/>
    <xf numFmtId="9" fontId="0" fillId="0" borderId="0" xfId="44" applyFont="1"/>
    <xf numFmtId="0" fontId="0" fillId="38" borderId="0" xfId="0" applyFill="1"/>
    <xf numFmtId="0" fontId="26" fillId="0" borderId="0" xfId="0" applyFont="1" applyAlignment="1">
      <alignment wrapText="1"/>
    </xf>
    <xf numFmtId="6" fontId="26" fillId="0" borderId="0" xfId="0" applyNumberFormat="1" applyFont="1"/>
    <xf numFmtId="0" fontId="0" fillId="40" borderId="0" xfId="0" applyFill="1"/>
    <xf numFmtId="170" fontId="0" fillId="40" borderId="0" xfId="0" applyNumberFormat="1" applyFill="1"/>
    <xf numFmtId="166" fontId="0" fillId="0" borderId="0" xfId="0" applyNumberFormat="1"/>
    <xf numFmtId="6" fontId="0" fillId="0" borderId="0" xfId="44" applyNumberFormat="1" applyFont="1"/>
    <xf numFmtId="168" fontId="0" fillId="0" borderId="0" xfId="44" applyNumberFormat="1" applyFont="1"/>
    <xf numFmtId="6" fontId="26" fillId="0" borderId="0" xfId="0" applyNumberFormat="1" applyFont="1" applyAlignment="1">
      <alignment horizontal="center"/>
    </xf>
    <xf numFmtId="0" fontId="0" fillId="41" borderId="0" xfId="0" applyFill="1"/>
    <xf numFmtId="0" fontId="27" fillId="0" borderId="0" xfId="0" applyFont="1" applyAlignment="1">
      <alignment vertical="center"/>
    </xf>
    <xf numFmtId="10" fontId="20" fillId="0" borderId="0" xfId="44" applyNumberFormat="1" applyFont="1"/>
    <xf numFmtId="0" fontId="24" fillId="33" borderId="0" xfId="0" applyFont="1" applyFill="1"/>
    <xf numFmtId="10" fontId="0" fillId="0" borderId="0" xfId="44" applyNumberFormat="1" applyFont="1"/>
    <xf numFmtId="0" fontId="0" fillId="42" borderId="0" xfId="0" applyFill="1"/>
    <xf numFmtId="0" fontId="14" fillId="33" borderId="0" xfId="0" applyFont="1" applyFill="1"/>
    <xf numFmtId="0" fontId="24" fillId="41" borderId="0" xfId="0" applyFont="1" applyFill="1"/>
    <xf numFmtId="167" fontId="0" fillId="35" borderId="0" xfId="0" applyNumberFormat="1" applyFill="1"/>
    <xf numFmtId="0" fontId="0" fillId="0" borderId="15" xfId="0" applyBorder="1"/>
    <xf numFmtId="170" fontId="20" fillId="0" borderId="0" xfId="0" applyNumberFormat="1" applyFont="1"/>
    <xf numFmtId="9" fontId="0" fillId="0" borderId="0" xfId="0" applyNumberFormat="1"/>
    <xf numFmtId="0" fontId="28" fillId="0" borderId="0" xfId="0" applyFont="1"/>
    <xf numFmtId="0" fontId="28" fillId="0" borderId="0" xfId="0" applyFont="1" applyAlignment="1">
      <alignment vertical="center" wrapText="1"/>
    </xf>
    <xf numFmtId="0" fontId="27" fillId="0" borderId="0" xfId="0" applyFont="1" applyAlignment="1">
      <alignment vertical="center" wrapText="1"/>
    </xf>
    <xf numFmtId="6" fontId="0" fillId="0" borderId="16" xfId="0" applyNumberFormat="1" applyBorder="1"/>
    <xf numFmtId="1" fontId="0" fillId="0" borderId="0" xfId="0" applyNumberFormat="1"/>
    <xf numFmtId="166" fontId="19" fillId="0" borderId="0" xfId="0" applyNumberFormat="1" applyFont="1"/>
    <xf numFmtId="170" fontId="19" fillId="0" borderId="0" xfId="0" applyNumberFormat="1" applyFont="1"/>
    <xf numFmtId="169" fontId="19" fillId="0" borderId="0" xfId="0" applyNumberFormat="1" applyFont="1"/>
    <xf numFmtId="10" fontId="19" fillId="0" borderId="0" xfId="0" applyNumberFormat="1" applyFont="1"/>
    <xf numFmtId="6" fontId="20" fillId="0" borderId="0" xfId="0" applyNumberFormat="1" applyFont="1" applyFill="1"/>
    <xf numFmtId="0" fontId="0" fillId="0" borderId="18" xfId="0" applyBorder="1"/>
    <xf numFmtId="0" fontId="0" fillId="0" borderId="17" xfId="0" applyBorder="1"/>
    <xf numFmtId="0" fontId="19" fillId="43" borderId="0" xfId="0" applyFont="1" applyFill="1"/>
    <xf numFmtId="6" fontId="20" fillId="43" borderId="0" xfId="0" applyNumberFormat="1" applyFont="1" applyFill="1"/>
    <xf numFmtId="44" fontId="0" fillId="0" borderId="0" xfId="45" applyFont="1"/>
    <xf numFmtId="0" fontId="0" fillId="0" borderId="0" xfId="0" applyAlignment="1">
      <alignment horizontal="left"/>
    </xf>
    <xf numFmtId="0" fontId="0" fillId="0" borderId="0" xfId="0" applyAlignment="1">
      <alignment horizontal="center" vertical="center" wrapText="1"/>
    </xf>
    <xf numFmtId="0" fontId="16" fillId="0" borderId="0" xfId="0" applyFont="1" applyAlignment="1">
      <alignment horizontal="center"/>
    </xf>
    <xf numFmtId="0" fontId="30" fillId="0" borderId="0" xfId="0" applyFont="1" applyAlignment="1"/>
    <xf numFmtId="0" fontId="20" fillId="0" borderId="0" xfId="0" applyFont="1" applyAlignment="1"/>
    <xf numFmtId="0" fontId="30" fillId="0" borderId="0" xfId="0" applyFont="1" applyAlignment="1">
      <alignment wrapText="1"/>
    </xf>
    <xf numFmtId="0" fontId="31" fillId="45" borderId="16" xfId="0" applyFont="1" applyFill="1" applyBorder="1" applyAlignment="1">
      <alignment horizontal="center" wrapText="1"/>
    </xf>
    <xf numFmtId="0" fontId="31" fillId="45" borderId="16" xfId="0" applyFont="1" applyFill="1" applyBorder="1" applyAlignment="1">
      <alignment horizontal="center" vertical="center" wrapText="1"/>
    </xf>
    <xf numFmtId="0" fontId="32" fillId="0" borderId="0" xfId="0" applyFont="1" applyAlignment="1">
      <alignment horizontal="center"/>
    </xf>
    <xf numFmtId="0" fontId="1" fillId="0" borderId="16" xfId="0" applyFont="1" applyBorder="1" applyAlignment="1"/>
    <xf numFmtId="14" fontId="1" fillId="0" borderId="16" xfId="0" applyNumberFormat="1" applyFont="1" applyBorder="1" applyAlignment="1"/>
    <xf numFmtId="0" fontId="1" fillId="0" borderId="16" xfId="46" applyFont="1" applyBorder="1"/>
    <xf numFmtId="0" fontId="1" fillId="0" borderId="16" xfId="46" applyFont="1" applyBorder="1" applyAlignment="1">
      <alignment horizontal="center"/>
    </xf>
    <xf numFmtId="0" fontId="1" fillId="0" borderId="16" xfId="46" applyFont="1" applyBorder="1" applyAlignment="1">
      <alignment horizontal="center" vertical="center"/>
    </xf>
    <xf numFmtId="0" fontId="1" fillId="0" borderId="16" xfId="46" applyFont="1" applyBorder="1" applyAlignment="1">
      <alignment horizontal="center" wrapText="1"/>
    </xf>
    <xf numFmtId="0" fontId="1" fillId="46" borderId="16" xfId="46" applyFont="1" applyFill="1" applyBorder="1"/>
    <xf numFmtId="0" fontId="1" fillId="46" borderId="16" xfId="46" applyFont="1" applyFill="1" applyBorder="1" applyAlignment="1">
      <alignment horizontal="center"/>
    </xf>
    <xf numFmtId="0" fontId="1" fillId="46" borderId="16" xfId="46" applyFont="1" applyFill="1" applyBorder="1" applyAlignment="1">
      <alignment horizontal="center" vertical="center"/>
    </xf>
    <xf numFmtId="0" fontId="33" fillId="0" borderId="0" xfId="0" applyFont="1" applyAlignment="1"/>
    <xf numFmtId="0" fontId="14" fillId="0" borderId="0" xfId="0" applyFont="1" applyAlignment="1"/>
    <xf numFmtId="0" fontId="35" fillId="0" borderId="0" xfId="0" applyFont="1" applyAlignment="1">
      <alignment horizontal="center"/>
    </xf>
    <xf numFmtId="0" fontId="1" fillId="47" borderId="16" xfId="46" applyFont="1" applyFill="1" applyBorder="1"/>
    <xf numFmtId="0" fontId="1" fillId="47" borderId="16" xfId="46" applyFont="1" applyFill="1" applyBorder="1" applyAlignment="1">
      <alignment horizontal="center"/>
    </xf>
    <xf numFmtId="0" fontId="1" fillId="47" borderId="16" xfId="46" applyFont="1" applyFill="1" applyBorder="1" applyAlignment="1">
      <alignment horizontal="center" vertical="center"/>
    </xf>
    <xf numFmtId="14" fontId="0" fillId="0" borderId="16" xfId="0" applyNumberFormat="1" applyFont="1" applyBorder="1" applyAlignment="1">
      <alignment horizontal="center" wrapText="1"/>
    </xf>
    <xf numFmtId="0" fontId="0" fillId="46" borderId="16" xfId="0" applyFont="1" applyFill="1" applyBorder="1" applyAlignment="1">
      <alignment horizontal="center" wrapText="1"/>
    </xf>
    <xf numFmtId="0" fontId="0" fillId="0" borderId="16" xfId="0" applyFont="1" applyBorder="1" applyAlignment="1">
      <alignment horizontal="center" wrapText="1"/>
    </xf>
    <xf numFmtId="0" fontId="0" fillId="43" borderId="0" xfId="0" applyFill="1"/>
    <xf numFmtId="9" fontId="0" fillId="39" borderId="0" xfId="0" applyNumberFormat="1" applyFill="1"/>
    <xf numFmtId="6" fontId="0" fillId="39" borderId="0" xfId="0" applyNumberFormat="1" applyFill="1"/>
    <xf numFmtId="0" fontId="0" fillId="48" borderId="0" xfId="0" applyFill="1"/>
    <xf numFmtId="6" fontId="0" fillId="38" borderId="0" xfId="0" applyNumberFormat="1" applyFill="1"/>
    <xf numFmtId="0" fontId="37" fillId="0" borderId="0" xfId="0" applyFont="1"/>
    <xf numFmtId="0" fontId="0" fillId="0" borderId="0" xfId="0" quotePrefix="1" applyAlignment="1">
      <alignment horizontal="right"/>
    </xf>
    <xf numFmtId="0" fontId="38" fillId="0" borderId="0" xfId="0" applyFont="1"/>
    <xf numFmtId="2" fontId="20" fillId="0" borderId="15" xfId="0" applyNumberFormat="1" applyFont="1" applyBorder="1"/>
    <xf numFmtId="6" fontId="19" fillId="0" borderId="0" xfId="0" applyNumberFormat="1" applyFont="1" applyFill="1"/>
    <xf numFmtId="0" fontId="18" fillId="0" borderId="0" xfId="42"/>
    <xf numFmtId="0" fontId="25" fillId="0" borderId="0" xfId="0" applyFont="1" applyAlignment="1">
      <alignment horizontal="right"/>
    </xf>
    <xf numFmtId="0" fontId="0" fillId="39" borderId="0" xfId="0" applyFill="1" applyAlignment="1">
      <alignment horizontal="right"/>
    </xf>
    <xf numFmtId="0" fontId="0" fillId="33" borderId="0" xfId="0" applyFill="1" applyAlignment="1">
      <alignment horizontal="right"/>
    </xf>
    <xf numFmtId="0" fontId="39" fillId="0" borderId="19" xfId="47" applyFont="1" applyFill="1" applyBorder="1" applyAlignment="1">
      <alignment horizontal="centerContinuous"/>
    </xf>
    <xf numFmtId="0" fontId="39" fillId="0" borderId="20" xfId="47" applyFont="1" applyFill="1" applyBorder="1" applyAlignment="1">
      <alignment horizontal="centerContinuous"/>
    </xf>
    <xf numFmtId="0" fontId="39" fillId="0" borderId="21" xfId="47" applyFont="1" applyFill="1" applyBorder="1" applyAlignment="1">
      <alignment horizontal="centerContinuous"/>
    </xf>
    <xf numFmtId="0" fontId="39" fillId="0" borderId="24" xfId="47" applyFont="1" applyFill="1" applyBorder="1" applyAlignment="1">
      <alignment horizontal="centerContinuous"/>
    </xf>
    <xf numFmtId="0" fontId="40" fillId="0" borderId="25" xfId="47" applyFont="1" applyFill="1" applyBorder="1" applyAlignment="1">
      <alignment horizontal="centerContinuous"/>
    </xf>
    <xf numFmtId="0" fontId="40" fillId="0" borderId="26" xfId="47" applyFont="1" applyFill="1" applyBorder="1" applyAlignment="1">
      <alignment horizontal="centerContinuous"/>
    </xf>
    <xf numFmtId="0" fontId="41" fillId="0" borderId="27" xfId="0" applyFont="1" applyFill="1" applyBorder="1"/>
    <xf numFmtId="0" fontId="42" fillId="39" borderId="27" xfId="0" applyFont="1" applyFill="1" applyBorder="1" applyAlignment="1">
      <alignment horizontal="centerContinuous"/>
    </xf>
    <xf numFmtId="0" fontId="42" fillId="39" borderId="28" xfId="0" applyFont="1" applyFill="1" applyBorder="1" applyAlignment="1">
      <alignment horizontal="centerContinuous"/>
    </xf>
    <xf numFmtId="0" fontId="41" fillId="0" borderId="28" xfId="0" applyFont="1" applyFill="1" applyBorder="1" applyAlignment="1"/>
    <xf numFmtId="0" fontId="41" fillId="0" borderId="29" xfId="0" applyFont="1" applyFill="1" applyBorder="1" applyAlignment="1"/>
    <xf numFmtId="0" fontId="41" fillId="0" borderId="28" xfId="0" applyFont="1" applyFill="1" applyBorder="1" applyAlignment="1">
      <alignment horizontal="center"/>
    </xf>
    <xf numFmtId="0" fontId="41" fillId="0" borderId="27" xfId="0" applyFont="1" applyFill="1" applyBorder="1" applyAlignment="1"/>
    <xf numFmtId="0" fontId="0" fillId="0" borderId="21" xfId="0" applyFill="1" applyBorder="1"/>
    <xf numFmtId="49" fontId="41" fillId="0" borderId="24" xfId="0" applyNumberFormat="1" applyFont="1" applyFill="1" applyBorder="1"/>
    <xf numFmtId="17" fontId="42" fillId="39" borderId="30" xfId="0" applyNumberFormat="1" applyFont="1" applyFill="1" applyBorder="1" applyAlignment="1">
      <alignment horizontal="center"/>
    </xf>
    <xf numFmtId="17" fontId="42" fillId="39" borderId="31" xfId="0" applyNumberFormat="1" applyFont="1" applyFill="1" applyBorder="1" applyAlignment="1">
      <alignment horizontal="center"/>
    </xf>
    <xf numFmtId="17" fontId="41" fillId="0" borderId="31" xfId="0" applyNumberFormat="1" applyFont="1" applyFill="1" applyBorder="1" applyAlignment="1">
      <alignment horizontal="center"/>
    </xf>
    <xf numFmtId="17" fontId="41" fillId="0" borderId="32" xfId="0" applyNumberFormat="1" applyFont="1" applyFill="1" applyBorder="1" applyAlignment="1">
      <alignment horizontal="center"/>
    </xf>
    <xf numFmtId="49" fontId="41" fillId="0" borderId="25" xfId="0" applyNumberFormat="1" applyFont="1" applyFill="1" applyBorder="1" applyAlignment="1">
      <alignment horizontal="center"/>
    </xf>
    <xf numFmtId="17" fontId="41" fillId="0" borderId="30" xfId="0" applyNumberFormat="1" applyFont="1" applyFill="1" applyBorder="1" applyAlignment="1">
      <alignment horizontal="center"/>
    </xf>
    <xf numFmtId="49" fontId="41" fillId="0" borderId="26" xfId="0" applyNumberFormat="1" applyFont="1" applyFill="1" applyBorder="1"/>
    <xf numFmtId="49" fontId="41" fillId="0" borderId="22" xfId="0" applyNumberFormat="1" applyFont="1" applyFill="1" applyBorder="1"/>
    <xf numFmtId="49" fontId="42" fillId="0" borderId="22" xfId="0" applyNumberFormat="1" applyFont="1" applyFill="1" applyBorder="1"/>
    <xf numFmtId="49" fontId="42" fillId="0" borderId="0" xfId="0" applyNumberFormat="1" applyFont="1" applyFill="1" applyBorder="1"/>
    <xf numFmtId="49" fontId="41" fillId="0" borderId="0" xfId="0" applyNumberFormat="1" applyFont="1" applyFill="1" applyBorder="1"/>
    <xf numFmtId="49" fontId="41" fillId="0" borderId="23" xfId="0" applyNumberFormat="1" applyFont="1" applyFill="1" applyBorder="1"/>
    <xf numFmtId="0" fontId="41" fillId="0" borderId="22" xfId="0" applyFont="1" applyFill="1" applyBorder="1"/>
    <xf numFmtId="49" fontId="0" fillId="0" borderId="33" xfId="0" applyNumberFormat="1" applyFill="1" applyBorder="1"/>
    <xf numFmtId="3" fontId="43" fillId="39" borderId="34" xfId="0" applyNumberFormat="1" applyFont="1" applyFill="1" applyBorder="1"/>
    <xf numFmtId="3" fontId="43" fillId="39" borderId="16" xfId="0" applyNumberFormat="1" applyFont="1" applyFill="1" applyBorder="1"/>
    <xf numFmtId="3" fontId="0" fillId="0" borderId="16" xfId="0" applyNumberFormat="1" applyFill="1" applyBorder="1"/>
    <xf numFmtId="3" fontId="0" fillId="0" borderId="35" xfId="0" applyNumberFormat="1" applyFill="1" applyBorder="1"/>
    <xf numFmtId="171" fontId="41" fillId="0" borderId="36" xfId="0" applyNumberFormat="1" applyFont="1" applyFill="1" applyBorder="1"/>
    <xf numFmtId="171" fontId="0" fillId="0" borderId="34" xfId="0" applyNumberFormat="1" applyFill="1" applyBorder="1" applyAlignment="1"/>
    <xf numFmtId="171" fontId="0" fillId="0" borderId="16" xfId="0" applyNumberFormat="1" applyFill="1" applyBorder="1" applyAlignment="1"/>
    <xf numFmtId="171" fontId="0" fillId="0" borderId="35" xfId="0" applyNumberFormat="1" applyFill="1" applyBorder="1" applyAlignment="1"/>
    <xf numFmtId="49" fontId="0" fillId="0" borderId="37" xfId="0" applyNumberFormat="1" applyFill="1" applyBorder="1"/>
    <xf numFmtId="49" fontId="0" fillId="0" borderId="22" xfId="0" applyNumberFormat="1" applyFill="1" applyBorder="1"/>
    <xf numFmtId="3" fontId="43" fillId="0" borderId="38" xfId="0" applyNumberFormat="1" applyFont="1" applyFill="1" applyBorder="1"/>
    <xf numFmtId="3" fontId="43" fillId="0" borderId="39" xfId="0" applyNumberFormat="1" applyFont="1" applyFill="1" applyBorder="1"/>
    <xf numFmtId="3" fontId="0" fillId="0" borderId="39" xfId="0" applyNumberFormat="1" applyFill="1" applyBorder="1"/>
    <xf numFmtId="3" fontId="0" fillId="0" borderId="40" xfId="0" applyNumberFormat="1" applyFill="1" applyBorder="1"/>
    <xf numFmtId="42" fontId="0" fillId="0" borderId="15" xfId="0" applyNumberFormat="1" applyFill="1" applyBorder="1"/>
    <xf numFmtId="171" fontId="0" fillId="0" borderId="38" xfId="0" applyNumberFormat="1" applyFill="1" applyBorder="1" applyAlignment="1"/>
    <xf numFmtId="171" fontId="0" fillId="0" borderId="39" xfId="0" applyNumberFormat="1" applyFill="1" applyBorder="1" applyAlignment="1"/>
    <xf numFmtId="171" fontId="0" fillId="0" borderId="40" xfId="0" applyNumberFormat="1" applyFill="1" applyBorder="1" applyAlignment="1"/>
    <xf numFmtId="49" fontId="0" fillId="0" borderId="23" xfId="0" applyNumberFormat="1" applyFill="1" applyBorder="1"/>
    <xf numFmtId="0" fontId="36" fillId="0" borderId="27" xfId="0" applyFont="1" applyFill="1" applyBorder="1"/>
    <xf numFmtId="3" fontId="43" fillId="0" borderId="30" xfId="0" applyNumberFormat="1" applyFont="1" applyFill="1" applyBorder="1"/>
    <xf numFmtId="3" fontId="43" fillId="0" borderId="31" xfId="0" applyNumberFormat="1" applyFont="1" applyFill="1" applyBorder="1"/>
    <xf numFmtId="3" fontId="0" fillId="0" borderId="31" xfId="0" applyNumberFormat="1" applyFill="1" applyBorder="1"/>
    <xf numFmtId="3" fontId="0" fillId="0" borderId="32" xfId="0" applyNumberFormat="1" applyFill="1" applyBorder="1"/>
    <xf numFmtId="42" fontId="0" fillId="0" borderId="28" xfId="0" applyNumberFormat="1" applyFill="1" applyBorder="1"/>
    <xf numFmtId="171" fontId="36" fillId="0" borderId="41" xfId="0" applyNumberFormat="1" applyFont="1" applyFill="1" applyBorder="1" applyAlignment="1"/>
    <xf numFmtId="171" fontId="36" fillId="0" borderId="31" xfId="0" applyNumberFormat="1" applyFont="1" applyFill="1" applyBorder="1" applyAlignment="1"/>
    <xf numFmtId="171" fontId="36" fillId="0" borderId="32" xfId="0" applyNumberFormat="1" applyFont="1" applyFill="1" applyBorder="1" applyAlignment="1"/>
    <xf numFmtId="0" fontId="0" fillId="0" borderId="42" xfId="0" applyFill="1" applyBorder="1"/>
    <xf numFmtId="0" fontId="36" fillId="0" borderId="22" xfId="0" applyFont="1" applyFill="1" applyBorder="1"/>
    <xf numFmtId="3" fontId="43" fillId="0" borderId="22" xfId="0" applyNumberFormat="1" applyFont="1" applyFill="1" applyBorder="1"/>
    <xf numFmtId="3" fontId="43" fillId="0" borderId="0" xfId="0" applyNumberFormat="1" applyFont="1" applyFill="1" applyBorder="1"/>
    <xf numFmtId="3" fontId="0" fillId="0" borderId="0" xfId="0" applyNumberFormat="1" applyFill="1" applyBorder="1"/>
    <xf numFmtId="3" fontId="0" fillId="0" borderId="23" xfId="0" applyNumberFormat="1" applyFill="1" applyBorder="1"/>
    <xf numFmtId="42" fontId="0" fillId="0" borderId="0" xfId="0" applyNumberFormat="1" applyFill="1" applyBorder="1"/>
    <xf numFmtId="171" fontId="36" fillId="0" borderId="22" xfId="0" applyNumberFormat="1" applyFont="1" applyFill="1" applyBorder="1" applyAlignment="1"/>
    <xf numFmtId="171" fontId="36" fillId="0" borderId="0" xfId="0" applyNumberFormat="1" applyFont="1" applyFill="1" applyBorder="1" applyAlignment="1"/>
    <xf numFmtId="171" fontId="36" fillId="0" borderId="23" xfId="0" applyNumberFormat="1" applyFont="1" applyFill="1" applyBorder="1" applyAlignment="1"/>
    <xf numFmtId="0" fontId="0" fillId="0" borderId="23" xfId="0" applyFill="1" applyBorder="1"/>
    <xf numFmtId="171" fontId="0" fillId="0" borderId="22" xfId="0" applyNumberFormat="1" applyFill="1" applyBorder="1" applyAlignment="1"/>
    <xf numFmtId="171" fontId="0" fillId="0" borderId="0" xfId="0" applyNumberFormat="1" applyFill="1" applyBorder="1" applyAlignment="1"/>
    <xf numFmtId="171" fontId="0" fillId="0" borderId="23" xfId="0" applyNumberFormat="1" applyFill="1" applyBorder="1" applyAlignment="1"/>
    <xf numFmtId="0" fontId="0" fillId="0" borderId="37" xfId="0" applyFill="1" applyBorder="1"/>
    <xf numFmtId="49" fontId="36" fillId="0" borderId="33" xfId="0" applyNumberFormat="1" applyFont="1" applyFill="1" applyBorder="1"/>
    <xf numFmtId="3" fontId="36" fillId="0" borderId="16" xfId="0" applyNumberFormat="1" applyFont="1" applyFill="1" applyBorder="1"/>
    <xf numFmtId="0" fontId="36" fillId="0" borderId="37" xfId="0" applyFont="1" applyFill="1" applyBorder="1"/>
    <xf numFmtId="3" fontId="43" fillId="39" borderId="38" xfId="0" applyNumberFormat="1" applyFont="1" applyFill="1" applyBorder="1"/>
    <xf numFmtId="3" fontId="43" fillId="39" borderId="39" xfId="0" applyNumberFormat="1" applyFont="1" applyFill="1" applyBorder="1"/>
    <xf numFmtId="49" fontId="36" fillId="0" borderId="27" xfId="0" applyNumberFormat="1" applyFont="1" applyFill="1" applyBorder="1"/>
    <xf numFmtId="171" fontId="41" fillId="0" borderId="28" xfId="0" applyNumberFormat="1" applyFont="1" applyFill="1" applyBorder="1"/>
    <xf numFmtId="171" fontId="0" fillId="0" borderId="30" xfId="0" applyNumberFormat="1" applyFill="1" applyBorder="1" applyAlignment="1"/>
    <xf numFmtId="171" fontId="0" fillId="0" borderId="31" xfId="0" applyNumberFormat="1" applyFill="1" applyBorder="1" applyAlignment="1"/>
    <xf numFmtId="171" fontId="0" fillId="0" borderId="32" xfId="0" applyNumberFormat="1" applyFill="1" applyBorder="1" applyAlignment="1"/>
    <xf numFmtId="0" fontId="0" fillId="0" borderId="33" xfId="0" applyFill="1" applyBorder="1"/>
    <xf numFmtId="3" fontId="36" fillId="39" borderId="16" xfId="0" applyNumberFormat="1" applyFont="1" applyFill="1" applyBorder="1"/>
    <xf numFmtId="0" fontId="36" fillId="0" borderId="33" xfId="0" applyFont="1" applyFill="1" applyBorder="1"/>
    <xf numFmtId="4" fontId="41" fillId="0" borderId="27" xfId="0" applyNumberFormat="1" applyFont="1" applyFill="1" applyBorder="1"/>
    <xf numFmtId="3" fontId="42" fillId="0" borderId="30" xfId="0" applyNumberFormat="1" applyFont="1" applyFill="1" applyBorder="1"/>
    <xf numFmtId="3" fontId="42" fillId="0" borderId="31" xfId="0" applyNumberFormat="1" applyFont="1" applyFill="1" applyBorder="1"/>
    <xf numFmtId="3" fontId="41" fillId="0" borderId="31" xfId="0" applyNumberFormat="1" applyFont="1" applyFill="1" applyBorder="1"/>
    <xf numFmtId="3" fontId="41" fillId="0" borderId="32" xfId="0" applyNumberFormat="1" applyFont="1" applyFill="1" applyBorder="1"/>
    <xf numFmtId="171" fontId="41" fillId="0" borderId="30" xfId="0" applyNumberFormat="1" applyFont="1" applyFill="1" applyBorder="1" applyAlignment="1"/>
    <xf numFmtId="171" fontId="41" fillId="0" borderId="31" xfId="0" applyNumberFormat="1" applyFont="1" applyFill="1" applyBorder="1" applyAlignment="1"/>
    <xf numFmtId="171" fontId="41" fillId="0" borderId="32" xfId="0" applyNumberFormat="1" applyFont="1" applyFill="1" applyBorder="1" applyAlignment="1"/>
    <xf numFmtId="0" fontId="0" fillId="0" borderId="0" xfId="0" applyFill="1" applyBorder="1"/>
    <xf numFmtId="4" fontId="0" fillId="0" borderId="0" xfId="0" applyNumberFormat="1" applyFill="1" applyBorder="1"/>
    <xf numFmtId="0" fontId="36" fillId="0" borderId="0" xfId="0" applyFont="1" applyFill="1" applyBorder="1"/>
    <xf numFmtId="0" fontId="34" fillId="0" borderId="0" xfId="0" applyFont="1"/>
    <xf numFmtId="0" fontId="0" fillId="0" borderId="0" xfId="0" applyAlignment="1">
      <alignment horizontal="left" wrapText="1"/>
    </xf>
    <xf numFmtId="165" fontId="0" fillId="0" borderId="0" xfId="0" applyNumberFormat="1" applyAlignment="1">
      <alignment horizontal="right"/>
    </xf>
    <xf numFmtId="0" fontId="14" fillId="43" borderId="0" xfId="0" applyFont="1" applyFill="1"/>
    <xf numFmtId="0" fontId="0" fillId="49" borderId="42" xfId="0" applyFill="1" applyBorder="1" applyAlignment="1">
      <alignment vertical="center" wrapText="1"/>
    </xf>
    <xf numFmtId="0" fontId="0" fillId="49" borderId="29" xfId="0" applyFill="1" applyBorder="1" applyAlignment="1">
      <alignment vertical="center" wrapText="1"/>
    </xf>
    <xf numFmtId="0" fontId="0" fillId="0" borderId="43" xfId="0" applyBorder="1" applyAlignment="1">
      <alignment vertical="center" wrapText="1"/>
    </xf>
    <xf numFmtId="0" fontId="0" fillId="0" borderId="26" xfId="0" applyBorder="1" applyAlignment="1">
      <alignment vertical="center" wrapText="1"/>
    </xf>
    <xf numFmtId="0" fontId="0" fillId="49" borderId="43" xfId="0" applyFill="1" applyBorder="1" applyAlignment="1">
      <alignment vertical="center" wrapText="1"/>
    </xf>
    <xf numFmtId="0" fontId="0" fillId="49" borderId="26" xfId="0" applyFill="1" applyBorder="1" applyAlignment="1">
      <alignment vertical="center" wrapText="1"/>
    </xf>
    <xf numFmtId="49" fontId="0" fillId="0" borderId="26" xfId="0" quotePrefix="1" applyNumberFormat="1" applyBorder="1" applyAlignment="1">
      <alignment horizontal="right" vertical="center" wrapText="1"/>
    </xf>
    <xf numFmtId="0" fontId="0" fillId="0" borderId="26" xfId="0" applyBorder="1" applyAlignment="1">
      <alignment horizontal="right" vertical="center" wrapText="1"/>
    </xf>
    <xf numFmtId="16" fontId="0" fillId="0" borderId="26" xfId="0" quotePrefix="1" applyNumberFormat="1" applyBorder="1" applyAlignment="1">
      <alignment horizontal="right" vertical="center" wrapText="1"/>
    </xf>
    <xf numFmtId="0" fontId="0" fillId="0" borderId="0" xfId="0" applyAlignment="1">
      <alignment horizontal="right" vertical="center"/>
    </xf>
    <xf numFmtId="0" fontId="19" fillId="0" borderId="0" xfId="0" applyFont="1" applyAlignment="1">
      <alignment horizontal="right" vertical="center"/>
    </xf>
    <xf numFmtId="0" fontId="19" fillId="0" borderId="0" xfId="0" quotePrefix="1" applyFont="1" applyAlignment="1">
      <alignment horizontal="right" vertical="center"/>
    </xf>
    <xf numFmtId="0" fontId="19" fillId="0" borderId="0" xfId="0" applyFont="1" applyFill="1" applyBorder="1" applyAlignment="1">
      <alignment horizontal="right" vertical="center" wrapText="1"/>
    </xf>
    <xf numFmtId="0" fontId="0" fillId="0" borderId="0" xfId="0" applyAlignment="1">
      <alignment horizontal="left" vertical="center"/>
    </xf>
    <xf numFmtId="0" fontId="23" fillId="0" borderId="0" xfId="0" applyFont="1" applyAlignment="1">
      <alignment horizontal="left" vertical="center"/>
    </xf>
    <xf numFmtId="0" fontId="0" fillId="0" borderId="42" xfId="0" applyBorder="1" applyAlignment="1">
      <alignment vertical="center" wrapText="1"/>
    </xf>
    <xf numFmtId="0" fontId="0" fillId="0" borderId="29" xfId="0" applyBorder="1" applyAlignment="1">
      <alignment vertical="center" wrapText="1"/>
    </xf>
    <xf numFmtId="0" fontId="0" fillId="0" borderId="29" xfId="0" applyBorder="1" applyAlignment="1">
      <alignment horizontal="right" vertical="center" wrapText="1"/>
    </xf>
    <xf numFmtId="17" fontId="0" fillId="0" borderId="26" xfId="0" quotePrefix="1" applyNumberFormat="1" applyBorder="1" applyAlignment="1">
      <alignment horizontal="right" vertical="center" wrapText="1"/>
    </xf>
    <xf numFmtId="0" fontId="0" fillId="0" borderId="44" xfId="0" applyBorder="1"/>
    <xf numFmtId="4" fontId="0" fillId="0" borderId="44" xfId="0" applyNumberFormat="1" applyBorder="1"/>
    <xf numFmtId="8" fontId="0" fillId="0" borderId="44" xfId="0" applyNumberFormat="1" applyBorder="1"/>
    <xf numFmtId="0" fontId="23" fillId="43" borderId="0" xfId="0" applyFont="1" applyFill="1"/>
    <xf numFmtId="168" fontId="20" fillId="0" borderId="0" xfId="0" applyNumberFormat="1" applyFont="1"/>
    <xf numFmtId="0" fontId="0" fillId="39" borderId="18" xfId="0" applyFill="1" applyBorder="1"/>
    <xf numFmtId="0" fontId="0" fillId="39" borderId="17" xfId="0" applyFill="1" applyBorder="1"/>
    <xf numFmtId="0" fontId="0" fillId="39" borderId="16" xfId="0" quotePrefix="1" applyFill="1" applyBorder="1" applyAlignment="1">
      <alignment horizontal="right"/>
    </xf>
    <xf numFmtId="0" fontId="0" fillId="42" borderId="16" xfId="0" applyFill="1" applyBorder="1" applyAlignment="1">
      <alignment horizontal="right"/>
    </xf>
    <xf numFmtId="0" fontId="0" fillId="42" borderId="18" xfId="0" applyFill="1" applyBorder="1"/>
    <xf numFmtId="0" fontId="0" fillId="42" borderId="17" xfId="0" applyFill="1" applyBorder="1"/>
    <xf numFmtId="0" fontId="0" fillId="0" borderId="0" xfId="0"/>
    <xf numFmtId="6" fontId="0" fillId="42" borderId="0" xfId="0" applyNumberFormat="1" applyFill="1"/>
    <xf numFmtId="170" fontId="0" fillId="39" borderId="0" xfId="0" applyNumberFormat="1" applyFill="1"/>
    <xf numFmtId="0" fontId="0" fillId="0" borderId="0" xfId="0" applyFont="1" applyFill="1"/>
    <xf numFmtId="170" fontId="0" fillId="39" borderId="0" xfId="0" applyNumberFormat="1" applyFill="1" applyAlignment="1">
      <alignment horizontal="right"/>
    </xf>
    <xf numFmtId="0" fontId="0" fillId="50" borderId="0" xfId="0" applyFill="1"/>
    <xf numFmtId="6" fontId="0" fillId="50" borderId="0" xfId="0" applyNumberFormat="1" applyFill="1"/>
    <xf numFmtId="0" fontId="0" fillId="39" borderId="0" xfId="0" applyFill="1" applyAlignment="1"/>
    <xf numFmtId="9" fontId="0" fillId="39" borderId="0" xfId="44" applyFont="1" applyFill="1"/>
    <xf numFmtId="9" fontId="20" fillId="50" borderId="0" xfId="44" applyFont="1" applyFill="1"/>
    <xf numFmtId="0" fontId="14" fillId="39" borderId="0" xfId="0" applyFont="1" applyFill="1"/>
    <xf numFmtId="10" fontId="0" fillId="0" borderId="0" xfId="0" applyNumberFormat="1"/>
    <xf numFmtId="0" fontId="16" fillId="34" borderId="0" xfId="0" applyFont="1" applyFill="1"/>
    <xf numFmtId="0" fontId="23" fillId="34" borderId="0" xfId="0" applyFont="1" applyFill="1"/>
    <xf numFmtId="9" fontId="14" fillId="39" borderId="0" xfId="0" applyNumberFormat="1" applyFont="1" applyFill="1"/>
    <xf numFmtId="9" fontId="14" fillId="50" borderId="0" xfId="44" applyFont="1" applyFill="1"/>
    <xf numFmtId="0" fontId="0" fillId="0" borderId="0" xfId="0" applyFill="1"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0" fontId="44" fillId="0" borderId="0" xfId="0" applyFont="1" applyAlignment="1">
      <alignment vertical="center"/>
    </xf>
    <xf numFmtId="0" fontId="0" fillId="0" borderId="0" xfId="0" applyAlignment="1">
      <alignment horizontal="right" vertical="top" wrapText="1"/>
    </xf>
    <xf numFmtId="6" fontId="0" fillId="43" borderId="0" xfId="0" applyNumberFormat="1" applyFill="1"/>
    <xf numFmtId="6" fontId="0" fillId="34" borderId="0" xfId="0" applyNumberFormat="1" applyFill="1"/>
    <xf numFmtId="0" fontId="0" fillId="51" borderId="0" xfId="0" applyFill="1"/>
    <xf numFmtId="0" fontId="0" fillId="42" borderId="0" xfId="0" applyFill="1" applyAlignment="1">
      <alignment horizontal="right"/>
    </xf>
    <xf numFmtId="170" fontId="0" fillId="0" borderId="44" xfId="0" applyNumberFormat="1" applyBorder="1"/>
    <xf numFmtId="170" fontId="23" fillId="0" borderId="0" xfId="0" applyNumberFormat="1" applyFont="1"/>
    <xf numFmtId="0" fontId="0" fillId="39" borderId="0" xfId="0" applyFill="1" applyAlignment="1">
      <alignment horizontal="center" wrapText="1"/>
    </xf>
    <xf numFmtId="0" fontId="0" fillId="33" borderId="42" xfId="0" applyFill="1" applyBorder="1"/>
    <xf numFmtId="0" fontId="0" fillId="33" borderId="42" xfId="0" applyFill="1" applyBorder="1" applyAlignment="1">
      <alignment wrapText="1"/>
    </xf>
    <xf numFmtId="0" fontId="0" fillId="0" borderId="16" xfId="0" applyBorder="1"/>
    <xf numFmtId="0" fontId="0" fillId="43" borderId="16" xfId="0" applyFill="1" applyBorder="1" applyAlignment="1">
      <alignment wrapText="1"/>
    </xf>
    <xf numFmtId="0" fontId="0" fillId="43" borderId="16" xfId="0" applyFill="1" applyBorder="1" applyAlignment="1">
      <alignment horizontal="right" wrapText="1"/>
    </xf>
    <xf numFmtId="0" fontId="0" fillId="34" borderId="0" xfId="0" applyFill="1" applyAlignment="1">
      <alignment horizontal="right"/>
    </xf>
    <xf numFmtId="0" fontId="18" fillId="34" borderId="0" xfId="42" applyFill="1" applyAlignment="1">
      <alignment horizontal="center"/>
    </xf>
    <xf numFmtId="0" fontId="18" fillId="39" borderId="0" xfId="42" applyFill="1" applyAlignment="1">
      <alignment horizontal="center"/>
    </xf>
    <xf numFmtId="9" fontId="20" fillId="0" borderId="0" xfId="0" applyNumberFormat="1" applyFont="1" applyFill="1"/>
    <xf numFmtId="6" fontId="19" fillId="38" borderId="0" xfId="0" applyNumberFormat="1" applyFont="1" applyFill="1"/>
    <xf numFmtId="0" fontId="19" fillId="38" borderId="0" xfId="0" applyFont="1" applyFill="1"/>
    <xf numFmtId="0" fontId="28" fillId="0" borderId="0" xfId="0" applyFont="1" applyBorder="1" applyAlignment="1">
      <alignment vertical="center" wrapText="1"/>
    </xf>
    <xf numFmtId="0" fontId="29" fillId="0" borderId="0" xfId="0" applyFont="1" applyAlignment="1">
      <alignment vertical="center"/>
    </xf>
    <xf numFmtId="0" fontId="31" fillId="44" borderId="16" xfId="0" applyFont="1" applyFill="1" applyBorder="1" applyAlignment="1">
      <alignment horizontal="left" wrapText="1"/>
    </xf>
    <xf numFmtId="0" fontId="45" fillId="46" borderId="16" xfId="42" applyFont="1" applyFill="1" applyBorder="1" applyAlignment="1" applyProtection="1">
      <alignment horizontal="center" wrapText="1"/>
    </xf>
    <xf numFmtId="0" fontId="28" fillId="0" borderId="16" xfId="46" applyFont="1" applyBorder="1"/>
    <xf numFmtId="0" fontId="1" fillId="47" borderId="16" xfId="46" applyFont="1" applyFill="1" applyBorder="1" applyAlignment="1">
      <alignment horizontal="center" wrapText="1"/>
    </xf>
    <xf numFmtId="0" fontId="0" fillId="47" borderId="16" xfId="0" applyFont="1" applyFill="1" applyBorder="1" applyAlignment="1">
      <alignment horizontal="center" wrapText="1"/>
    </xf>
    <xf numFmtId="14" fontId="0" fillId="0" borderId="16" xfId="0" applyNumberFormat="1" applyFont="1" applyFill="1" applyBorder="1" applyAlignment="1">
      <alignment horizontal="center" wrapText="1"/>
    </xf>
    <xf numFmtId="0" fontId="27" fillId="0" borderId="16" xfId="46" applyFont="1" applyBorder="1" applyAlignment="1">
      <alignment horizontal="center" wrapText="1"/>
    </xf>
    <xf numFmtId="0" fontId="1" fillId="0" borderId="16" xfId="46" applyFont="1" applyFill="1" applyBorder="1"/>
    <xf numFmtId="0" fontId="1" fillId="0" borderId="16" xfId="46" applyFont="1" applyFill="1" applyBorder="1" applyAlignment="1">
      <alignment horizontal="center"/>
    </xf>
    <xf numFmtId="0" fontId="1" fillId="0" borderId="16" xfId="46" applyFont="1" applyFill="1" applyBorder="1" applyAlignment="1">
      <alignment horizontal="center" vertical="center"/>
    </xf>
    <xf numFmtId="0" fontId="27" fillId="0" borderId="16" xfId="46" applyFont="1" applyFill="1" applyBorder="1" applyAlignment="1">
      <alignment horizontal="center" wrapText="1"/>
    </xf>
    <xf numFmtId="0" fontId="46" fillId="46" borderId="16" xfId="42" applyFont="1" applyFill="1" applyBorder="1" applyAlignment="1" applyProtection="1">
      <alignment horizontal="center" wrapText="1"/>
    </xf>
    <xf numFmtId="0" fontId="0" fillId="0" borderId="0" xfId="0" applyFont="1" applyAlignment="1">
      <alignment horizontal="center"/>
    </xf>
    <xf numFmtId="0" fontId="47" fillId="46" borderId="16" xfId="42" applyFont="1" applyFill="1" applyBorder="1" applyAlignment="1" applyProtection="1">
      <alignment horizontal="center"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5" builtinId="4"/>
    <cellStyle name="Explanatory Text" xfId="16" builtinId="53" customBuiltin="1"/>
    <cellStyle name="Followed Hyperlink" xfId="43" builtinId="9"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ustomBuiltin="1"/>
    <cellStyle name="Input" xfId="9" builtinId="20" customBuiltin="1"/>
    <cellStyle name="Linked Cell" xfId="12" builtinId="24" customBuiltin="1"/>
    <cellStyle name="Neutral" xfId="8" builtinId="28" customBuiltin="1"/>
    <cellStyle name="Normal" xfId="0" builtinId="0"/>
    <cellStyle name="Normal 2" xfId="46"/>
    <cellStyle name="Normal 4 2 3" xfId="47"/>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worksheet" Target="worksheets/sheet67.xml"/><Relationship Id="rId84" Type="http://schemas.openxmlformats.org/officeDocument/2006/relationships/styles" Target="styles.xml"/><Relationship Id="rId16" Type="http://schemas.openxmlformats.org/officeDocument/2006/relationships/worksheet" Target="worksheets/sheet15.xml"/><Relationship Id="rId11" Type="http://schemas.openxmlformats.org/officeDocument/2006/relationships/worksheet" Target="worksheets/sheet10.xml"/><Relationship Id="rId32" Type="http://schemas.openxmlformats.org/officeDocument/2006/relationships/worksheet" Target="worksheets/sheet31.xml"/><Relationship Id="rId37" Type="http://schemas.openxmlformats.org/officeDocument/2006/relationships/worksheet" Target="worksheets/sheet36.xml"/><Relationship Id="rId53" Type="http://schemas.openxmlformats.org/officeDocument/2006/relationships/worksheet" Target="worksheets/sheet52.xml"/><Relationship Id="rId58" Type="http://schemas.openxmlformats.org/officeDocument/2006/relationships/worksheet" Target="worksheets/sheet57.xml"/><Relationship Id="rId74" Type="http://schemas.openxmlformats.org/officeDocument/2006/relationships/worksheet" Target="worksheets/sheet73.xml"/><Relationship Id="rId79" Type="http://schemas.openxmlformats.org/officeDocument/2006/relationships/worksheet" Target="worksheets/sheet78.xml"/><Relationship Id="rId5" Type="http://schemas.openxmlformats.org/officeDocument/2006/relationships/worksheet" Target="worksheets/sheet5.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worksheet" Target="worksheets/sheet68.xml"/><Relationship Id="rId77" Type="http://schemas.openxmlformats.org/officeDocument/2006/relationships/worksheet" Target="worksheets/sheet76.xml"/><Relationship Id="rId8" Type="http://schemas.openxmlformats.org/officeDocument/2006/relationships/worksheet" Target="worksheets/sheet7.xml"/><Relationship Id="rId51" Type="http://schemas.openxmlformats.org/officeDocument/2006/relationships/worksheet" Target="worksheets/sheet50.xml"/><Relationship Id="rId72" Type="http://schemas.openxmlformats.org/officeDocument/2006/relationships/worksheet" Target="worksheets/sheet71.xml"/><Relationship Id="rId80" Type="http://schemas.openxmlformats.org/officeDocument/2006/relationships/worksheet" Target="worksheets/sheet79.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worksheet" Target="worksheets/sheet66.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worksheet" Target="worksheets/sheet69.xml"/><Relationship Id="rId75" Type="http://schemas.openxmlformats.org/officeDocument/2006/relationships/worksheet" Target="worksheets/sheet74.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9.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worksheet" Target="worksheets/sheet72.xml"/><Relationship Id="rId78" Type="http://schemas.openxmlformats.org/officeDocument/2006/relationships/worksheet" Target="worksheets/sheet77.xml"/><Relationship Id="rId81" Type="http://schemas.openxmlformats.org/officeDocument/2006/relationships/worksheet" Target="worksheets/sheet80.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worksheet" Target="worksheets/sheet75.xml"/><Relationship Id="rId7" Type="http://schemas.openxmlformats.org/officeDocument/2006/relationships/worksheet" Target="worksheets/sheet6.xml"/><Relationship Id="rId71" Type="http://schemas.openxmlformats.org/officeDocument/2006/relationships/worksheet" Target="worksheets/sheet70.xml"/><Relationship Id="rId2" Type="http://schemas.openxmlformats.org/officeDocument/2006/relationships/worksheet" Target="worksheets/sheet2.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worksheet" Target="worksheets/sheet39.xml"/><Relationship Id="rId45" Type="http://schemas.openxmlformats.org/officeDocument/2006/relationships/worksheet" Target="worksheets/sheet44.xml"/><Relationship Id="rId66" Type="http://schemas.openxmlformats.org/officeDocument/2006/relationships/worksheet" Target="worksheets/sheet65.xml"/><Relationship Id="rId61" Type="http://schemas.openxmlformats.org/officeDocument/2006/relationships/worksheet" Target="worksheets/sheet60.xml"/><Relationship Id="rId82" Type="http://schemas.openxmlformats.org/officeDocument/2006/relationships/worksheet" Target="worksheets/sheet8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6"/>
          <c:order val="0"/>
          <c:invertIfNegative val="0"/>
          <c:dLbls>
            <c:numFmt formatCode="&quot;$&quot;#,##0.00&quot;m&quot;" sourceLinked="0"/>
            <c:txPr>
              <a:bodyPr/>
              <a:lstStyle/>
              <a:p>
                <a:pPr>
                  <a:defRPr sz="1200"/>
                </a:pPr>
                <a:endParaRPr lang="en-US"/>
              </a:p>
            </c:txPr>
            <c:showLegendKey val="0"/>
            <c:showVal val="1"/>
            <c:showCatName val="0"/>
            <c:showSerName val="0"/>
            <c:showPercent val="0"/>
            <c:showBubbleSize val="0"/>
            <c:showLeaderLines val="0"/>
          </c:dLbls>
          <c:cat>
            <c:strRef>
              <c:f>Summary!$C$4:$G$4</c:f>
              <c:strCache>
                <c:ptCount val="5"/>
                <c:pt idx="0">
                  <c:v>2015/16</c:v>
                </c:pt>
                <c:pt idx="1">
                  <c:v>2016/17</c:v>
                </c:pt>
                <c:pt idx="2">
                  <c:v>2017/18</c:v>
                </c:pt>
                <c:pt idx="3">
                  <c:v>2018/19</c:v>
                </c:pt>
                <c:pt idx="4">
                  <c:v>2019/20</c:v>
                </c:pt>
              </c:strCache>
            </c:strRef>
          </c:cat>
          <c:val>
            <c:numRef>
              <c:f>Summary!$C$10:$G$10</c:f>
              <c:numCache>
                <c:formatCode>"$"#,##0_);[Red]\("$"#,##0\)</c:formatCode>
                <c:ptCount val="5"/>
                <c:pt idx="0">
                  <c:v>3578335.3821761948</c:v>
                </c:pt>
                <c:pt idx="1">
                  <c:v>3029945.9151416197</c:v>
                </c:pt>
                <c:pt idx="2">
                  <c:v>3191699.090042368</c:v>
                </c:pt>
                <c:pt idx="3">
                  <c:v>3218477.594422088</c:v>
                </c:pt>
                <c:pt idx="4">
                  <c:v>3336174.2008033781</c:v>
                </c:pt>
              </c:numCache>
            </c:numRef>
          </c:val>
        </c:ser>
        <c:dLbls>
          <c:showLegendKey val="0"/>
          <c:showVal val="0"/>
          <c:showCatName val="0"/>
          <c:showSerName val="0"/>
          <c:showPercent val="0"/>
          <c:showBubbleSize val="0"/>
        </c:dLbls>
        <c:gapWidth val="150"/>
        <c:axId val="132261376"/>
        <c:axId val="153283392"/>
      </c:barChart>
      <c:catAx>
        <c:axId val="132261376"/>
        <c:scaling>
          <c:orientation val="minMax"/>
        </c:scaling>
        <c:delete val="0"/>
        <c:axPos val="b"/>
        <c:numFmt formatCode="General" sourceLinked="1"/>
        <c:majorTickMark val="out"/>
        <c:minorTickMark val="none"/>
        <c:tickLblPos val="nextTo"/>
        <c:crossAx val="153283392"/>
        <c:crosses val="autoZero"/>
        <c:auto val="0"/>
        <c:lblAlgn val="ctr"/>
        <c:lblOffset val="100"/>
        <c:noMultiLvlLbl val="0"/>
      </c:catAx>
      <c:valAx>
        <c:axId val="153283392"/>
        <c:scaling>
          <c:orientation val="minMax"/>
          <c:min val="0"/>
        </c:scaling>
        <c:delete val="0"/>
        <c:axPos val="l"/>
        <c:majorGridlines/>
        <c:title>
          <c:tx>
            <c:rich>
              <a:bodyPr rot="-5400000" vert="horz"/>
              <a:lstStyle/>
              <a:p>
                <a:pPr>
                  <a:defRPr sz="1200"/>
                </a:pPr>
                <a:r>
                  <a:rPr lang="en-US" sz="1200"/>
                  <a:t>Annual O&amp;M ($millions)</a:t>
                </a:r>
              </a:p>
            </c:rich>
          </c:tx>
          <c:layout/>
          <c:overlay val="0"/>
        </c:title>
        <c:numFmt formatCode="&quot;$&quot;#,##0.0;[Red]\-&quot;$&quot;#,##0.0" sourceLinked="0"/>
        <c:majorTickMark val="out"/>
        <c:minorTickMark val="none"/>
        <c:tickLblPos val="nextTo"/>
        <c:crossAx val="132261376"/>
        <c:crosses val="autoZero"/>
        <c:crossBetween val="between"/>
        <c:dispUnits>
          <c:builtInUnit val="millions"/>
        </c:dispUnits>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Summary!$C$43:$C$106</c:f>
              <c:strCache>
                <c:ptCount val="64"/>
                <c:pt idx="0">
                  <c:v>ELECTRICITY COSTS</c:v>
                </c:pt>
                <c:pt idx="1">
                  <c:v>CABLE REPAIRS</c:v>
                </c:pt>
                <c:pt idx="2">
                  <c:v>CONTROL ROOM OPERATIONS</c:v>
                </c:pt>
                <c:pt idx="3">
                  <c:v>OPERATIONS MANAGER</c:v>
                </c:pt>
                <c:pt idx="4">
                  <c:v>SENIOR RELIABILITY ENGINEER</c:v>
                </c:pt>
                <c:pt idx="5">
                  <c:v>RELIABILITY ENGINEER</c:v>
                </c:pt>
                <c:pt idx="6">
                  <c:v>PHASE REACTOR MAINTENANCE</c:v>
                </c:pt>
                <c:pt idx="7">
                  <c:v>WORKS PLANNER</c:v>
                </c:pt>
                <c:pt idx="8">
                  <c:v>WORK PRACTICES SPECIALIST</c:v>
                </c:pt>
                <c:pt idx="9">
                  <c:v>VEGETATION MANAGEMENT</c:v>
                </c:pt>
                <c:pt idx="10">
                  <c:v>POWER TRANSFORMER MAINTENANCE </c:v>
                </c:pt>
                <c:pt idx="11">
                  <c:v>CIRCUIT BREAKER MAINTENANCE</c:v>
                </c:pt>
                <c:pt idx="12">
                  <c:v>TRAVEL</c:v>
                </c:pt>
                <c:pt idx="13">
                  <c:v>SITE SECURITY</c:v>
                </c:pt>
                <c:pt idx="14">
                  <c:v>REMOTE COMMUNICATIONS</c:v>
                </c:pt>
                <c:pt idx="15">
                  <c:v>CONTROL SYSTEM REPAIRS</c:v>
                </c:pt>
                <c:pt idx="16">
                  <c:v>REACTOR MAINTENANCE</c:v>
                </c:pt>
                <c:pt idx="17">
                  <c:v>OTHER COSTS</c:v>
                </c:pt>
                <c:pt idx="18">
                  <c:v>INCIDENTAL INVESTIGATIONS</c:v>
                </c:pt>
                <c:pt idx="19">
                  <c:v>ENERGISED MAINTENANCE INSPECTION </c:v>
                </c:pt>
                <c:pt idx="20">
                  <c:v>AIR BLAST COOLER MAINTENANCE </c:v>
                </c:pt>
                <c:pt idx="21">
                  <c:v>DIAL BEFORE YOU DIG</c:v>
                </c:pt>
                <c:pt idx="22">
                  <c:v>FIRE SPRINKER SYSTEM</c:v>
                </c:pt>
                <c:pt idx="23">
                  <c:v>YARD MAINTENANCE </c:v>
                </c:pt>
                <c:pt idx="24">
                  <c:v>CABLE MARKER SIGN MAINTENANCE</c:v>
                </c:pt>
                <c:pt idx="25">
                  <c:v>BUILDING AIR-CONDITIONERS</c:v>
                </c:pt>
                <c:pt idx="26">
                  <c:v>VALVE COOLING SYSTEM MAINTENANCE</c:v>
                </c:pt>
                <c:pt idx="27">
                  <c:v>TRAINING COURSES FOR CONTRACTORS</c:v>
                </c:pt>
                <c:pt idx="28">
                  <c:v>IGBT VALVE REPAIRS</c:v>
                </c:pt>
                <c:pt idx="29">
                  <c:v>NITROGEN BOTTLE REPLACEMENT</c:v>
                </c:pt>
                <c:pt idx="30">
                  <c:v>FIRE DETECTION &amp; ALARM SYSTEM</c:v>
                </c:pt>
                <c:pt idx="31">
                  <c:v>OIL FILLED CAPACITOR MAINTENANCE</c:v>
                </c:pt>
                <c:pt idx="32">
                  <c:v>IGBT VALVE MAINTENANCE </c:v>
                </c:pt>
                <c:pt idx="33">
                  <c:v>PRESTART INSPECTIONS</c:v>
                </c:pt>
                <c:pt idx="34">
                  <c:v>ONSITE TEST EQUIPMENT MAINTENANCE</c:v>
                </c:pt>
                <c:pt idx="35">
                  <c:v>VALVE COOLING MCC THERMOGRAPHIC IMAGING </c:v>
                </c:pt>
                <c:pt idx="36">
                  <c:v>CONVERTER STATION THERMOGRAPHIC INSPECTION </c:v>
                </c:pt>
                <c:pt idx="37">
                  <c:v>ZINC OXIDE SURGE ARRESTOR MAINTENANCE </c:v>
                </c:pt>
                <c:pt idx="38">
                  <c:v>VALVE DEHUMIDIFIER MAINTENANCE </c:v>
                </c:pt>
                <c:pt idx="39">
                  <c:v>UNINTERRUPTIBLE POWER SUPPLY </c:v>
                </c:pt>
                <c:pt idx="40">
                  <c:v>OUTDOOR POST TYPE CURRENT TRANSFORMER</c:v>
                </c:pt>
                <c:pt idx="41">
                  <c:v>AC FILTER RESISTOR MAINTENANCE </c:v>
                </c:pt>
                <c:pt idx="42">
                  <c:v>VALVE COOLING SYSTEM PUMP MAINTENANCE </c:v>
                </c:pt>
                <c:pt idx="43">
                  <c:v>PHASE REACTOR FAN MAINTENANCE</c:v>
                </c:pt>
                <c:pt idx="44">
                  <c:v>PORTABLE FIRE EXTINGUISHER INSPECTION </c:v>
                </c:pt>
                <c:pt idx="45">
                  <c:v>EMERGENCY LIGHTING MAINTENANCE </c:v>
                </c:pt>
                <c:pt idx="46">
                  <c:v>NITROGEN DISCHARGE UNIT MAINTENANCE</c:v>
                </c:pt>
                <c:pt idx="47">
                  <c:v>ROGOWSKI CURRENT TRANSDUCER MAINTENANCE </c:v>
                </c:pt>
                <c:pt idx="48">
                  <c:v>DIRECT VOLTAGE DIVIDER MAINTENANCE</c:v>
                </c:pt>
                <c:pt idx="49">
                  <c:v>INSPECT SPILL KITS </c:v>
                </c:pt>
                <c:pt idx="50">
                  <c:v>CAPACITIVE VOLTAGE TRANSFORMER MAINTENANCE</c:v>
                </c:pt>
                <c:pt idx="51">
                  <c:v>HALL EFFECT CURRENT TRANSDUCER MAINTENANCE </c:v>
                </c:pt>
                <c:pt idx="52">
                  <c:v>CABLE SCREEN CURRENT TRANSFORMER </c:v>
                </c:pt>
                <c:pt idx="53">
                  <c:v>DC ZERO SEQUENCE SMOOTHING REACTOR MAINTENANCE</c:v>
                </c:pt>
                <c:pt idx="54">
                  <c:v>AIR GAP SURGE LIMITER MAINTENANCE </c:v>
                </c:pt>
                <c:pt idx="55">
                  <c:v>FUNCTIONAL TEST OF HIGH VOLTAGE TEST EQUIPMENT </c:v>
                </c:pt>
                <c:pt idx="56">
                  <c:v>CHECK EYE WASH STATION </c:v>
                </c:pt>
                <c:pt idx="57">
                  <c:v>DISCONNECTOR &amp; EARTH SWITCH MAINTENANCE</c:v>
                </c:pt>
                <c:pt idx="58">
                  <c:v>MOTORISED OPERATING MECHANISM MAINTENANCE</c:v>
                </c:pt>
                <c:pt idx="59">
                  <c:v>INSULATING WALL BUSHING MAINTENANCE </c:v>
                </c:pt>
                <c:pt idx="60">
                  <c:v>PLC FILTER TUNING UNIT MAINTENANCE </c:v>
                </c:pt>
                <c:pt idx="61">
                  <c:v>FUNCTIONAL TEST OF EMERGENCY STOP BUTTON </c:v>
                </c:pt>
                <c:pt idx="62">
                  <c:v>VALVE HUMIDITY CONTROL SYSTEM </c:v>
                </c:pt>
                <c:pt idx="63">
                  <c:v>MANUAL OPERATING MECHANISM MAINTENANCE</c:v>
                </c:pt>
              </c:strCache>
            </c:strRef>
          </c:cat>
          <c:val>
            <c:numRef>
              <c:f>Summary!$D$43:$D$106</c:f>
              <c:numCache>
                <c:formatCode>"$"#,##0_);[Red]\("$"#,##0\)</c:formatCode>
                <c:ptCount val="64"/>
                <c:pt idx="0">
                  <c:v>3816967.4208430848</c:v>
                </c:pt>
                <c:pt idx="1">
                  <c:v>2030266.9309285311</c:v>
                </c:pt>
                <c:pt idx="2">
                  <c:v>1111355.8246934987</c:v>
                </c:pt>
                <c:pt idx="3">
                  <c:v>811137.65424346947</c:v>
                </c:pt>
                <c:pt idx="4">
                  <c:v>729617.23521928187</c:v>
                </c:pt>
                <c:pt idx="5">
                  <c:v>698889.02888552553</c:v>
                </c:pt>
                <c:pt idx="6">
                  <c:v>570175.62921896565</c:v>
                </c:pt>
                <c:pt idx="7">
                  <c:v>565289.029088813</c:v>
                </c:pt>
                <c:pt idx="8">
                  <c:v>565289.029088813</c:v>
                </c:pt>
                <c:pt idx="9">
                  <c:v>502097.69998524705</c:v>
                </c:pt>
                <c:pt idx="10">
                  <c:v>460285.18460182555</c:v>
                </c:pt>
                <c:pt idx="11">
                  <c:v>398815.34843608731</c:v>
                </c:pt>
                <c:pt idx="12">
                  <c:v>394698.48091857298</c:v>
                </c:pt>
                <c:pt idx="13">
                  <c:v>316025.56660057593</c:v>
                </c:pt>
                <c:pt idx="14">
                  <c:v>287807.93931951444</c:v>
                </c:pt>
                <c:pt idx="15">
                  <c:v>218096.81057713096</c:v>
                </c:pt>
                <c:pt idx="16">
                  <c:v>212865.68198344475</c:v>
                </c:pt>
                <c:pt idx="17">
                  <c:v>201368.88428599297</c:v>
                </c:pt>
                <c:pt idx="18">
                  <c:v>179573.26516142578</c:v>
                </c:pt>
                <c:pt idx="19">
                  <c:v>178692.82277619865</c:v>
                </c:pt>
                <c:pt idx="20">
                  <c:v>172301.28131694152</c:v>
                </c:pt>
                <c:pt idx="21">
                  <c:v>168226.2189761714</c:v>
                </c:pt>
                <c:pt idx="22">
                  <c:v>150271.7525255061</c:v>
                </c:pt>
                <c:pt idx="23">
                  <c:v>140777.79976800608</c:v>
                </c:pt>
                <c:pt idx="24">
                  <c:v>140064.68242432876</c:v>
                </c:pt>
                <c:pt idx="25">
                  <c:v>137349.20433661022</c:v>
                </c:pt>
                <c:pt idx="26">
                  <c:v>116498.89400170342</c:v>
                </c:pt>
                <c:pt idx="27">
                  <c:v>106947.4360989117</c:v>
                </c:pt>
                <c:pt idx="28">
                  <c:v>93724.656506171727</c:v>
                </c:pt>
                <c:pt idx="29">
                  <c:v>87120.759036050964</c:v>
                </c:pt>
                <c:pt idx="30">
                  <c:v>70272.692101809123</c:v>
                </c:pt>
                <c:pt idx="31">
                  <c:v>69234.725266928581</c:v>
                </c:pt>
                <c:pt idx="32">
                  <c:v>67609.441010464012</c:v>
                </c:pt>
                <c:pt idx="33">
                  <c:v>41032.696665215335</c:v>
                </c:pt>
                <c:pt idx="34">
                  <c:v>39514.557686325214</c:v>
                </c:pt>
                <c:pt idx="35">
                  <c:v>38363.623175605186</c:v>
                </c:pt>
                <c:pt idx="36">
                  <c:v>38363.623175605186</c:v>
                </c:pt>
                <c:pt idx="37">
                  <c:v>36385.668372944208</c:v>
                </c:pt>
                <c:pt idx="38">
                  <c:v>35496.69181273914</c:v>
                </c:pt>
                <c:pt idx="39">
                  <c:v>34083.178364982312</c:v>
                </c:pt>
                <c:pt idx="40">
                  <c:v>31086.568840483273</c:v>
                </c:pt>
                <c:pt idx="41">
                  <c:v>31051.80901171374</c:v>
                </c:pt>
                <c:pt idx="42">
                  <c:v>28384.879331098506</c:v>
                </c:pt>
                <c:pt idx="43">
                  <c:v>26914.427786489141</c:v>
                </c:pt>
                <c:pt idx="44">
                  <c:v>26271.936136761477</c:v>
                </c:pt>
                <c:pt idx="45">
                  <c:v>25807.158051903676</c:v>
                </c:pt>
                <c:pt idx="46">
                  <c:v>19124.564333266087</c:v>
                </c:pt>
                <c:pt idx="47">
                  <c:v>19050.625448945189</c:v>
                </c:pt>
                <c:pt idx="48">
                  <c:v>17147.861921652257</c:v>
                </c:pt>
                <c:pt idx="49">
                  <c:v>16469.487932900149</c:v>
                </c:pt>
                <c:pt idx="50">
                  <c:v>15494.719208124878</c:v>
                </c:pt>
                <c:pt idx="51">
                  <c:v>13716.766087714721</c:v>
                </c:pt>
                <c:pt idx="52">
                  <c:v>12383.301247407104</c:v>
                </c:pt>
                <c:pt idx="53">
                  <c:v>8382.9067264842542</c:v>
                </c:pt>
                <c:pt idx="54">
                  <c:v>8382.9067264842542</c:v>
                </c:pt>
                <c:pt idx="55">
                  <c:v>4474.8413111043019</c:v>
                </c:pt>
                <c:pt idx="56">
                  <c:v>3880.7027168568402</c:v>
                </c:pt>
                <c:pt idx="57">
                  <c:v>3629.8043595154681</c:v>
                </c:pt>
                <c:pt idx="58">
                  <c:v>3629.8043595154681</c:v>
                </c:pt>
                <c:pt idx="59">
                  <c:v>3008.2116864937502</c:v>
                </c:pt>
                <c:pt idx="60">
                  <c:v>2413.6742024999999</c:v>
                </c:pt>
                <c:pt idx="61">
                  <c:v>970.17567921420982</c:v>
                </c:pt>
                <c:pt idx="62">
                  <c:v>0</c:v>
                </c:pt>
                <c:pt idx="63">
                  <c:v>0</c:v>
                </c:pt>
              </c:numCache>
            </c:numRef>
          </c:val>
        </c:ser>
        <c:dLbls>
          <c:showLegendKey val="0"/>
          <c:showVal val="0"/>
          <c:showCatName val="0"/>
          <c:showSerName val="0"/>
          <c:showPercent val="0"/>
          <c:showBubbleSize val="0"/>
        </c:dLbls>
        <c:gapWidth val="150"/>
        <c:axId val="131917312"/>
        <c:axId val="153285120"/>
      </c:barChart>
      <c:catAx>
        <c:axId val="131917312"/>
        <c:scaling>
          <c:orientation val="minMax"/>
        </c:scaling>
        <c:delete val="0"/>
        <c:axPos val="b"/>
        <c:majorTickMark val="out"/>
        <c:minorTickMark val="none"/>
        <c:tickLblPos val="nextTo"/>
        <c:txPr>
          <a:bodyPr rot="-2340000"/>
          <a:lstStyle/>
          <a:p>
            <a:pPr>
              <a:defRPr sz="800"/>
            </a:pPr>
            <a:endParaRPr lang="en-US"/>
          </a:p>
        </c:txPr>
        <c:crossAx val="153285120"/>
        <c:crosses val="autoZero"/>
        <c:auto val="1"/>
        <c:lblAlgn val="ctr"/>
        <c:lblOffset val="100"/>
        <c:noMultiLvlLbl val="0"/>
      </c:catAx>
      <c:valAx>
        <c:axId val="153285120"/>
        <c:scaling>
          <c:orientation val="minMax"/>
        </c:scaling>
        <c:delete val="0"/>
        <c:axPos val="l"/>
        <c:majorGridlines/>
        <c:title>
          <c:tx>
            <c:rich>
              <a:bodyPr rot="-5400000" vert="horz"/>
              <a:lstStyle/>
              <a:p>
                <a:pPr>
                  <a:defRPr/>
                </a:pPr>
                <a:r>
                  <a:rPr lang="en-US"/>
                  <a:t>Total Cost in AER Period ($millions)</a:t>
                </a:r>
              </a:p>
            </c:rich>
          </c:tx>
          <c:layout/>
          <c:overlay val="0"/>
        </c:title>
        <c:numFmt formatCode="&quot;$&quot;#,##0.0;[Red]\-&quot;$&quot;#,##0.0" sourceLinked="0"/>
        <c:majorTickMark val="out"/>
        <c:minorTickMark val="none"/>
        <c:tickLblPos val="nextTo"/>
        <c:crossAx val="131917312"/>
        <c:crosses val="autoZero"/>
        <c:crossBetween val="between"/>
        <c:dispUnits>
          <c:builtInUnit val="millions"/>
        </c:dispUnits>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Summary!$A$6:$B$6</c:f>
              <c:strCache>
                <c:ptCount val="1"/>
                <c:pt idx="0">
                  <c:v>APA Material Costs</c:v>
                </c:pt>
              </c:strCache>
            </c:strRef>
          </c:tx>
          <c:invertIfNegative val="0"/>
          <c:cat>
            <c:strRef>
              <c:f>Summary!$C$4:$G$4</c:f>
              <c:strCache>
                <c:ptCount val="5"/>
                <c:pt idx="0">
                  <c:v>2015/16</c:v>
                </c:pt>
                <c:pt idx="1">
                  <c:v>2016/17</c:v>
                </c:pt>
                <c:pt idx="2">
                  <c:v>2017/18</c:v>
                </c:pt>
                <c:pt idx="3">
                  <c:v>2018/19</c:v>
                </c:pt>
                <c:pt idx="4">
                  <c:v>2019/20</c:v>
                </c:pt>
              </c:strCache>
            </c:strRef>
          </c:cat>
          <c:val>
            <c:numRef>
              <c:f>Summary!$C$6:$G$6</c:f>
              <c:numCache>
                <c:formatCode>"$"#,##0_);[Red]\("$"#,##0\)</c:formatCode>
                <c:ptCount val="5"/>
                <c:pt idx="0">
                  <c:v>1198063.3466134237</c:v>
                </c:pt>
                <c:pt idx="1">
                  <c:v>1150031.0397791092</c:v>
                </c:pt>
                <c:pt idx="2">
                  <c:v>1194458.7541105433</c:v>
                </c:pt>
                <c:pt idx="3">
                  <c:v>1227273.107605648</c:v>
                </c:pt>
                <c:pt idx="4">
                  <c:v>1281016.4350819923</c:v>
                </c:pt>
              </c:numCache>
            </c:numRef>
          </c:val>
        </c:ser>
        <c:ser>
          <c:idx val="0"/>
          <c:order val="1"/>
          <c:tx>
            <c:strRef>
              <c:f>Summary!$A$5:$B$5</c:f>
              <c:strCache>
                <c:ptCount val="1"/>
                <c:pt idx="0">
                  <c:v>APA Staff Costs</c:v>
                </c:pt>
              </c:strCache>
            </c:strRef>
          </c:tx>
          <c:invertIfNegative val="0"/>
          <c:cat>
            <c:strRef>
              <c:f>Summary!$C$4:$G$4</c:f>
              <c:strCache>
                <c:ptCount val="5"/>
                <c:pt idx="0">
                  <c:v>2015/16</c:v>
                </c:pt>
                <c:pt idx="1">
                  <c:v>2016/17</c:v>
                </c:pt>
                <c:pt idx="2">
                  <c:v>2017/18</c:v>
                </c:pt>
                <c:pt idx="3">
                  <c:v>2018/19</c:v>
                </c:pt>
                <c:pt idx="4">
                  <c:v>2019/20</c:v>
                </c:pt>
              </c:strCache>
            </c:strRef>
          </c:cat>
          <c:val>
            <c:numRef>
              <c:f>Summary!$C$5:$G$5</c:f>
              <c:numCache>
                <c:formatCode>"$"#,##0_);[Red]\("$"#,##0\)</c:formatCode>
                <c:ptCount val="5"/>
                <c:pt idx="0">
                  <c:v>1147888.7577037427</c:v>
                </c:pt>
                <c:pt idx="1">
                  <c:v>1066650.8105062242</c:v>
                </c:pt>
                <c:pt idx="2">
                  <c:v>1100631.3047713186</c:v>
                </c:pt>
                <c:pt idx="3">
                  <c:v>1126427.0271324134</c:v>
                </c:pt>
                <c:pt idx="4">
                  <c:v>1151751.7476819893</c:v>
                </c:pt>
              </c:numCache>
            </c:numRef>
          </c:val>
        </c:ser>
        <c:ser>
          <c:idx val="2"/>
          <c:order val="2"/>
          <c:tx>
            <c:strRef>
              <c:f>Summary!$A$7:$B$7</c:f>
              <c:strCache>
                <c:ptCount val="1"/>
                <c:pt idx="0">
                  <c:v>Contractor Labour</c:v>
                </c:pt>
              </c:strCache>
            </c:strRef>
          </c:tx>
          <c:invertIfNegative val="0"/>
          <c:cat>
            <c:strRef>
              <c:f>Summary!$C$4:$G$4</c:f>
              <c:strCache>
                <c:ptCount val="5"/>
                <c:pt idx="0">
                  <c:v>2015/16</c:v>
                </c:pt>
                <c:pt idx="1">
                  <c:v>2016/17</c:v>
                </c:pt>
                <c:pt idx="2">
                  <c:v>2017/18</c:v>
                </c:pt>
                <c:pt idx="3">
                  <c:v>2018/19</c:v>
                </c:pt>
                <c:pt idx="4">
                  <c:v>2019/20</c:v>
                </c:pt>
              </c:strCache>
            </c:strRef>
          </c:cat>
          <c:val>
            <c:numRef>
              <c:f>Summary!$C$7:$G$7</c:f>
              <c:numCache>
                <c:formatCode>"$"#,##0_);[Red]\("$"#,##0\)</c:formatCode>
                <c:ptCount val="5"/>
                <c:pt idx="0">
                  <c:v>1227375.4178590288</c:v>
                </c:pt>
                <c:pt idx="1">
                  <c:v>808596.10485628608</c:v>
                </c:pt>
                <c:pt idx="2">
                  <c:v>891801.03236050578</c:v>
                </c:pt>
                <c:pt idx="3">
                  <c:v>859825.22092002619</c:v>
                </c:pt>
                <c:pt idx="4">
                  <c:v>898305.2121124767</c:v>
                </c:pt>
              </c:numCache>
            </c:numRef>
          </c:val>
        </c:ser>
        <c:ser>
          <c:idx val="3"/>
          <c:order val="3"/>
          <c:tx>
            <c:strRef>
              <c:f>Summary!$A$8:$B$8</c:f>
              <c:strCache>
                <c:ptCount val="1"/>
                <c:pt idx="0">
                  <c:v>Contractor Materials</c:v>
                </c:pt>
              </c:strCache>
            </c:strRef>
          </c:tx>
          <c:invertIfNegative val="0"/>
          <c:cat>
            <c:strRef>
              <c:f>Summary!$C$4:$G$4</c:f>
              <c:strCache>
                <c:ptCount val="5"/>
                <c:pt idx="0">
                  <c:v>2015/16</c:v>
                </c:pt>
                <c:pt idx="1">
                  <c:v>2016/17</c:v>
                </c:pt>
                <c:pt idx="2">
                  <c:v>2017/18</c:v>
                </c:pt>
                <c:pt idx="3">
                  <c:v>2018/19</c:v>
                </c:pt>
                <c:pt idx="4">
                  <c:v>2019/20</c:v>
                </c:pt>
              </c:strCache>
            </c:strRef>
          </c:cat>
          <c:val>
            <c:numRef>
              <c:f>Summary!$C$8:$G$8</c:f>
              <c:numCache>
                <c:formatCode>"$"#,##0_);[Red]\("$"#,##0\)</c:formatCode>
                <c:ptCount val="5"/>
                <c:pt idx="0">
                  <c:v>5007.8600000000006</c:v>
                </c:pt>
                <c:pt idx="1">
                  <c:v>4667.96</c:v>
                </c:pt>
                <c:pt idx="2">
                  <c:v>4807.9988000000012</c:v>
                </c:pt>
                <c:pt idx="3">
                  <c:v>4952.2387639999997</c:v>
                </c:pt>
                <c:pt idx="4">
                  <c:v>5100.8059269200003</c:v>
                </c:pt>
              </c:numCache>
            </c:numRef>
          </c:val>
        </c:ser>
        <c:dLbls>
          <c:showLegendKey val="0"/>
          <c:showVal val="0"/>
          <c:showCatName val="0"/>
          <c:showSerName val="0"/>
          <c:showPercent val="0"/>
          <c:showBubbleSize val="0"/>
        </c:dLbls>
        <c:gapWidth val="150"/>
        <c:overlap val="100"/>
        <c:axId val="132399616"/>
        <c:axId val="153286848"/>
      </c:barChart>
      <c:catAx>
        <c:axId val="132399616"/>
        <c:scaling>
          <c:orientation val="minMax"/>
        </c:scaling>
        <c:delete val="0"/>
        <c:axPos val="b"/>
        <c:numFmt formatCode="General" sourceLinked="1"/>
        <c:majorTickMark val="out"/>
        <c:minorTickMark val="none"/>
        <c:tickLblPos val="nextTo"/>
        <c:crossAx val="153286848"/>
        <c:crosses val="autoZero"/>
        <c:auto val="1"/>
        <c:lblAlgn val="ctr"/>
        <c:lblOffset val="100"/>
        <c:noMultiLvlLbl val="0"/>
      </c:catAx>
      <c:valAx>
        <c:axId val="153286848"/>
        <c:scaling>
          <c:orientation val="minMax"/>
        </c:scaling>
        <c:delete val="0"/>
        <c:axPos val="l"/>
        <c:majorGridlines/>
        <c:title>
          <c:tx>
            <c:rich>
              <a:bodyPr rot="-5400000" vert="horz"/>
              <a:lstStyle/>
              <a:p>
                <a:pPr>
                  <a:defRPr sz="1200"/>
                </a:pPr>
                <a:r>
                  <a:rPr lang="en-US" sz="1200"/>
                  <a:t>Annual O&amp;M ($millions)</a:t>
                </a:r>
              </a:p>
            </c:rich>
          </c:tx>
          <c:layout/>
          <c:overlay val="0"/>
        </c:title>
        <c:numFmt formatCode="&quot;$&quot;#,##0.0;[Red]\-&quot;$&quot;#,##0.0" sourceLinked="0"/>
        <c:majorTickMark val="out"/>
        <c:minorTickMark val="none"/>
        <c:tickLblPos val="nextTo"/>
        <c:crossAx val="132399616"/>
        <c:crosses val="autoZero"/>
        <c:crossBetween val="between"/>
        <c:dispUnits>
          <c:builtInUnit val="millions"/>
        </c:dispUnits>
      </c:valAx>
    </c:plotArea>
    <c:legend>
      <c:legendPos val="r"/>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4"/>
          <c:order val="0"/>
          <c:invertIfNegative val="0"/>
          <c:dLbls>
            <c:numFmt formatCode="&quot;$&quot;#,##0\k" sourceLinked="0"/>
            <c:txPr>
              <a:bodyPr/>
              <a:lstStyle/>
              <a:p>
                <a:pPr>
                  <a:defRPr sz="1200"/>
                </a:pPr>
                <a:endParaRPr lang="en-US"/>
              </a:p>
            </c:txPr>
            <c:showLegendKey val="0"/>
            <c:showVal val="1"/>
            <c:showCatName val="0"/>
            <c:showSerName val="0"/>
            <c:showPercent val="0"/>
            <c:showBubbleSize val="0"/>
            <c:showLeaderLines val="0"/>
          </c:dLbls>
          <c:cat>
            <c:strRef>
              <c:f>Summary!$C$43:$C$63</c:f>
              <c:strCache>
                <c:ptCount val="21"/>
                <c:pt idx="0">
                  <c:v>ELECTRICITY COSTS</c:v>
                </c:pt>
                <c:pt idx="1">
                  <c:v>CABLE REPAIRS</c:v>
                </c:pt>
                <c:pt idx="2">
                  <c:v>CONTROL ROOM OPERATIONS</c:v>
                </c:pt>
                <c:pt idx="3">
                  <c:v>OPERATIONS MANAGER</c:v>
                </c:pt>
                <c:pt idx="4">
                  <c:v>SENIOR RELIABILITY ENGINEER</c:v>
                </c:pt>
                <c:pt idx="5">
                  <c:v>RELIABILITY ENGINEER</c:v>
                </c:pt>
                <c:pt idx="6">
                  <c:v>PHASE REACTOR MAINTENANCE</c:v>
                </c:pt>
                <c:pt idx="7">
                  <c:v>WORKS PLANNER</c:v>
                </c:pt>
                <c:pt idx="8">
                  <c:v>WORK PRACTICES SPECIALIST</c:v>
                </c:pt>
                <c:pt idx="9">
                  <c:v>VEGETATION MANAGEMENT</c:v>
                </c:pt>
                <c:pt idx="10">
                  <c:v>POWER TRANSFORMER MAINTENANCE </c:v>
                </c:pt>
                <c:pt idx="11">
                  <c:v>CIRCUIT BREAKER MAINTENANCE</c:v>
                </c:pt>
                <c:pt idx="12">
                  <c:v>TRAVEL</c:v>
                </c:pt>
                <c:pt idx="13">
                  <c:v>SITE SECURITY</c:v>
                </c:pt>
                <c:pt idx="14">
                  <c:v>REMOTE COMMUNICATIONS</c:v>
                </c:pt>
                <c:pt idx="15">
                  <c:v>CONTROL SYSTEM REPAIRS</c:v>
                </c:pt>
                <c:pt idx="16">
                  <c:v>REACTOR MAINTENANCE</c:v>
                </c:pt>
                <c:pt idx="17">
                  <c:v>OTHER COSTS</c:v>
                </c:pt>
                <c:pt idx="18">
                  <c:v>INCIDENTAL INVESTIGATIONS</c:v>
                </c:pt>
                <c:pt idx="19">
                  <c:v>ENERGISED MAINTENANCE INSPECTION </c:v>
                </c:pt>
                <c:pt idx="20">
                  <c:v>AIR BLAST COOLER MAINTENANCE </c:v>
                </c:pt>
              </c:strCache>
            </c:strRef>
          </c:cat>
          <c:val>
            <c:numRef>
              <c:f>Summary!$D$43:$D$63</c:f>
              <c:numCache>
                <c:formatCode>"$"#,##0_);[Red]\("$"#,##0\)</c:formatCode>
                <c:ptCount val="21"/>
                <c:pt idx="0">
                  <c:v>3816967.4208430848</c:v>
                </c:pt>
                <c:pt idx="1">
                  <c:v>2030266.9309285311</c:v>
                </c:pt>
                <c:pt idx="2">
                  <c:v>1111355.8246934987</c:v>
                </c:pt>
                <c:pt idx="3">
                  <c:v>811137.65424346947</c:v>
                </c:pt>
                <c:pt idx="4">
                  <c:v>729617.23521928187</c:v>
                </c:pt>
                <c:pt idx="5">
                  <c:v>698889.02888552553</c:v>
                </c:pt>
                <c:pt idx="6">
                  <c:v>570175.62921896565</c:v>
                </c:pt>
                <c:pt idx="7">
                  <c:v>565289.029088813</c:v>
                </c:pt>
                <c:pt idx="8">
                  <c:v>565289.029088813</c:v>
                </c:pt>
                <c:pt idx="9">
                  <c:v>502097.69998524705</c:v>
                </c:pt>
                <c:pt idx="10">
                  <c:v>460285.18460182555</c:v>
                </c:pt>
                <c:pt idx="11">
                  <c:v>398815.34843608731</c:v>
                </c:pt>
                <c:pt idx="12">
                  <c:v>394698.48091857298</c:v>
                </c:pt>
                <c:pt idx="13">
                  <c:v>316025.56660057593</c:v>
                </c:pt>
                <c:pt idx="14">
                  <c:v>287807.93931951444</c:v>
                </c:pt>
                <c:pt idx="15">
                  <c:v>218096.81057713096</c:v>
                </c:pt>
                <c:pt idx="16">
                  <c:v>212865.68198344475</c:v>
                </c:pt>
                <c:pt idx="17">
                  <c:v>201368.88428599297</c:v>
                </c:pt>
                <c:pt idx="18">
                  <c:v>179573.26516142578</c:v>
                </c:pt>
                <c:pt idx="19">
                  <c:v>178692.82277619865</c:v>
                </c:pt>
                <c:pt idx="20">
                  <c:v>172301.28131694152</c:v>
                </c:pt>
              </c:numCache>
            </c:numRef>
          </c:val>
        </c:ser>
        <c:dLbls>
          <c:showLegendKey val="0"/>
          <c:showVal val="0"/>
          <c:showCatName val="0"/>
          <c:showSerName val="0"/>
          <c:showPercent val="0"/>
          <c:showBubbleSize val="0"/>
        </c:dLbls>
        <c:gapWidth val="150"/>
        <c:axId val="131918336"/>
        <c:axId val="174965888"/>
      </c:barChart>
      <c:catAx>
        <c:axId val="131918336"/>
        <c:scaling>
          <c:orientation val="maxMin"/>
        </c:scaling>
        <c:delete val="0"/>
        <c:axPos val="l"/>
        <c:majorTickMark val="out"/>
        <c:minorTickMark val="none"/>
        <c:tickLblPos val="nextTo"/>
        <c:txPr>
          <a:bodyPr/>
          <a:lstStyle/>
          <a:p>
            <a:pPr>
              <a:defRPr sz="1200">
                <a:solidFill>
                  <a:sysClr val="windowText" lastClr="000000"/>
                </a:solidFill>
              </a:defRPr>
            </a:pPr>
            <a:endParaRPr lang="en-US"/>
          </a:p>
        </c:txPr>
        <c:crossAx val="174965888"/>
        <c:crosses val="autoZero"/>
        <c:auto val="1"/>
        <c:lblAlgn val="ctr"/>
        <c:lblOffset val="100"/>
        <c:noMultiLvlLbl val="0"/>
      </c:catAx>
      <c:valAx>
        <c:axId val="174965888"/>
        <c:scaling>
          <c:orientation val="minMax"/>
        </c:scaling>
        <c:delete val="0"/>
        <c:axPos val="t"/>
        <c:majorGridlines/>
        <c:title>
          <c:tx>
            <c:rich>
              <a:bodyPr/>
              <a:lstStyle/>
              <a:p>
                <a:pPr>
                  <a:defRPr sz="1200"/>
                </a:pPr>
                <a:r>
                  <a:rPr lang="en-AU" sz="1200"/>
                  <a:t>Total Cost in AER Period</a:t>
                </a:r>
                <a:r>
                  <a:rPr lang="en-AU" sz="1200" baseline="0"/>
                  <a:t> ($thousands)</a:t>
                </a:r>
              </a:p>
            </c:rich>
          </c:tx>
          <c:layout/>
          <c:overlay val="0"/>
        </c:title>
        <c:numFmt formatCode="&quot;$&quot;#,##0_);[Red]\(&quot;$&quot;#,##0\)" sourceLinked="1"/>
        <c:majorTickMark val="out"/>
        <c:minorTickMark val="none"/>
        <c:tickLblPos val="nextTo"/>
        <c:crossAx val="131918336"/>
        <c:crosses val="autoZero"/>
        <c:crossBetween val="between"/>
        <c:dispUnits>
          <c:builtInUnit val="thousands"/>
        </c:dispUnits>
      </c:valAx>
    </c:plotArea>
    <c:plotVisOnly val="1"/>
    <c:dispBlanksAs val="gap"/>
    <c:showDLblsOverMax val="0"/>
  </c:chart>
  <c:spPr>
    <a:ln>
      <a:noFill/>
    </a:ln>
  </c:sp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'Electricity Costs'!$A$181</c:f>
              <c:strCache>
                <c:ptCount val="1"/>
                <c:pt idx="0">
                  <c:v>Mullumbimby</c:v>
                </c:pt>
              </c:strCache>
            </c:strRef>
          </c:tx>
          <c:marker>
            <c:symbol val="none"/>
          </c:marker>
          <c:xVal>
            <c:numRef>
              <c:f>'Electricity Costs'!$B$185:$B$221</c:f>
              <c:numCache>
                <c:formatCode>mmm\-yy</c:formatCode>
                <c:ptCount val="3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numCache>
            </c:numRef>
          </c:xVal>
          <c:yVal>
            <c:numRef>
              <c:f>'Electricity Costs'!$C$185:$C$221</c:f>
              <c:numCache>
                <c:formatCode>General</c:formatCode>
                <c:ptCount val="37"/>
                <c:pt idx="0">
                  <c:v>150197</c:v>
                </c:pt>
                <c:pt idx="1">
                  <c:v>147077</c:v>
                </c:pt>
                <c:pt idx="2">
                  <c:v>163412</c:v>
                </c:pt>
                <c:pt idx="3">
                  <c:v>150718</c:v>
                </c:pt>
                <c:pt idx="4">
                  <c:v>100767</c:v>
                </c:pt>
                <c:pt idx="5">
                  <c:v>75883</c:v>
                </c:pt>
                <c:pt idx="6">
                  <c:v>89639</c:v>
                </c:pt>
                <c:pt idx="7">
                  <c:v>138364</c:v>
                </c:pt>
                <c:pt idx="8">
                  <c:v>126865</c:v>
                </c:pt>
                <c:pt idx="9">
                  <c:v>175275</c:v>
                </c:pt>
                <c:pt idx="10">
                  <c:v>178976</c:v>
                </c:pt>
                <c:pt idx="11">
                  <c:v>161143</c:v>
                </c:pt>
                <c:pt idx="12">
                  <c:v>146523</c:v>
                </c:pt>
                <c:pt idx="13">
                  <c:v>154396</c:v>
                </c:pt>
                <c:pt idx="14">
                  <c:v>170097</c:v>
                </c:pt>
                <c:pt idx="15">
                  <c:v>125954</c:v>
                </c:pt>
                <c:pt idx="16">
                  <c:v>154649</c:v>
                </c:pt>
                <c:pt idx="17">
                  <c:v>145461</c:v>
                </c:pt>
                <c:pt idx="18">
                  <c:v>111051</c:v>
                </c:pt>
                <c:pt idx="19">
                  <c:v>84339</c:v>
                </c:pt>
                <c:pt idx="20">
                  <c:v>93495</c:v>
                </c:pt>
                <c:pt idx="21">
                  <c:v>132233</c:v>
                </c:pt>
                <c:pt idx="22">
                  <c:v>95838</c:v>
                </c:pt>
                <c:pt idx="23">
                  <c:v>143960</c:v>
                </c:pt>
                <c:pt idx="24">
                  <c:v>141790</c:v>
                </c:pt>
                <c:pt idx="25">
                  <c:v>101847</c:v>
                </c:pt>
                <c:pt idx="26">
                  <c:v>81881</c:v>
                </c:pt>
                <c:pt idx="27">
                  <c:v>79195</c:v>
                </c:pt>
                <c:pt idx="28">
                  <c:v>110525</c:v>
                </c:pt>
                <c:pt idx="29">
                  <c:v>105749</c:v>
                </c:pt>
                <c:pt idx="30">
                  <c:v>106064</c:v>
                </c:pt>
                <c:pt idx="31">
                  <c:v>68689</c:v>
                </c:pt>
                <c:pt idx="32">
                  <c:v>39312</c:v>
                </c:pt>
                <c:pt idx="33">
                  <c:v>36730</c:v>
                </c:pt>
                <c:pt idx="34">
                  <c:v>32879</c:v>
                </c:pt>
                <c:pt idx="35">
                  <c:v>29600</c:v>
                </c:pt>
                <c:pt idx="36">
                  <c:v>41697</c:v>
                </c:pt>
              </c:numCache>
            </c:numRef>
          </c:yVal>
          <c:smooth val="0"/>
        </c:ser>
        <c:ser>
          <c:idx val="1"/>
          <c:order val="1"/>
          <c:tx>
            <c:strRef>
              <c:f>'Electricity Costs'!$A$228</c:f>
              <c:strCache>
                <c:ptCount val="1"/>
                <c:pt idx="0">
                  <c:v>Bungalora</c:v>
                </c:pt>
              </c:strCache>
            </c:strRef>
          </c:tx>
          <c:marker>
            <c:symbol val="none"/>
          </c:marker>
          <c:xVal>
            <c:numRef>
              <c:f>'Electricity Costs'!$B$232:$B$269</c:f>
              <c:numCache>
                <c:formatCode>mmm\-yy</c:formatCode>
                <c:ptCount val="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numCache>
            </c:numRef>
          </c:xVal>
          <c:yVal>
            <c:numRef>
              <c:f>'Electricity Costs'!$C$232:$C$269</c:f>
              <c:numCache>
                <c:formatCode>General</c:formatCode>
                <c:ptCount val="38"/>
                <c:pt idx="0">
                  <c:v>150760</c:v>
                </c:pt>
                <c:pt idx="1">
                  <c:v>146080</c:v>
                </c:pt>
                <c:pt idx="2">
                  <c:v>161216</c:v>
                </c:pt>
                <c:pt idx="3">
                  <c:v>147970</c:v>
                </c:pt>
                <c:pt idx="4">
                  <c:v>100935</c:v>
                </c:pt>
                <c:pt idx="5">
                  <c:v>75175</c:v>
                </c:pt>
                <c:pt idx="6">
                  <c:v>87118</c:v>
                </c:pt>
                <c:pt idx="7">
                  <c:v>137038</c:v>
                </c:pt>
                <c:pt idx="8">
                  <c:v>125912</c:v>
                </c:pt>
                <c:pt idx="9">
                  <c:v>173322</c:v>
                </c:pt>
                <c:pt idx="10">
                  <c:v>176310</c:v>
                </c:pt>
                <c:pt idx="11">
                  <c:v>159419</c:v>
                </c:pt>
                <c:pt idx="12">
                  <c:v>145978</c:v>
                </c:pt>
                <c:pt idx="13">
                  <c:v>152576</c:v>
                </c:pt>
                <c:pt idx="14">
                  <c:v>167642</c:v>
                </c:pt>
                <c:pt idx="15">
                  <c:v>125769</c:v>
                </c:pt>
                <c:pt idx="16">
                  <c:v>152275</c:v>
                </c:pt>
                <c:pt idx="17">
                  <c:v>145278.6</c:v>
                </c:pt>
                <c:pt idx="18">
                  <c:v>112445.28</c:v>
                </c:pt>
                <c:pt idx="19">
                  <c:v>91229.28</c:v>
                </c:pt>
                <c:pt idx="20">
                  <c:v>103629.12</c:v>
                </c:pt>
                <c:pt idx="21">
                  <c:v>144200.32000000001</c:v>
                </c:pt>
                <c:pt idx="22">
                  <c:v>106856.16</c:v>
                </c:pt>
                <c:pt idx="23">
                  <c:v>143365.44</c:v>
                </c:pt>
                <c:pt idx="24">
                  <c:v>126525.59999999999</c:v>
                </c:pt>
                <c:pt idx="25">
                  <c:v>108739.52</c:v>
                </c:pt>
                <c:pt idx="26">
                  <c:v>91026.880000000005</c:v>
                </c:pt>
                <c:pt idx="27">
                  <c:v>98363.65</c:v>
                </c:pt>
                <c:pt idx="28">
                  <c:v>120968.12</c:v>
                </c:pt>
                <c:pt idx="29">
                  <c:v>114233.47</c:v>
                </c:pt>
                <c:pt idx="30">
                  <c:v>115422.49</c:v>
                </c:pt>
                <c:pt idx="31">
                  <c:v>54767.369999999995</c:v>
                </c:pt>
                <c:pt idx="32">
                  <c:v>47638.55</c:v>
                </c:pt>
                <c:pt idx="33">
                  <c:v>49757.380000000005</c:v>
                </c:pt>
                <c:pt idx="34">
                  <c:v>50107.83</c:v>
                </c:pt>
                <c:pt idx="35">
                  <c:v>44654.42</c:v>
                </c:pt>
                <c:pt idx="36">
                  <c:v>53737.75</c:v>
                </c:pt>
                <c:pt idx="37">
                  <c:v>96311.260000000009</c:v>
                </c:pt>
              </c:numCache>
            </c:numRef>
          </c:yVal>
          <c:smooth val="0"/>
        </c:ser>
        <c:dLbls>
          <c:showLegendKey val="0"/>
          <c:showVal val="0"/>
          <c:showCatName val="0"/>
          <c:showSerName val="0"/>
          <c:showPercent val="0"/>
          <c:showBubbleSize val="0"/>
        </c:dLbls>
        <c:axId val="154370048"/>
        <c:axId val="154370624"/>
      </c:scatterChart>
      <c:valAx>
        <c:axId val="154370048"/>
        <c:scaling>
          <c:orientation val="minMax"/>
          <c:max val="41671"/>
          <c:min val="40544"/>
        </c:scaling>
        <c:delete val="0"/>
        <c:axPos val="b"/>
        <c:numFmt formatCode="mmm\-yy" sourceLinked="1"/>
        <c:majorTickMark val="out"/>
        <c:minorTickMark val="none"/>
        <c:tickLblPos val="nextTo"/>
        <c:crossAx val="154370624"/>
        <c:crosses val="autoZero"/>
        <c:crossBetween val="midCat"/>
      </c:valAx>
      <c:valAx>
        <c:axId val="154370624"/>
        <c:scaling>
          <c:orientation val="minMax"/>
        </c:scaling>
        <c:delete val="0"/>
        <c:axPos val="l"/>
        <c:majorGridlines/>
        <c:title>
          <c:tx>
            <c:rich>
              <a:bodyPr rot="-5400000" vert="horz"/>
              <a:lstStyle/>
              <a:p>
                <a:pPr>
                  <a:defRPr/>
                </a:pPr>
                <a:r>
                  <a:rPr lang="en-US"/>
                  <a:t>Monthly MWh use</a:t>
                </a:r>
              </a:p>
            </c:rich>
          </c:tx>
          <c:overlay val="0"/>
        </c:title>
        <c:numFmt formatCode="General" sourceLinked="1"/>
        <c:majorTickMark val="out"/>
        <c:minorTickMark val="none"/>
        <c:tickLblPos val="nextTo"/>
        <c:crossAx val="154370048"/>
        <c:crosses val="autoZero"/>
        <c:crossBetween val="midCat"/>
        <c:dispUnits>
          <c:builtInUnit val="thousands"/>
        </c:dispUnits>
      </c:valAx>
    </c:plotArea>
    <c:legend>
      <c:legendPos val="t"/>
      <c:overlay val="1"/>
      <c:spPr>
        <a:solidFill>
          <a:schemeClr val="bg1"/>
        </a:solidFill>
        <a:effectLst>
          <a:outerShdw blurRad="50800" dist="38100" dir="2700000" algn="tl" rotWithShape="0">
            <a:prstClr val="black">
              <a:alpha val="40000"/>
            </a:prstClr>
          </a:outerShdw>
        </a:effectLst>
      </c:sp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8"/>
          <c:order val="0"/>
          <c:tx>
            <c:strRef>
              <c:f>'Electricity Invoices'!$A$45</c:f>
              <c:strCache>
                <c:ptCount val="1"/>
                <c:pt idx="0">
                  <c:v>Energy Charges</c:v>
                </c:pt>
              </c:strCache>
            </c:strRef>
          </c:tx>
          <c:invertIfNegative val="0"/>
          <c:cat>
            <c:numRef>
              <c:f>'Electricity Costs'!$E$75:$Q$75</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Costs'!$E$84:$Q$84</c:f>
              <c:numCache>
                <c:formatCode>0.00</c:formatCode>
                <c:ptCount val="13"/>
                <c:pt idx="0">
                  <c:v>5741.3168299999998</c:v>
                </c:pt>
                <c:pt idx="1">
                  <c:v>8941.0349200000001</c:v>
                </c:pt>
                <c:pt idx="2">
                  <c:v>8219.9331700000002</c:v>
                </c:pt>
                <c:pt idx="3">
                  <c:v>11156.47308</c:v>
                </c:pt>
                <c:pt idx="4">
                  <c:v>11638.36787</c:v>
                </c:pt>
                <c:pt idx="5">
                  <c:v>10255.591480000001</c:v>
                </c:pt>
                <c:pt idx="6">
                  <c:v>9394.1715000000004</c:v>
                </c:pt>
                <c:pt idx="7">
                  <c:v>10033.89868</c:v>
                </c:pt>
                <c:pt idx="8">
                  <c:v>11046.734640000002</c:v>
                </c:pt>
                <c:pt idx="9">
                  <c:v>7811.905490000001</c:v>
                </c:pt>
                <c:pt idx="10">
                  <c:v>10081.445360000002</c:v>
                </c:pt>
                <c:pt idx="11">
                  <c:v>9311.2486499999995</c:v>
                </c:pt>
                <c:pt idx="12">
                  <c:v>7132.3002300000007</c:v>
                </c:pt>
              </c:numCache>
            </c:numRef>
          </c:val>
        </c:ser>
        <c:ser>
          <c:idx val="9"/>
          <c:order val="1"/>
          <c:tx>
            <c:strRef>
              <c:f>'Electricity Costs'!$A$86</c:f>
              <c:strCache>
                <c:ptCount val="1"/>
                <c:pt idx="0">
                  <c:v>Network Charges (kW)</c:v>
                </c:pt>
              </c:strCache>
            </c:strRef>
          </c:tx>
          <c:invertIfNegative val="0"/>
          <c:cat>
            <c:numRef>
              <c:f>'Electricity Costs'!$E$75:$Q$75</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Costs'!$E$86:$Q$86</c:f>
              <c:numCache>
                <c:formatCode>0.00</c:formatCode>
                <c:ptCount val="13"/>
                <c:pt idx="0">
                  <c:v>7398.4760999999999</c:v>
                </c:pt>
                <c:pt idx="1">
                  <c:v>10387.3488</c:v>
                </c:pt>
                <c:pt idx="2">
                  <c:v>9987.4079999999994</c:v>
                </c:pt>
                <c:pt idx="3">
                  <c:v>11744.840899999999</c:v>
                </c:pt>
                <c:pt idx="4">
                  <c:v>14845.235700000001</c:v>
                </c:pt>
                <c:pt idx="5">
                  <c:v>11594.007600000001</c:v>
                </c:pt>
                <c:pt idx="6">
                  <c:v>13140.3657</c:v>
                </c:pt>
                <c:pt idx="7">
                  <c:v>13054.906900000002</c:v>
                </c:pt>
                <c:pt idx="8">
                  <c:v>13579.1852</c:v>
                </c:pt>
                <c:pt idx="9">
                  <c:v>9136.2533999999996</c:v>
                </c:pt>
                <c:pt idx="10">
                  <c:v>10624.494499999999</c:v>
                </c:pt>
                <c:pt idx="11">
                  <c:v>9775.0470999999998</c:v>
                </c:pt>
                <c:pt idx="12">
                  <c:v>7727.1028499999993</c:v>
                </c:pt>
              </c:numCache>
            </c:numRef>
          </c:val>
        </c:ser>
        <c:ser>
          <c:idx val="0"/>
          <c:order val="2"/>
          <c:tx>
            <c:strRef>
              <c:f>'Electricity Costs'!$A$85</c:f>
              <c:strCache>
                <c:ptCount val="1"/>
                <c:pt idx="0">
                  <c:v>Network Charges (kWh)</c:v>
                </c:pt>
              </c:strCache>
            </c:strRef>
          </c:tx>
          <c:invertIfNegative val="0"/>
          <c:cat>
            <c:numRef>
              <c:f>'Electricity Costs'!$E$75:$Q$75</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Costs'!$E$85:$Q$85</c:f>
              <c:numCache>
                <c:formatCode>0.00</c:formatCode>
                <c:ptCount val="13"/>
                <c:pt idx="0">
                  <c:v>3243.2455009999999</c:v>
                </c:pt>
                <c:pt idx="1">
                  <c:v>5058.3949240000002</c:v>
                </c:pt>
                <c:pt idx="2">
                  <c:v>4652.5390990000005</c:v>
                </c:pt>
                <c:pt idx="3">
                  <c:v>6295.4875259999999</c:v>
                </c:pt>
                <c:pt idx="4">
                  <c:v>6591.4193390000009</c:v>
                </c:pt>
                <c:pt idx="5">
                  <c:v>5786.9962059999998</c:v>
                </c:pt>
                <c:pt idx="6">
                  <c:v>5307.6450000000004</c:v>
                </c:pt>
                <c:pt idx="7">
                  <c:v>5682.1429960000005</c:v>
                </c:pt>
                <c:pt idx="8">
                  <c:v>6254.9867580000009</c:v>
                </c:pt>
                <c:pt idx="9">
                  <c:v>4388.1825530000006</c:v>
                </c:pt>
                <c:pt idx="10">
                  <c:v>5712.0371420000001</c:v>
                </c:pt>
                <c:pt idx="11">
                  <c:v>5259.3590550000008</c:v>
                </c:pt>
                <c:pt idx="12">
                  <c:v>4030.9002810000006</c:v>
                </c:pt>
              </c:numCache>
            </c:numRef>
          </c:val>
        </c:ser>
        <c:ser>
          <c:idx val="10"/>
          <c:order val="3"/>
          <c:tx>
            <c:strRef>
              <c:f>'Electricity Costs'!$A$87</c:f>
              <c:strCache>
                <c:ptCount val="1"/>
                <c:pt idx="0">
                  <c:v>Other Charges</c:v>
                </c:pt>
              </c:strCache>
            </c:strRef>
          </c:tx>
          <c:invertIfNegative val="0"/>
          <c:cat>
            <c:numRef>
              <c:f>'Electricity Costs'!$E$75:$Q$75</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Costs'!$E$87:$Q$87</c:f>
              <c:numCache>
                <c:formatCode>0.00</c:formatCode>
                <c:ptCount val="13"/>
                <c:pt idx="0">
                  <c:v>932.51451700000007</c:v>
                </c:pt>
                <c:pt idx="1">
                  <c:v>1439.4006919999999</c:v>
                </c:pt>
                <c:pt idx="2">
                  <c:v>1319.776595</c:v>
                </c:pt>
                <c:pt idx="3">
                  <c:v>1823.3858249999998</c:v>
                </c:pt>
                <c:pt idx="4">
                  <c:v>1861.887328</c:v>
                </c:pt>
                <c:pt idx="5">
                  <c:v>1676.370629</c:v>
                </c:pt>
                <c:pt idx="6">
                  <c:v>1524.278769</c:v>
                </c:pt>
                <c:pt idx="7">
                  <c:v>1606.1815880000001</c:v>
                </c:pt>
                <c:pt idx="8">
                  <c:v>1769.5190909999999</c:v>
                </c:pt>
                <c:pt idx="9">
                  <c:v>1310.2994619999999</c:v>
                </c:pt>
                <c:pt idx="10">
                  <c:v>1608.813547</c:v>
                </c:pt>
                <c:pt idx="11">
                  <c:v>1513.230783</c:v>
                </c:pt>
                <c:pt idx="12">
                  <c:v>1155.263553</c:v>
                </c:pt>
              </c:numCache>
            </c:numRef>
          </c:val>
        </c:ser>
        <c:ser>
          <c:idx val="11"/>
          <c:order val="4"/>
          <c:tx>
            <c:strRef>
              <c:f>'Electricity Costs'!$A$88</c:f>
              <c:strCache>
                <c:ptCount val="1"/>
                <c:pt idx="0">
                  <c:v>Access &amp; Metering</c:v>
                </c:pt>
              </c:strCache>
            </c:strRef>
          </c:tx>
          <c:invertIfNegative val="0"/>
          <c:cat>
            <c:numRef>
              <c:f>'Electricity Costs'!$E$75:$Q$75</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Costs'!$E$88:$Q$88</c:f>
              <c:numCache>
                <c:formatCode>0.00</c:formatCode>
                <c:ptCount val="13"/>
                <c:pt idx="0">
                  <c:v>516.99369999999999</c:v>
                </c:pt>
                <c:pt idx="1">
                  <c:v>516.99369999999999</c:v>
                </c:pt>
                <c:pt idx="2">
                  <c:v>503.38100000000003</c:v>
                </c:pt>
                <c:pt idx="3">
                  <c:v>516.99369999999999</c:v>
                </c:pt>
                <c:pt idx="4">
                  <c:v>503.38100000000003</c:v>
                </c:pt>
                <c:pt idx="5">
                  <c:v>516.99369999999999</c:v>
                </c:pt>
                <c:pt idx="6">
                  <c:v>516.99369999999999</c:v>
                </c:pt>
                <c:pt idx="7">
                  <c:v>489.76830000000001</c:v>
                </c:pt>
                <c:pt idx="8">
                  <c:v>516.99369999999999</c:v>
                </c:pt>
                <c:pt idx="9">
                  <c:v>503.38100000000003</c:v>
                </c:pt>
                <c:pt idx="10">
                  <c:v>516.99369999999999</c:v>
                </c:pt>
                <c:pt idx="11">
                  <c:v>503.38100000000003</c:v>
                </c:pt>
                <c:pt idx="12">
                  <c:v>516.99369999999999</c:v>
                </c:pt>
              </c:numCache>
            </c:numRef>
          </c:val>
        </c:ser>
        <c:dLbls>
          <c:showLegendKey val="0"/>
          <c:showVal val="0"/>
          <c:showCatName val="0"/>
          <c:showSerName val="0"/>
          <c:showPercent val="0"/>
          <c:showBubbleSize val="0"/>
        </c:dLbls>
        <c:gapWidth val="150"/>
        <c:overlap val="100"/>
        <c:axId val="180332544"/>
        <c:axId val="154372928"/>
      </c:barChart>
      <c:dateAx>
        <c:axId val="180332544"/>
        <c:scaling>
          <c:orientation val="minMax"/>
        </c:scaling>
        <c:delete val="0"/>
        <c:axPos val="b"/>
        <c:numFmt formatCode="mmm\-yy" sourceLinked="0"/>
        <c:majorTickMark val="out"/>
        <c:minorTickMark val="none"/>
        <c:tickLblPos val="nextTo"/>
        <c:crossAx val="154372928"/>
        <c:crosses val="autoZero"/>
        <c:auto val="1"/>
        <c:lblOffset val="100"/>
        <c:baseTimeUnit val="months"/>
      </c:dateAx>
      <c:valAx>
        <c:axId val="154372928"/>
        <c:scaling>
          <c:orientation val="minMax"/>
        </c:scaling>
        <c:delete val="0"/>
        <c:axPos val="l"/>
        <c:majorGridlines/>
        <c:title>
          <c:tx>
            <c:rich>
              <a:bodyPr rot="-5400000" vert="horz"/>
              <a:lstStyle/>
              <a:p>
                <a:pPr>
                  <a:defRPr/>
                </a:pPr>
                <a:r>
                  <a:rPr lang="en-US"/>
                  <a:t>Monthly Electricity Cost (Mullumbimby)</a:t>
                </a:r>
              </a:p>
            </c:rich>
          </c:tx>
          <c:overlay val="0"/>
        </c:title>
        <c:numFmt formatCode="&quot;$&quot;#,##0" sourceLinked="0"/>
        <c:majorTickMark val="out"/>
        <c:minorTickMark val="none"/>
        <c:tickLblPos val="nextTo"/>
        <c:crossAx val="180332544"/>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8"/>
          <c:order val="0"/>
          <c:tx>
            <c:strRef>
              <c:f>'Electricity Invoices'!$A$45</c:f>
              <c:strCache>
                <c:ptCount val="1"/>
                <c:pt idx="0">
                  <c:v>Energy Charges</c:v>
                </c:pt>
              </c:strCache>
            </c:strRef>
          </c:tx>
          <c:invertIfNegative val="0"/>
          <c:cat>
            <c:numRef>
              <c:f>'Electricity Costs'!$E$93:$Q$93</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Costs'!$E$102:$Q$102</c:f>
              <c:numCache>
                <c:formatCode>0.00</c:formatCode>
                <c:ptCount val="13"/>
                <c:pt idx="0">
                  <c:v>5825.5090680000003</c:v>
                </c:pt>
                <c:pt idx="1">
                  <c:v>9252.392382</c:v>
                </c:pt>
                <c:pt idx="2">
                  <c:v>8517.0342089999995</c:v>
                </c:pt>
                <c:pt idx="3">
                  <c:v>11515.610715000001</c:v>
                </c:pt>
                <c:pt idx="4">
                  <c:v>11961.605742</c:v>
                </c:pt>
                <c:pt idx="5">
                  <c:v>10608.077088000002</c:v>
                </c:pt>
                <c:pt idx="6">
                  <c:v>9759.337689</c:v>
                </c:pt>
                <c:pt idx="7">
                  <c:v>10354.361403000001</c:v>
                </c:pt>
                <c:pt idx="8">
                  <c:v>11372.347793999999</c:v>
                </c:pt>
                <c:pt idx="9">
                  <c:v>8157.6777480000001</c:v>
                </c:pt>
                <c:pt idx="10">
                  <c:v>10547.163141000001</c:v>
                </c:pt>
                <c:pt idx="11">
                  <c:v>9721.8113241599985</c:v>
                </c:pt>
                <c:pt idx="12">
                  <c:v>7567.5413913599996</c:v>
                </c:pt>
              </c:numCache>
            </c:numRef>
          </c:val>
        </c:ser>
        <c:ser>
          <c:idx val="9"/>
          <c:order val="1"/>
          <c:tx>
            <c:strRef>
              <c:f>'Electricity Costs'!$A$86</c:f>
              <c:strCache>
                <c:ptCount val="1"/>
                <c:pt idx="0">
                  <c:v>Network Charges (kW)</c:v>
                </c:pt>
              </c:strCache>
            </c:strRef>
          </c:tx>
          <c:invertIfNegative val="0"/>
          <c:cat>
            <c:numRef>
              <c:f>'Electricity Costs'!$E$93:$Q$93</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Costs'!$E$104:$Q$104</c:f>
              <c:numCache>
                <c:formatCode>0.00</c:formatCode>
                <c:ptCount val="13"/>
                <c:pt idx="0">
                  <c:v>7761.2415999999994</c:v>
                </c:pt>
                <c:pt idx="1">
                  <c:v>10097.644</c:v>
                </c:pt>
                <c:pt idx="2">
                  <c:v>10019.879000000001</c:v>
                </c:pt>
                <c:pt idx="3">
                  <c:v>11639.726499999999</c:v>
                </c:pt>
                <c:pt idx="4">
                  <c:v>14305.144900000001</c:v>
                </c:pt>
                <c:pt idx="5">
                  <c:v>11434.202000000001</c:v>
                </c:pt>
                <c:pt idx="6">
                  <c:v>12441.747800000001</c:v>
                </c:pt>
                <c:pt idx="7">
                  <c:v>12867.327000000001</c:v>
                </c:pt>
                <c:pt idx="8">
                  <c:v>13396.3058</c:v>
                </c:pt>
                <c:pt idx="9">
                  <c:v>9778.8940000000021</c:v>
                </c:pt>
                <c:pt idx="10">
                  <c:v>10624.494499999999</c:v>
                </c:pt>
                <c:pt idx="11">
                  <c:v>9979.2893000000004</c:v>
                </c:pt>
                <c:pt idx="12">
                  <c:v>8286.3999889999996</c:v>
                </c:pt>
              </c:numCache>
            </c:numRef>
          </c:val>
        </c:ser>
        <c:ser>
          <c:idx val="0"/>
          <c:order val="2"/>
          <c:tx>
            <c:strRef>
              <c:f>'Electricity Costs'!$A$85</c:f>
              <c:strCache>
                <c:ptCount val="1"/>
                <c:pt idx="0">
                  <c:v>Network Charges (kWh)</c:v>
                </c:pt>
              </c:strCache>
            </c:strRef>
          </c:tx>
          <c:invertIfNegative val="0"/>
          <c:cat>
            <c:numRef>
              <c:f>'Electricity Costs'!$E$93:$Q$93</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Costs'!$E$103:$Q$103</c:f>
              <c:numCache>
                <c:formatCode>0.00</c:formatCode>
                <c:ptCount val="13"/>
                <c:pt idx="0">
                  <c:v>3144.3791260000003</c:v>
                </c:pt>
                <c:pt idx="1">
                  <c:v>5002.3078839999998</c:v>
                </c:pt>
                <c:pt idx="2">
                  <c:v>4606.1908430000003</c:v>
                </c:pt>
                <c:pt idx="3">
                  <c:v>6208.7811750000001</c:v>
                </c:pt>
                <c:pt idx="4">
                  <c:v>6472.3431240000009</c:v>
                </c:pt>
                <c:pt idx="5">
                  <c:v>5720.9845009999999</c:v>
                </c:pt>
                <c:pt idx="6">
                  <c:v>5267.5101130000012</c:v>
                </c:pt>
                <c:pt idx="7">
                  <c:v>5602.9456010000004</c:v>
                </c:pt>
                <c:pt idx="8">
                  <c:v>6153.3913880000009</c:v>
                </c:pt>
                <c:pt idx="9">
                  <c:v>4379.7847710000005</c:v>
                </c:pt>
                <c:pt idx="10">
                  <c:v>5712.0371420000001</c:v>
                </c:pt>
                <c:pt idx="11">
                  <c:v>5248.1119585200004</c:v>
                </c:pt>
                <c:pt idx="12">
                  <c:v>4089.14944272</c:v>
                </c:pt>
              </c:numCache>
            </c:numRef>
          </c:val>
        </c:ser>
        <c:ser>
          <c:idx val="10"/>
          <c:order val="3"/>
          <c:tx>
            <c:strRef>
              <c:f>'Electricity Costs'!$A$87</c:f>
              <c:strCache>
                <c:ptCount val="1"/>
                <c:pt idx="0">
                  <c:v>Other Charges</c:v>
                </c:pt>
              </c:strCache>
            </c:strRef>
          </c:tx>
          <c:invertIfNegative val="0"/>
          <c:cat>
            <c:numRef>
              <c:f>'Electricity Costs'!$E$93:$Q$93</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Costs'!$E$105:$Q$105</c:f>
              <c:numCache>
                <c:formatCode>0.00</c:formatCode>
                <c:ptCount val="13"/>
                <c:pt idx="0">
                  <c:v>906.28855399999998</c:v>
                </c:pt>
                <c:pt idx="1">
                  <c:v>1425.6063140000001</c:v>
                </c:pt>
                <c:pt idx="2">
                  <c:v>1309.8625359999999</c:v>
                </c:pt>
                <c:pt idx="3">
                  <c:v>1803.0687659999999</c:v>
                </c:pt>
                <c:pt idx="4">
                  <c:v>1834.15293</c:v>
                </c:pt>
                <c:pt idx="5">
                  <c:v>1658.4358569999999</c:v>
                </c:pt>
                <c:pt idx="6">
                  <c:v>1518.6091339999998</c:v>
                </c:pt>
                <c:pt idx="7">
                  <c:v>1587.2481280000002</c:v>
                </c:pt>
                <c:pt idx="8">
                  <c:v>1743.979726</c:v>
                </c:pt>
                <c:pt idx="9">
                  <c:v>1308.3749069999999</c:v>
                </c:pt>
                <c:pt idx="10">
                  <c:v>1608.813547</c:v>
                </c:pt>
                <c:pt idx="11">
                  <c:v>1511.3332758000001</c:v>
                </c:pt>
                <c:pt idx="12">
                  <c:v>1169.76824784</c:v>
                </c:pt>
              </c:numCache>
            </c:numRef>
          </c:val>
        </c:ser>
        <c:ser>
          <c:idx val="11"/>
          <c:order val="4"/>
          <c:tx>
            <c:strRef>
              <c:f>'Electricity Costs'!$A$88</c:f>
              <c:strCache>
                <c:ptCount val="1"/>
                <c:pt idx="0">
                  <c:v>Access &amp; Metering</c:v>
                </c:pt>
              </c:strCache>
            </c:strRef>
          </c:tx>
          <c:invertIfNegative val="0"/>
          <c:cat>
            <c:numRef>
              <c:f>'Electricity Costs'!$E$93:$Q$93</c:f>
              <c:numCache>
                <c:formatCode>m/d/yyyy</c:formatCode>
                <c:ptCount val="13"/>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pt idx="12">
                  <c:v>41091</c:v>
                </c:pt>
              </c:numCache>
            </c:numRef>
          </c:cat>
          <c:val>
            <c:numRef>
              <c:f>'Electricity Costs'!$E$106:$Q$106</c:f>
              <c:numCache>
                <c:formatCode>0.00</c:formatCode>
                <c:ptCount val="13"/>
                <c:pt idx="0">
                  <c:v>611.99369999999999</c:v>
                </c:pt>
                <c:pt idx="1">
                  <c:v>611.99369999999999</c:v>
                </c:pt>
                <c:pt idx="2">
                  <c:v>598.38100000000009</c:v>
                </c:pt>
                <c:pt idx="3">
                  <c:v>611.99369999999999</c:v>
                </c:pt>
                <c:pt idx="4">
                  <c:v>598.38100000000009</c:v>
                </c:pt>
                <c:pt idx="5">
                  <c:v>611.99369999999999</c:v>
                </c:pt>
                <c:pt idx="6">
                  <c:v>611.99369999999999</c:v>
                </c:pt>
                <c:pt idx="7">
                  <c:v>584.76829999999995</c:v>
                </c:pt>
                <c:pt idx="8">
                  <c:v>611.99369999999999</c:v>
                </c:pt>
                <c:pt idx="9">
                  <c:v>598.38100000000009</c:v>
                </c:pt>
                <c:pt idx="10">
                  <c:v>611.99369999999999</c:v>
                </c:pt>
                <c:pt idx="11">
                  <c:v>598.38100000000009</c:v>
                </c:pt>
                <c:pt idx="12">
                  <c:v>611.99369999999999</c:v>
                </c:pt>
              </c:numCache>
            </c:numRef>
          </c:val>
        </c:ser>
        <c:dLbls>
          <c:showLegendKey val="0"/>
          <c:showVal val="0"/>
          <c:showCatName val="0"/>
          <c:showSerName val="0"/>
          <c:showPercent val="0"/>
          <c:showBubbleSize val="0"/>
        </c:dLbls>
        <c:gapWidth val="150"/>
        <c:overlap val="100"/>
        <c:axId val="180334080"/>
        <c:axId val="154375232"/>
      </c:barChart>
      <c:dateAx>
        <c:axId val="180334080"/>
        <c:scaling>
          <c:orientation val="minMax"/>
        </c:scaling>
        <c:delete val="0"/>
        <c:axPos val="b"/>
        <c:numFmt formatCode="mmm\-yy" sourceLinked="0"/>
        <c:majorTickMark val="out"/>
        <c:minorTickMark val="none"/>
        <c:tickLblPos val="nextTo"/>
        <c:crossAx val="154375232"/>
        <c:crosses val="autoZero"/>
        <c:auto val="1"/>
        <c:lblOffset val="100"/>
        <c:baseTimeUnit val="months"/>
      </c:dateAx>
      <c:valAx>
        <c:axId val="154375232"/>
        <c:scaling>
          <c:orientation val="minMax"/>
        </c:scaling>
        <c:delete val="0"/>
        <c:axPos val="l"/>
        <c:majorGridlines/>
        <c:title>
          <c:tx>
            <c:rich>
              <a:bodyPr rot="-5400000" vert="horz"/>
              <a:lstStyle/>
              <a:p>
                <a:pPr>
                  <a:defRPr/>
                </a:pPr>
                <a:r>
                  <a:rPr lang="en-US"/>
                  <a:t>Monthly Electricity Cost (Bungalora)</a:t>
                </a:r>
              </a:p>
            </c:rich>
          </c:tx>
          <c:overlay val="0"/>
        </c:title>
        <c:numFmt formatCode="&quot;$&quot;#,##0" sourceLinked="0"/>
        <c:majorTickMark val="out"/>
        <c:minorTickMark val="none"/>
        <c:tickLblPos val="nextTo"/>
        <c:crossAx val="18033408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sheetPr codeName="Chart4">
    <tabColor theme="3" tint="0.79998168889431442"/>
  </sheetPr>
  <sheetViews>
    <sheetView zoomScale="62" workbookViewId="0" zoomToFit="1"/>
  </sheetViews>
  <pageMargins left="0.7" right="0.7" top="0.75" bottom="0.75" header="0.3" footer="0.3"/>
  <pageSetup paperSize="9" orientation="portrait" r:id="rId1"/>
  <drawing r:id="rId2"/>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http://maintenanceconnection.pipelinetrust.com.au/mc_web/mapp_v12/images/icons/building4_g.gif" TargetMode="External"/><Relationship Id="rId1" Type="http://schemas.openxmlformats.org/officeDocument/2006/relationships/image" Target="http://maintenanceconnection.pipelinetrust.com.au/mc_web/mapp_v12/images/icons/building5_g.gif"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552450</xdr:colOff>
      <xdr:row>40</xdr:row>
      <xdr:rowOff>0</xdr:rowOff>
    </xdr:from>
    <xdr:ext cx="4686860" cy="374141"/>
    <xdr:sp macro="" textlink="">
      <xdr:nvSpPr>
        <xdr:cNvPr id="3" name="TextBox 2"/>
        <xdr:cNvSpPr txBox="1"/>
      </xdr:nvSpPr>
      <xdr:spPr>
        <a:xfrm>
          <a:off x="552450" y="4810125"/>
          <a:ext cx="4686860" cy="37414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800" baseline="0">
              <a:solidFill>
                <a:srgbClr val="0070C0"/>
              </a:solidFill>
            </a:rPr>
            <a:t>WARNING: This list must be MANUALLY sorted !</a:t>
          </a:r>
        </a:p>
      </xdr:txBody>
    </xdr:sp>
    <xdr:clientData/>
  </xdr:oneCellAnchor>
  <xdr:twoCellAnchor>
    <xdr:from>
      <xdr:col>9</xdr:col>
      <xdr:colOff>590549</xdr:colOff>
      <xdr:row>1</xdr:row>
      <xdr:rowOff>28575</xdr:rowOff>
    </xdr:from>
    <xdr:to>
      <xdr:col>18</xdr:col>
      <xdr:colOff>552450</xdr:colOff>
      <xdr:row>12</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76200</xdr:colOff>
      <xdr:row>37</xdr:row>
      <xdr:rowOff>155864</xdr:rowOff>
    </xdr:from>
    <xdr:to>
      <xdr:col>31</xdr:col>
      <xdr:colOff>241589</xdr:colOff>
      <xdr:row>57</xdr:row>
      <xdr:rowOff>81396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619125</xdr:colOff>
      <xdr:row>12</xdr:row>
      <xdr:rowOff>171451</xdr:rowOff>
    </xdr:from>
    <xdr:to>
      <xdr:col>19</xdr:col>
      <xdr:colOff>19050</xdr:colOff>
      <xdr:row>25</xdr:row>
      <xdr:rowOff>95251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6157452" cy="920545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676275</xdr:colOff>
      <xdr:row>16</xdr:row>
      <xdr:rowOff>76200</xdr:rowOff>
    </xdr:from>
    <xdr:to>
      <xdr:col>3</xdr:col>
      <xdr:colOff>390525</xdr:colOff>
      <xdr:row>33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53</xdr:row>
      <xdr:rowOff>85725</xdr:rowOff>
    </xdr:from>
    <xdr:to>
      <xdr:col>2</xdr:col>
      <xdr:colOff>581024</xdr:colOff>
      <xdr:row>68</xdr:row>
      <xdr:rowOff>161925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590550</xdr:colOff>
      <xdr:row>53</xdr:row>
      <xdr:rowOff>76200</xdr:rowOff>
    </xdr:from>
    <xdr:to>
      <xdr:col>9</xdr:col>
      <xdr:colOff>104775</xdr:colOff>
      <xdr:row>68</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33</xdr:row>
      <xdr:rowOff>171450</xdr:rowOff>
    </xdr:from>
    <xdr:to>
      <xdr:col>10</xdr:col>
      <xdr:colOff>380214</xdr:colOff>
      <xdr:row>80</xdr:row>
      <xdr:rowOff>170332</xdr:rowOff>
    </xdr:to>
    <xdr:pic>
      <xdr:nvPicPr>
        <xdr:cNvPr id="4" name="Picture 3"/>
        <xdr:cNvPicPr>
          <a:picLocks noChangeAspect="1"/>
        </xdr:cNvPicPr>
      </xdr:nvPicPr>
      <xdr:blipFill>
        <a:blip xmlns:r="http://schemas.openxmlformats.org/officeDocument/2006/relationships" r:embed="rId1"/>
        <a:stretch>
          <a:fillRect/>
        </a:stretch>
      </xdr:blipFill>
      <xdr:spPr>
        <a:xfrm>
          <a:off x="3552825" y="5124450"/>
          <a:ext cx="6295239" cy="89523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19050</xdr:colOff>
      <xdr:row>50</xdr:row>
      <xdr:rowOff>57150</xdr:rowOff>
    </xdr:from>
    <xdr:ext cx="2964914" cy="374141"/>
    <xdr:sp macro="" textlink="">
      <xdr:nvSpPr>
        <xdr:cNvPr id="2" name="TextBox 1"/>
        <xdr:cNvSpPr txBox="1"/>
      </xdr:nvSpPr>
      <xdr:spPr>
        <a:xfrm>
          <a:off x="4124325" y="9582150"/>
          <a:ext cx="2964914" cy="37414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800">
              <a:solidFill>
                <a:srgbClr val="0070C0"/>
              </a:solidFill>
            </a:rPr>
            <a:t>SD: Training Matrix</a:t>
          </a:r>
          <a:r>
            <a:rPr lang="en-AU" sz="1800" baseline="0">
              <a:solidFill>
                <a:srgbClr val="0070C0"/>
              </a:solidFill>
            </a:rPr>
            <a:t> and costs </a:t>
          </a:r>
          <a:endParaRPr lang="en-AU" sz="1800">
            <a:solidFill>
              <a:srgbClr val="0070C0"/>
            </a:solidFill>
          </a:endParaRPr>
        </a:p>
      </xdr:txBody>
    </xdr:sp>
    <xdr:clientData/>
  </xdr:oneCellAnchor>
  <xdr:oneCellAnchor>
    <xdr:from>
      <xdr:col>0</xdr:col>
      <xdr:colOff>1790700</xdr:colOff>
      <xdr:row>6</xdr:row>
      <xdr:rowOff>152400</xdr:rowOff>
    </xdr:from>
    <xdr:ext cx="6879704" cy="374141"/>
    <xdr:sp macro="" textlink="">
      <xdr:nvSpPr>
        <xdr:cNvPr id="3" name="TextBox 2"/>
        <xdr:cNvSpPr txBox="1"/>
      </xdr:nvSpPr>
      <xdr:spPr>
        <a:xfrm>
          <a:off x="1790700" y="1295400"/>
          <a:ext cx="6879704" cy="37414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800">
              <a:solidFill>
                <a:srgbClr val="0070C0"/>
              </a:solidFill>
            </a:rPr>
            <a:t>This is a dummy worksheet</a:t>
          </a:r>
          <a:r>
            <a:rPr lang="en-AU" sz="1800" baseline="0">
              <a:solidFill>
                <a:srgbClr val="0070C0"/>
              </a:solidFill>
            </a:rPr>
            <a:t> to mark the end of the items to be summed</a:t>
          </a:r>
          <a:endParaRPr lang="en-AU" sz="1800">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123825</xdr:rowOff>
    </xdr:to>
    <xdr:pic>
      <xdr:nvPicPr>
        <xdr:cNvPr id="2050" name="Picture 2" descr="http://maintenanceconnection.pipelinetrust.com.au/mc_web/mapp_v12/images/icons/building5_g.gif"/>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781050"/>
          <a:ext cx="1524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152400</xdr:colOff>
      <xdr:row>0</xdr:row>
      <xdr:rowOff>123825</xdr:rowOff>
    </xdr:to>
    <xdr:pic>
      <xdr:nvPicPr>
        <xdr:cNvPr id="2051" name="Picture 3" descr="http://maintenanceconnection.pipelinetrust.com.au/mc_web/mapp_v12/images/icons/building4_g.gif"/>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971550"/>
          <a:ext cx="1524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36</xdr:col>
      <xdr:colOff>80963</xdr:colOff>
      <xdr:row>29</xdr:row>
      <xdr:rowOff>180975</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62000"/>
          <a:ext cx="21416963" cy="41814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34</xdr:row>
      <xdr:rowOff>0</xdr:rowOff>
    </xdr:from>
    <xdr:to>
      <xdr:col>36</xdr:col>
      <xdr:colOff>409576</xdr:colOff>
      <xdr:row>56</xdr:row>
      <xdr:rowOff>131763</xdr:rowOff>
    </xdr:to>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5715000"/>
          <a:ext cx="21745576" cy="432276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361950</xdr:colOff>
      <xdr:row>5</xdr:row>
      <xdr:rowOff>76200</xdr:rowOff>
    </xdr:from>
    <xdr:to>
      <xdr:col>19</xdr:col>
      <xdr:colOff>409575</xdr:colOff>
      <xdr:row>13</xdr:row>
      <xdr:rowOff>166601</xdr:rowOff>
    </xdr:to>
    <xdr:pic>
      <xdr:nvPicPr>
        <xdr:cNvPr id="3" name="Picture 2"/>
        <xdr:cNvPicPr>
          <a:picLocks noChangeAspect="1"/>
        </xdr:cNvPicPr>
      </xdr:nvPicPr>
      <xdr:blipFill>
        <a:blip xmlns:r="http://schemas.openxmlformats.org/officeDocument/2006/relationships" r:embed="rId1"/>
        <a:stretch>
          <a:fillRect/>
        </a:stretch>
      </xdr:blipFill>
      <xdr:spPr>
        <a:xfrm>
          <a:off x="9505950" y="266700"/>
          <a:ext cx="2486025" cy="1614401"/>
        </a:xfrm>
        <a:prstGeom prst="rect">
          <a:avLst/>
        </a:prstGeom>
      </xdr:spPr>
    </xdr:pic>
    <xdr:clientData/>
  </xdr:twoCellAnchor>
  <xdr:twoCellAnchor editAs="oneCell">
    <xdr:from>
      <xdr:col>14</xdr:col>
      <xdr:colOff>571500</xdr:colOff>
      <xdr:row>38</xdr:row>
      <xdr:rowOff>114300</xdr:rowOff>
    </xdr:from>
    <xdr:to>
      <xdr:col>21</xdr:col>
      <xdr:colOff>551919</xdr:colOff>
      <xdr:row>57</xdr:row>
      <xdr:rowOff>9086</xdr:rowOff>
    </xdr:to>
    <xdr:pic>
      <xdr:nvPicPr>
        <xdr:cNvPr id="4" name="Picture 3"/>
        <xdr:cNvPicPr>
          <a:picLocks noChangeAspect="1"/>
        </xdr:cNvPicPr>
      </xdr:nvPicPr>
      <xdr:blipFill>
        <a:blip xmlns:r="http://schemas.openxmlformats.org/officeDocument/2006/relationships" r:embed="rId2"/>
        <a:stretch>
          <a:fillRect/>
        </a:stretch>
      </xdr:blipFill>
      <xdr:spPr>
        <a:xfrm>
          <a:off x="9105900" y="4305300"/>
          <a:ext cx="4247619" cy="3514286"/>
        </a:xfrm>
        <a:prstGeom prst="rect">
          <a:avLst/>
        </a:prstGeom>
      </xdr:spPr>
    </xdr:pic>
    <xdr:clientData/>
  </xdr:twoCellAnchor>
  <xdr:twoCellAnchor editAs="oneCell">
    <xdr:from>
      <xdr:col>15</xdr:col>
      <xdr:colOff>0</xdr:colOff>
      <xdr:row>73</xdr:row>
      <xdr:rowOff>47625</xdr:rowOff>
    </xdr:from>
    <xdr:to>
      <xdr:col>26</xdr:col>
      <xdr:colOff>389639</xdr:colOff>
      <xdr:row>100</xdr:row>
      <xdr:rowOff>123173</xdr:rowOff>
    </xdr:to>
    <xdr:pic>
      <xdr:nvPicPr>
        <xdr:cNvPr id="5" name="Picture 4"/>
        <xdr:cNvPicPr>
          <a:picLocks noChangeAspect="1"/>
        </xdr:cNvPicPr>
      </xdr:nvPicPr>
      <xdr:blipFill>
        <a:blip xmlns:r="http://schemas.openxmlformats.org/officeDocument/2006/relationships" r:embed="rId3"/>
        <a:stretch>
          <a:fillRect/>
        </a:stretch>
      </xdr:blipFill>
      <xdr:spPr>
        <a:xfrm>
          <a:off x="9144000" y="10906125"/>
          <a:ext cx="7095239" cy="5219048"/>
        </a:xfrm>
        <a:prstGeom prst="rect">
          <a:avLst/>
        </a:prstGeom>
      </xdr:spPr>
    </xdr:pic>
    <xdr:clientData/>
  </xdr:twoCellAnchor>
  <xdr:twoCellAnchor editAs="oneCell">
    <xdr:from>
      <xdr:col>15</xdr:col>
      <xdr:colOff>0</xdr:colOff>
      <xdr:row>104</xdr:row>
      <xdr:rowOff>0</xdr:rowOff>
    </xdr:from>
    <xdr:to>
      <xdr:col>17</xdr:col>
      <xdr:colOff>523657</xdr:colOff>
      <xdr:row>129</xdr:row>
      <xdr:rowOff>8929</xdr:rowOff>
    </xdr:to>
    <xdr:pic>
      <xdr:nvPicPr>
        <xdr:cNvPr id="6" name="Picture 5"/>
        <xdr:cNvPicPr>
          <a:picLocks noChangeAspect="1"/>
        </xdr:cNvPicPr>
      </xdr:nvPicPr>
      <xdr:blipFill>
        <a:blip xmlns:r="http://schemas.openxmlformats.org/officeDocument/2006/relationships" r:embed="rId4"/>
        <a:stretch>
          <a:fillRect/>
        </a:stretch>
      </xdr:blipFill>
      <xdr:spPr>
        <a:xfrm>
          <a:off x="9144000" y="13525500"/>
          <a:ext cx="1742857" cy="4771429"/>
        </a:xfrm>
        <a:prstGeom prst="rect">
          <a:avLst/>
        </a:prstGeom>
      </xdr:spPr>
    </xdr:pic>
    <xdr:clientData/>
  </xdr:twoCellAnchor>
  <xdr:twoCellAnchor editAs="oneCell">
    <xdr:from>
      <xdr:col>16</xdr:col>
      <xdr:colOff>0</xdr:colOff>
      <xdr:row>59</xdr:row>
      <xdr:rowOff>0</xdr:rowOff>
    </xdr:from>
    <xdr:to>
      <xdr:col>18</xdr:col>
      <xdr:colOff>561753</xdr:colOff>
      <xdr:row>68</xdr:row>
      <xdr:rowOff>47405</xdr:rowOff>
    </xdr:to>
    <xdr:pic>
      <xdr:nvPicPr>
        <xdr:cNvPr id="7" name="Picture 6"/>
        <xdr:cNvPicPr>
          <a:picLocks noChangeAspect="1"/>
        </xdr:cNvPicPr>
      </xdr:nvPicPr>
      <xdr:blipFill>
        <a:blip xmlns:r="http://schemas.openxmlformats.org/officeDocument/2006/relationships" r:embed="rId5"/>
        <a:stretch>
          <a:fillRect/>
        </a:stretch>
      </xdr:blipFill>
      <xdr:spPr>
        <a:xfrm>
          <a:off x="9753600" y="8191500"/>
          <a:ext cx="1780953" cy="1761905"/>
        </a:xfrm>
        <a:prstGeom prst="rect">
          <a:avLst/>
        </a:prstGeom>
      </xdr:spPr>
    </xdr:pic>
    <xdr:clientData/>
  </xdr:twoCellAnchor>
  <xdr:twoCellAnchor editAs="oneCell">
    <xdr:from>
      <xdr:col>15</xdr:col>
      <xdr:colOff>0</xdr:colOff>
      <xdr:row>131</xdr:row>
      <xdr:rowOff>0</xdr:rowOff>
    </xdr:from>
    <xdr:to>
      <xdr:col>19</xdr:col>
      <xdr:colOff>399695</xdr:colOff>
      <xdr:row>139</xdr:row>
      <xdr:rowOff>47429</xdr:rowOff>
    </xdr:to>
    <xdr:pic>
      <xdr:nvPicPr>
        <xdr:cNvPr id="8" name="Picture 7"/>
        <xdr:cNvPicPr>
          <a:picLocks noChangeAspect="1"/>
        </xdr:cNvPicPr>
      </xdr:nvPicPr>
      <xdr:blipFill>
        <a:blip xmlns:r="http://schemas.openxmlformats.org/officeDocument/2006/relationships" r:embed="rId6"/>
        <a:stretch>
          <a:fillRect/>
        </a:stretch>
      </xdr:blipFill>
      <xdr:spPr>
        <a:xfrm>
          <a:off x="9144000" y="21907500"/>
          <a:ext cx="2838095" cy="1571429"/>
        </a:xfrm>
        <a:prstGeom prst="rect">
          <a:avLst/>
        </a:prstGeom>
      </xdr:spPr>
    </xdr:pic>
    <xdr:clientData/>
  </xdr:twoCellAnchor>
  <xdr:twoCellAnchor editAs="oneCell">
    <xdr:from>
      <xdr:col>15</xdr:col>
      <xdr:colOff>0</xdr:colOff>
      <xdr:row>141</xdr:row>
      <xdr:rowOff>0</xdr:rowOff>
    </xdr:from>
    <xdr:to>
      <xdr:col>19</xdr:col>
      <xdr:colOff>409219</xdr:colOff>
      <xdr:row>148</xdr:row>
      <xdr:rowOff>161738</xdr:rowOff>
    </xdr:to>
    <xdr:pic>
      <xdr:nvPicPr>
        <xdr:cNvPr id="9" name="Picture 8"/>
        <xdr:cNvPicPr>
          <a:picLocks noChangeAspect="1"/>
        </xdr:cNvPicPr>
      </xdr:nvPicPr>
      <xdr:blipFill>
        <a:blip xmlns:r="http://schemas.openxmlformats.org/officeDocument/2006/relationships" r:embed="rId7"/>
        <a:stretch>
          <a:fillRect/>
        </a:stretch>
      </xdr:blipFill>
      <xdr:spPr>
        <a:xfrm>
          <a:off x="9144000" y="23812500"/>
          <a:ext cx="2847619" cy="1495238"/>
        </a:xfrm>
        <a:prstGeom prst="rect">
          <a:avLst/>
        </a:prstGeom>
      </xdr:spPr>
    </xdr:pic>
    <xdr:clientData/>
  </xdr:twoCellAnchor>
  <xdr:twoCellAnchor editAs="oneCell">
    <xdr:from>
      <xdr:col>15</xdr:col>
      <xdr:colOff>0</xdr:colOff>
      <xdr:row>153</xdr:row>
      <xdr:rowOff>0</xdr:rowOff>
    </xdr:from>
    <xdr:to>
      <xdr:col>17</xdr:col>
      <xdr:colOff>437943</xdr:colOff>
      <xdr:row>182</xdr:row>
      <xdr:rowOff>189786</xdr:rowOff>
    </xdr:to>
    <xdr:pic>
      <xdr:nvPicPr>
        <xdr:cNvPr id="10" name="Picture 9"/>
        <xdr:cNvPicPr>
          <a:picLocks noChangeAspect="1"/>
        </xdr:cNvPicPr>
      </xdr:nvPicPr>
      <xdr:blipFill>
        <a:blip xmlns:r="http://schemas.openxmlformats.org/officeDocument/2006/relationships" r:embed="rId8"/>
        <a:stretch>
          <a:fillRect/>
        </a:stretch>
      </xdr:blipFill>
      <xdr:spPr>
        <a:xfrm>
          <a:off x="9144000" y="26098500"/>
          <a:ext cx="1657143" cy="5714286"/>
        </a:xfrm>
        <a:prstGeom prst="rect">
          <a:avLst/>
        </a:prstGeom>
      </xdr:spPr>
    </xdr:pic>
    <xdr:clientData/>
  </xdr:twoCellAnchor>
  <xdr:twoCellAnchor editAs="oneCell">
    <xdr:from>
      <xdr:col>16</xdr:col>
      <xdr:colOff>19050</xdr:colOff>
      <xdr:row>28</xdr:row>
      <xdr:rowOff>28575</xdr:rowOff>
    </xdr:from>
    <xdr:to>
      <xdr:col>19</xdr:col>
      <xdr:colOff>342900</xdr:colOff>
      <xdr:row>36</xdr:row>
      <xdr:rowOff>95250</xdr:rowOff>
    </xdr:to>
    <xdr:pic>
      <xdr:nvPicPr>
        <xdr:cNvPr id="12" name="Picture 11"/>
        <xdr:cNvPicPr/>
      </xdr:nvPicPr>
      <xdr:blipFill>
        <a:blip xmlns:r="http://schemas.openxmlformats.org/officeDocument/2006/relationships" r:embed="rId9"/>
        <a:stretch>
          <a:fillRect/>
        </a:stretch>
      </xdr:blipFill>
      <xdr:spPr>
        <a:xfrm>
          <a:off x="9772650" y="6124575"/>
          <a:ext cx="2152650" cy="1590675"/>
        </a:xfrm>
        <a:prstGeom prst="rect">
          <a:avLst/>
        </a:prstGeom>
      </xdr:spPr>
    </xdr:pic>
    <xdr:clientData/>
  </xdr:twoCellAnchor>
  <xdr:twoCellAnchor editAs="oneCell">
    <xdr:from>
      <xdr:col>15</xdr:col>
      <xdr:colOff>561975</xdr:colOff>
      <xdr:row>17</xdr:row>
      <xdr:rowOff>152400</xdr:rowOff>
    </xdr:from>
    <xdr:to>
      <xdr:col>19</xdr:col>
      <xdr:colOff>133350</xdr:colOff>
      <xdr:row>26</xdr:row>
      <xdr:rowOff>95250</xdr:rowOff>
    </xdr:to>
    <xdr:pic>
      <xdr:nvPicPr>
        <xdr:cNvPr id="13" name="Picture 12"/>
        <xdr:cNvPicPr/>
      </xdr:nvPicPr>
      <xdr:blipFill>
        <a:blip xmlns:r="http://schemas.openxmlformats.org/officeDocument/2006/relationships" r:embed="rId10"/>
        <a:stretch>
          <a:fillRect/>
        </a:stretch>
      </xdr:blipFill>
      <xdr:spPr>
        <a:xfrm>
          <a:off x="9705975" y="2247900"/>
          <a:ext cx="2009775" cy="1657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11</xdr:row>
      <xdr:rowOff>1</xdr:rowOff>
    </xdr:from>
    <xdr:to>
      <xdr:col>9</xdr:col>
      <xdr:colOff>333376</xdr:colOff>
      <xdr:row>28</xdr:row>
      <xdr:rowOff>125457</xdr:rowOff>
    </xdr:to>
    <xdr:pic>
      <xdr:nvPicPr>
        <xdr:cNvPr id="2" name="Picture 1"/>
        <xdr:cNvPicPr>
          <a:picLocks noChangeAspect="1"/>
        </xdr:cNvPicPr>
      </xdr:nvPicPr>
      <xdr:blipFill>
        <a:blip xmlns:r="http://schemas.openxmlformats.org/officeDocument/2006/relationships" r:embed="rId1"/>
        <a:stretch>
          <a:fillRect/>
        </a:stretch>
      </xdr:blipFill>
      <xdr:spPr>
        <a:xfrm>
          <a:off x="1247776" y="2286001"/>
          <a:ext cx="7562850" cy="33639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L91"/>
  <sheetViews>
    <sheetView tabSelected="1" workbookViewId="0"/>
  </sheetViews>
  <sheetFormatPr defaultRowHeight="14.4" x14ac:dyDescent="0.3"/>
  <cols>
    <col min="1" max="1" width="62" customWidth="1"/>
    <col min="2" max="2" width="15.33203125" customWidth="1"/>
    <col min="3" max="3" width="12.33203125" customWidth="1"/>
    <col min="8" max="8" width="14" customWidth="1"/>
    <col min="9" max="9" width="13.6640625" customWidth="1"/>
    <col min="13" max="13" width="36" customWidth="1"/>
  </cols>
  <sheetData>
    <row r="2" spans="1:12" ht="18.75" x14ac:dyDescent="0.3">
      <c r="A2" s="164" t="s">
        <v>3458</v>
      </c>
    </row>
    <row r="3" spans="1:12" ht="18.75" x14ac:dyDescent="0.3">
      <c r="A3" s="162" t="s">
        <v>2695</v>
      </c>
      <c r="L3" s="51"/>
    </row>
    <row r="4" spans="1:12" ht="18.75" x14ac:dyDescent="0.3">
      <c r="A4" s="162" t="s">
        <v>3459</v>
      </c>
      <c r="L4" s="51"/>
    </row>
    <row r="5" spans="1:12" ht="15" x14ac:dyDescent="0.25">
      <c r="A5" s="33" t="s">
        <v>2698</v>
      </c>
      <c r="L5" s="51"/>
    </row>
    <row r="6" spans="1:12" s="301" customFormat="1" ht="15" x14ac:dyDescent="0.25">
      <c r="A6" s="33"/>
      <c r="L6" s="51"/>
    </row>
    <row r="7" spans="1:12" s="301" customFormat="1" ht="15" x14ac:dyDescent="0.25">
      <c r="A7" s="33"/>
      <c r="L7" s="51"/>
    </row>
    <row r="8" spans="1:12" ht="15" x14ac:dyDescent="0.25">
      <c r="A8" s="307" t="s">
        <v>3422</v>
      </c>
      <c r="B8" s="306"/>
      <c r="C8" s="306"/>
      <c r="L8" s="51"/>
    </row>
    <row r="9" spans="1:12" ht="31.5" customHeight="1" x14ac:dyDescent="0.25">
      <c r="A9" s="89" t="s">
        <v>3453</v>
      </c>
      <c r="B9" s="169" t="s">
        <v>3175</v>
      </c>
      <c r="C9" s="328" t="s">
        <v>3423</v>
      </c>
      <c r="L9" s="51"/>
    </row>
    <row r="10" spans="1:12" ht="15" x14ac:dyDescent="0.25">
      <c r="A10" t="str">
        <f ca="1">Summary!C43</f>
        <v>ELECTRICITY COSTS</v>
      </c>
      <c r="B10" s="33">
        <f ca="1">Summary!D43</f>
        <v>3816967.4208430848</v>
      </c>
      <c r="C10" s="9" t="str">
        <f>HYPERLINK("#"&amp;ADDRESS(1,1,1,1,Summary!A43),"…")</f>
        <v>…</v>
      </c>
      <c r="L10" s="51"/>
    </row>
    <row r="11" spans="1:12" ht="15" x14ac:dyDescent="0.25">
      <c r="A11" t="str">
        <f ca="1">Summary!C44</f>
        <v>CABLE REPAIRS</v>
      </c>
      <c r="B11" s="33">
        <f ca="1">Summary!D44</f>
        <v>2030266.9309285311</v>
      </c>
      <c r="C11" s="9" t="str">
        <f>HYPERLINK("#"&amp;ADDRESS(1,1,1,1,Summary!A44),"…")</f>
        <v>…</v>
      </c>
      <c r="L11" s="51"/>
    </row>
    <row r="12" spans="1:12" ht="15" x14ac:dyDescent="0.25">
      <c r="A12" t="str">
        <f ca="1">Summary!C45</f>
        <v>CONTROL ROOM OPERATIONS</v>
      </c>
      <c r="B12" s="33">
        <f ca="1">Summary!D45</f>
        <v>1111355.8246934987</v>
      </c>
      <c r="C12" s="9" t="str">
        <f>HYPERLINK("#"&amp;ADDRESS(1,1,1,1,Summary!A45),"…")</f>
        <v>…</v>
      </c>
      <c r="L12" s="51"/>
    </row>
    <row r="13" spans="1:12" ht="15" x14ac:dyDescent="0.25">
      <c r="A13" t="str">
        <f ca="1">Summary!C46</f>
        <v>OPERATIONS MANAGER</v>
      </c>
      <c r="B13" s="33">
        <f ca="1">Summary!D46</f>
        <v>811137.65424346947</v>
      </c>
      <c r="C13" s="9" t="str">
        <f>HYPERLINK("#"&amp;ADDRESS(1,1,1,1,Summary!A46),"…")</f>
        <v>…</v>
      </c>
      <c r="L13" s="51"/>
    </row>
    <row r="14" spans="1:12" ht="15" x14ac:dyDescent="0.25">
      <c r="A14" t="str">
        <f ca="1">Summary!C47</f>
        <v>SENIOR RELIABILITY ENGINEER</v>
      </c>
      <c r="B14" s="33">
        <f ca="1">Summary!D47</f>
        <v>729617.23521928187</v>
      </c>
      <c r="C14" s="9" t="str">
        <f>HYPERLINK("#"&amp;ADDRESS(1,1,1,1,Summary!A47),"…")</f>
        <v>…</v>
      </c>
      <c r="L14" s="51"/>
    </row>
    <row r="15" spans="1:12" ht="15" x14ac:dyDescent="0.25">
      <c r="A15" t="str">
        <f ca="1">Summary!C48</f>
        <v>RELIABILITY ENGINEER</v>
      </c>
      <c r="B15" s="33">
        <f ca="1">Summary!D48</f>
        <v>698889.02888552553</v>
      </c>
      <c r="C15" s="9" t="str">
        <f>HYPERLINK("#"&amp;ADDRESS(1,1,1,1,Summary!A48),"…")</f>
        <v>…</v>
      </c>
      <c r="L15" s="51"/>
    </row>
    <row r="16" spans="1:12" ht="15" x14ac:dyDescent="0.25">
      <c r="A16" t="str">
        <f ca="1">Summary!C49</f>
        <v>PHASE REACTOR MAINTENANCE</v>
      </c>
      <c r="B16" s="33">
        <f ca="1">Summary!D49</f>
        <v>570175.62921896565</v>
      </c>
      <c r="C16" s="9" t="str">
        <f>HYPERLINK("#"&amp;ADDRESS(1,1,1,1,Summary!A49),"…")</f>
        <v>…</v>
      </c>
      <c r="L16" s="51"/>
    </row>
    <row r="17" spans="1:12" ht="15" x14ac:dyDescent="0.25">
      <c r="A17" t="str">
        <f ca="1">Summary!C50</f>
        <v>WORKS PLANNER</v>
      </c>
      <c r="B17" s="33">
        <f ca="1">Summary!D50</f>
        <v>565289.029088813</v>
      </c>
      <c r="C17" s="9" t="str">
        <f>HYPERLINK("#"&amp;ADDRESS(1,1,1,1,Summary!A50),"…")</f>
        <v>…</v>
      </c>
      <c r="L17" s="51"/>
    </row>
    <row r="18" spans="1:12" ht="15" x14ac:dyDescent="0.25">
      <c r="A18" t="str">
        <f ca="1">Summary!C51</f>
        <v>WORK PRACTICES SPECIALIST</v>
      </c>
      <c r="B18" s="33">
        <f ca="1">Summary!D51</f>
        <v>565289.029088813</v>
      </c>
      <c r="C18" s="9" t="str">
        <f>HYPERLINK("#"&amp;ADDRESS(1,1,1,1,Summary!A51),"…")</f>
        <v>…</v>
      </c>
      <c r="L18" s="51"/>
    </row>
    <row r="19" spans="1:12" ht="15" x14ac:dyDescent="0.25">
      <c r="A19" t="str">
        <f ca="1">Summary!C52</f>
        <v>VEGETATION MANAGEMENT</v>
      </c>
      <c r="B19" s="33">
        <f ca="1">Summary!D52</f>
        <v>502097.69998524705</v>
      </c>
      <c r="C19" s="9" t="str">
        <f>HYPERLINK("#"&amp;ADDRESS(1,1,1,1,Summary!A52),"…")</f>
        <v>…</v>
      </c>
      <c r="L19" s="51"/>
    </row>
    <row r="20" spans="1:12" ht="15" x14ac:dyDescent="0.25">
      <c r="A20" t="str">
        <f ca="1">Summary!C53</f>
        <v>POWER TRANSFORMER MAINTENANCE </v>
      </c>
      <c r="B20" s="33">
        <f ca="1">Summary!D53</f>
        <v>460285.18460182555</v>
      </c>
      <c r="C20" s="9" t="str">
        <f>HYPERLINK("#"&amp;ADDRESS(1,1,1,1,Summary!A53),"…")</f>
        <v>…</v>
      </c>
      <c r="L20" s="51"/>
    </row>
    <row r="21" spans="1:12" ht="15" x14ac:dyDescent="0.25">
      <c r="A21" t="str">
        <f ca="1">Summary!C54</f>
        <v>CIRCUIT BREAKER MAINTENANCE</v>
      </c>
      <c r="B21" s="33">
        <f ca="1">Summary!D54</f>
        <v>398815.34843608731</v>
      </c>
      <c r="C21" s="9" t="str">
        <f>HYPERLINK("#"&amp;ADDRESS(1,1,1,1,Summary!A54),"…")</f>
        <v>…</v>
      </c>
      <c r="L21" s="51"/>
    </row>
    <row r="22" spans="1:12" ht="15" x14ac:dyDescent="0.25">
      <c r="A22" t="str">
        <f ca="1">Summary!C55</f>
        <v>TRAVEL</v>
      </c>
      <c r="B22" s="33">
        <f ca="1">Summary!D55</f>
        <v>394698.48091857298</v>
      </c>
      <c r="C22" s="9" t="str">
        <f>HYPERLINK("#"&amp;ADDRESS(1,1,1,1,Summary!A55),"…")</f>
        <v>…</v>
      </c>
      <c r="L22" s="51"/>
    </row>
    <row r="23" spans="1:12" ht="15" x14ac:dyDescent="0.25">
      <c r="A23" t="str">
        <f ca="1">Summary!C56</f>
        <v>SITE SECURITY</v>
      </c>
      <c r="B23" s="33">
        <f ca="1">Summary!D56</f>
        <v>316025.56660057593</v>
      </c>
      <c r="C23" s="9" t="str">
        <f>HYPERLINK("#"&amp;ADDRESS(1,1,1,1,Summary!A56),"…")</f>
        <v>…</v>
      </c>
      <c r="L23" s="51"/>
    </row>
    <row r="24" spans="1:12" ht="15" x14ac:dyDescent="0.25">
      <c r="A24" t="str">
        <f ca="1">Summary!C57</f>
        <v>REMOTE COMMUNICATIONS</v>
      </c>
      <c r="B24" s="33">
        <f ca="1">Summary!D57</f>
        <v>287807.93931951444</v>
      </c>
      <c r="C24" s="9" t="str">
        <f>HYPERLINK("#"&amp;ADDRESS(1,1,1,1,Summary!A57),"…")</f>
        <v>…</v>
      </c>
      <c r="L24" s="51"/>
    </row>
    <row r="25" spans="1:12" ht="15" x14ac:dyDescent="0.25">
      <c r="A25" t="str">
        <f ca="1">Summary!C58</f>
        <v>CONTROL SYSTEM REPAIRS</v>
      </c>
      <c r="B25" s="33">
        <f ca="1">Summary!D58</f>
        <v>218096.81057713096</v>
      </c>
      <c r="C25" s="9" t="str">
        <f>HYPERLINK("#"&amp;ADDRESS(1,1,1,1,Summary!A58),"…")</f>
        <v>…</v>
      </c>
      <c r="L25" s="51"/>
    </row>
    <row r="26" spans="1:12" ht="15" x14ac:dyDescent="0.25">
      <c r="A26" t="str">
        <f ca="1">Summary!C59</f>
        <v>REACTOR MAINTENANCE</v>
      </c>
      <c r="B26" s="33">
        <f ca="1">Summary!D59</f>
        <v>212865.68198344475</v>
      </c>
      <c r="C26" s="9" t="str">
        <f>HYPERLINK("#"&amp;ADDRESS(1,1,1,1,Summary!A59),"…")</f>
        <v>…</v>
      </c>
      <c r="L26" s="51"/>
    </row>
    <row r="27" spans="1:12" ht="15" x14ac:dyDescent="0.25">
      <c r="A27" t="str">
        <f ca="1">Summary!C60</f>
        <v>OTHER COSTS</v>
      </c>
      <c r="B27" s="33">
        <f ca="1">Summary!D60</f>
        <v>201368.88428599297</v>
      </c>
      <c r="C27" s="9" t="str">
        <f>HYPERLINK("#"&amp;ADDRESS(1,1,1,1,Summary!A60),"…")</f>
        <v>…</v>
      </c>
      <c r="L27" s="51"/>
    </row>
    <row r="28" spans="1:12" ht="15" x14ac:dyDescent="0.25">
      <c r="A28" t="str">
        <f ca="1">Summary!C61</f>
        <v>INCIDENTAL INVESTIGATIONS</v>
      </c>
      <c r="B28" s="33">
        <f ca="1">Summary!D61</f>
        <v>179573.26516142578</v>
      </c>
      <c r="C28" s="9" t="str">
        <f>HYPERLINK("#"&amp;ADDRESS(1,1,1,1,Summary!A61),"…")</f>
        <v>…</v>
      </c>
      <c r="L28" s="51"/>
    </row>
    <row r="29" spans="1:12" x14ac:dyDescent="0.3">
      <c r="A29" t="str">
        <f ca="1">Summary!C62</f>
        <v>ENERGISED MAINTENANCE INSPECTION </v>
      </c>
      <c r="B29" s="33">
        <f ca="1">Summary!D62</f>
        <v>178692.82277619865</v>
      </c>
      <c r="C29" s="9" t="str">
        <f>HYPERLINK("#"&amp;ADDRESS(1,1,1,1,Summary!A62),"…")</f>
        <v>…</v>
      </c>
      <c r="L29" s="51"/>
    </row>
    <row r="30" spans="1:12" x14ac:dyDescent="0.3">
      <c r="A30" t="str">
        <f ca="1">Summary!C63</f>
        <v>AIR BLAST COOLER MAINTENANCE </v>
      </c>
      <c r="B30" s="33">
        <f ca="1">Summary!D63</f>
        <v>172301.28131694152</v>
      </c>
      <c r="C30" s="9" t="str">
        <f>HYPERLINK("#"&amp;ADDRESS(1,1,1,1,Summary!A63),"…")</f>
        <v>…</v>
      </c>
      <c r="L30" s="51"/>
    </row>
    <row r="31" spans="1:12" x14ac:dyDescent="0.3">
      <c r="A31" t="str">
        <f ca="1">Summary!C64</f>
        <v>DIAL BEFORE YOU DIG</v>
      </c>
      <c r="B31" s="33">
        <f ca="1">Summary!D64</f>
        <v>168226.2189761714</v>
      </c>
      <c r="C31" s="9" t="str">
        <f>HYPERLINK("#"&amp;ADDRESS(1,1,1,1,Summary!A64),"…")</f>
        <v>…</v>
      </c>
      <c r="L31" s="51"/>
    </row>
    <row r="32" spans="1:12" x14ac:dyDescent="0.3">
      <c r="A32" t="str">
        <f ca="1">Summary!C65</f>
        <v>FIRE SPRINKER SYSTEM</v>
      </c>
      <c r="B32" s="33">
        <f ca="1">Summary!D65</f>
        <v>150271.7525255061</v>
      </c>
      <c r="C32" s="9" t="str">
        <f>HYPERLINK("#"&amp;ADDRESS(1,1,1,1,Summary!A65),"…")</f>
        <v>…</v>
      </c>
      <c r="L32" s="51"/>
    </row>
    <row r="33" spans="1:12" x14ac:dyDescent="0.3">
      <c r="A33" t="str">
        <f ca="1">Summary!C66</f>
        <v>YARD MAINTENANCE </v>
      </c>
      <c r="B33" s="33">
        <f ca="1">Summary!D66</f>
        <v>140777.79976800608</v>
      </c>
      <c r="C33" s="9" t="str">
        <f>HYPERLINK("#"&amp;ADDRESS(1,1,1,1,Summary!A66),"…")</f>
        <v>…</v>
      </c>
      <c r="L33" s="51"/>
    </row>
    <row r="34" spans="1:12" x14ac:dyDescent="0.3">
      <c r="A34" t="str">
        <f ca="1">Summary!C67</f>
        <v>CABLE MARKER SIGN MAINTENANCE</v>
      </c>
      <c r="B34" s="33">
        <f ca="1">Summary!D67</f>
        <v>140064.68242432876</v>
      </c>
      <c r="C34" s="9" t="str">
        <f>HYPERLINK("#"&amp;ADDRESS(1,1,1,1,Summary!A67),"…")</f>
        <v>…</v>
      </c>
      <c r="L34" s="51"/>
    </row>
    <row r="35" spans="1:12" x14ac:dyDescent="0.3">
      <c r="A35" t="str">
        <f ca="1">Summary!C68</f>
        <v>BUILDING AIR-CONDITIONERS</v>
      </c>
      <c r="B35" s="33">
        <f ca="1">Summary!D68</f>
        <v>137349.20433661022</v>
      </c>
      <c r="C35" s="9" t="str">
        <f>HYPERLINK("#"&amp;ADDRESS(1,1,1,1,Summary!A68),"…")</f>
        <v>…</v>
      </c>
      <c r="L35" s="51"/>
    </row>
    <row r="36" spans="1:12" x14ac:dyDescent="0.3">
      <c r="A36" t="str">
        <f ca="1">Summary!C69</f>
        <v>VALVE COOLING SYSTEM MAINTENANCE</v>
      </c>
      <c r="B36" s="33">
        <f ca="1">Summary!D69</f>
        <v>116498.89400170342</v>
      </c>
      <c r="C36" s="9" t="str">
        <f>HYPERLINK("#"&amp;ADDRESS(1,1,1,1,Summary!A69),"…")</f>
        <v>…</v>
      </c>
      <c r="L36" s="51"/>
    </row>
    <row r="37" spans="1:12" x14ac:dyDescent="0.3">
      <c r="A37" t="str">
        <f ca="1">Summary!C70</f>
        <v>TRAINING COURSES FOR CONTRACTORS</v>
      </c>
      <c r="B37" s="33">
        <f ca="1">Summary!D70</f>
        <v>106947.4360989117</v>
      </c>
      <c r="C37" s="9" t="str">
        <f>HYPERLINK("#"&amp;ADDRESS(1,1,1,1,Summary!A70),"…")</f>
        <v>…</v>
      </c>
      <c r="L37" s="51"/>
    </row>
    <row r="38" spans="1:12" x14ac:dyDescent="0.3">
      <c r="A38" t="str">
        <f ca="1">Summary!C71</f>
        <v>IGBT VALVE REPAIRS</v>
      </c>
      <c r="B38" s="33">
        <f ca="1">Summary!D71</f>
        <v>93724.656506171727</v>
      </c>
      <c r="C38" s="9" t="str">
        <f>HYPERLINK("#"&amp;ADDRESS(1,1,1,1,Summary!A71),"…")</f>
        <v>…</v>
      </c>
      <c r="L38" s="51"/>
    </row>
    <row r="39" spans="1:12" x14ac:dyDescent="0.3">
      <c r="A39" t="str">
        <f ca="1">Summary!C72</f>
        <v>NITROGEN BOTTLE REPLACEMENT</v>
      </c>
      <c r="B39" s="33">
        <f ca="1">Summary!D72</f>
        <v>87120.759036050964</v>
      </c>
      <c r="C39" s="9" t="str">
        <f>HYPERLINK("#"&amp;ADDRESS(1,1,1,1,Summary!A72),"…")</f>
        <v>…</v>
      </c>
      <c r="L39" s="51"/>
    </row>
    <row r="40" spans="1:12" x14ac:dyDescent="0.3">
      <c r="A40" t="str">
        <f ca="1">Summary!C73</f>
        <v>FIRE DETECTION &amp; ALARM SYSTEM</v>
      </c>
      <c r="B40" s="33">
        <f ca="1">Summary!D73</f>
        <v>70272.692101809123</v>
      </c>
      <c r="C40" s="9" t="str">
        <f>HYPERLINK("#"&amp;ADDRESS(1,1,1,1,Summary!A73),"…")</f>
        <v>…</v>
      </c>
      <c r="L40" s="51"/>
    </row>
    <row r="41" spans="1:12" x14ac:dyDescent="0.3">
      <c r="A41" t="str">
        <f ca="1">Summary!C74</f>
        <v>OIL FILLED CAPACITOR MAINTENANCE</v>
      </c>
      <c r="B41" s="33">
        <f ca="1">Summary!D74</f>
        <v>69234.725266928581</v>
      </c>
      <c r="C41" s="9" t="str">
        <f>HYPERLINK("#"&amp;ADDRESS(1,1,1,1,Summary!A74),"…")</f>
        <v>…</v>
      </c>
    </row>
    <row r="42" spans="1:12" x14ac:dyDescent="0.3">
      <c r="A42" t="str">
        <f ca="1">Summary!C75</f>
        <v>IGBT VALVE MAINTENANCE </v>
      </c>
      <c r="B42" s="33">
        <f ca="1">Summary!D75</f>
        <v>67609.441010464012</v>
      </c>
      <c r="C42" s="9" t="str">
        <f>HYPERLINK("#"&amp;ADDRESS(1,1,1,1,Summary!A75),"…")</f>
        <v>…</v>
      </c>
      <c r="L42" s="30"/>
    </row>
    <row r="43" spans="1:12" x14ac:dyDescent="0.3">
      <c r="A43" t="str">
        <f ca="1">Summary!C76</f>
        <v>PRESTART INSPECTIONS</v>
      </c>
      <c r="B43" s="33">
        <f ca="1">Summary!D76</f>
        <v>41032.696665215335</v>
      </c>
      <c r="C43" s="9" t="str">
        <f>HYPERLINK("#"&amp;ADDRESS(1,1,1,1,Summary!A76),"…")</f>
        <v>…</v>
      </c>
      <c r="L43" s="30"/>
    </row>
    <row r="44" spans="1:12" x14ac:dyDescent="0.3">
      <c r="A44" t="str">
        <f ca="1">Summary!C77</f>
        <v>ONSITE TEST EQUIPMENT MAINTENANCE</v>
      </c>
      <c r="B44" s="33">
        <f ca="1">Summary!D77</f>
        <v>39514.557686325214</v>
      </c>
      <c r="C44" s="9" t="str">
        <f>HYPERLINK("#"&amp;ADDRESS(1,1,1,1,Summary!A77),"…")</f>
        <v>…</v>
      </c>
      <c r="L44" s="30"/>
    </row>
    <row r="45" spans="1:12" x14ac:dyDescent="0.3">
      <c r="A45" t="str">
        <f ca="1">Summary!C78</f>
        <v>VALVE COOLING MCC THERMOGRAPHIC IMAGING </v>
      </c>
      <c r="B45" s="33">
        <f ca="1">Summary!D78</f>
        <v>38363.623175605186</v>
      </c>
      <c r="C45" s="9" t="str">
        <f>HYPERLINK("#"&amp;ADDRESS(1,1,1,1,Summary!A78),"…")</f>
        <v>…</v>
      </c>
      <c r="L45" s="30"/>
    </row>
    <row r="46" spans="1:12" x14ac:dyDescent="0.3">
      <c r="A46" t="str">
        <f ca="1">Summary!C79</f>
        <v>CONVERTER STATION THERMOGRAPHIC INSPECTION </v>
      </c>
      <c r="B46" s="33">
        <f ca="1">Summary!D79</f>
        <v>38363.623175605186</v>
      </c>
      <c r="C46" s="9" t="str">
        <f>HYPERLINK("#"&amp;ADDRESS(1,1,1,1,Summary!A79),"…")</f>
        <v>…</v>
      </c>
      <c r="L46" s="30"/>
    </row>
    <row r="47" spans="1:12" x14ac:dyDescent="0.3">
      <c r="A47" t="str">
        <f ca="1">Summary!C80</f>
        <v>ZINC OXIDE SURGE ARRESTOR MAINTENANCE </v>
      </c>
      <c r="B47" s="33">
        <f ca="1">Summary!D80</f>
        <v>36385.668372944208</v>
      </c>
      <c r="C47" s="9" t="str">
        <f>HYPERLINK("#"&amp;ADDRESS(1,1,1,1,Summary!A80),"…")</f>
        <v>…</v>
      </c>
      <c r="L47" s="30"/>
    </row>
    <row r="48" spans="1:12" x14ac:dyDescent="0.3">
      <c r="A48" t="str">
        <f ca="1">Summary!C81</f>
        <v>VALVE DEHUMIDIFIER MAINTENANCE </v>
      </c>
      <c r="B48" s="33">
        <f ca="1">Summary!D81</f>
        <v>35496.69181273914</v>
      </c>
      <c r="C48" s="9" t="str">
        <f>HYPERLINK("#"&amp;ADDRESS(1,1,1,1,Summary!A81),"…")</f>
        <v>…</v>
      </c>
      <c r="L48" s="30"/>
    </row>
    <row r="49" spans="1:12" x14ac:dyDescent="0.3">
      <c r="A49" t="str">
        <f ca="1">Summary!C82</f>
        <v>UNINTERRUPTIBLE POWER SUPPLY </v>
      </c>
      <c r="B49" s="33">
        <f ca="1">Summary!D82</f>
        <v>34083.178364982312</v>
      </c>
      <c r="C49" s="9" t="str">
        <f>HYPERLINK("#"&amp;ADDRESS(1,1,1,1,Summary!A82),"…")</f>
        <v>…</v>
      </c>
      <c r="L49" s="30"/>
    </row>
    <row r="50" spans="1:12" x14ac:dyDescent="0.3">
      <c r="A50" t="str">
        <f ca="1">Summary!C83</f>
        <v>OUTDOOR POST TYPE CURRENT TRANSFORMER</v>
      </c>
      <c r="B50" s="33">
        <f ca="1">Summary!D83</f>
        <v>31086.568840483273</v>
      </c>
      <c r="C50" s="9" t="str">
        <f>HYPERLINK("#"&amp;ADDRESS(1,1,1,1,Summary!A83),"…")</f>
        <v>…</v>
      </c>
      <c r="L50" s="30"/>
    </row>
    <row r="51" spans="1:12" x14ac:dyDescent="0.3">
      <c r="A51" t="str">
        <f ca="1">Summary!C84</f>
        <v>AC FILTER RESISTOR MAINTENANCE </v>
      </c>
      <c r="B51" s="33">
        <f ca="1">Summary!D84</f>
        <v>31051.80901171374</v>
      </c>
      <c r="C51" s="9" t="str">
        <f>HYPERLINK("#"&amp;ADDRESS(1,1,1,1,Summary!A84),"…")</f>
        <v>…</v>
      </c>
      <c r="L51" s="30"/>
    </row>
    <row r="52" spans="1:12" x14ac:dyDescent="0.3">
      <c r="A52" t="str">
        <f ca="1">Summary!C85</f>
        <v>VALVE COOLING SYSTEM PUMP MAINTENANCE </v>
      </c>
      <c r="B52" s="33">
        <f ca="1">Summary!D85</f>
        <v>28384.879331098506</v>
      </c>
      <c r="C52" s="9" t="str">
        <f>HYPERLINK("#"&amp;ADDRESS(1,1,1,1,Summary!A85),"…")</f>
        <v>…</v>
      </c>
      <c r="L52" s="30"/>
    </row>
    <row r="53" spans="1:12" x14ac:dyDescent="0.3">
      <c r="A53" t="str">
        <f ca="1">Summary!C86</f>
        <v>PHASE REACTOR FAN MAINTENANCE</v>
      </c>
      <c r="B53" s="33">
        <f ca="1">Summary!D86</f>
        <v>26914.427786489141</v>
      </c>
      <c r="C53" s="9" t="str">
        <f>HYPERLINK("#"&amp;ADDRESS(1,1,1,1,Summary!A86),"…")</f>
        <v>…</v>
      </c>
      <c r="L53" s="30"/>
    </row>
    <row r="54" spans="1:12" x14ac:dyDescent="0.3">
      <c r="A54" t="str">
        <f ca="1">Summary!C87</f>
        <v>PORTABLE FIRE EXTINGUISHER INSPECTION </v>
      </c>
      <c r="B54" s="33">
        <f ca="1">Summary!D87</f>
        <v>26271.936136761477</v>
      </c>
      <c r="C54" s="9" t="str">
        <f>HYPERLINK("#"&amp;ADDRESS(1,1,1,1,Summary!A87),"…")</f>
        <v>…</v>
      </c>
      <c r="L54" s="30"/>
    </row>
    <row r="55" spans="1:12" x14ac:dyDescent="0.3">
      <c r="A55" t="str">
        <f ca="1">Summary!C88</f>
        <v>EMERGENCY LIGHTING MAINTENANCE </v>
      </c>
      <c r="B55" s="33">
        <f ca="1">Summary!D88</f>
        <v>25807.158051903676</v>
      </c>
      <c r="C55" s="9" t="str">
        <f>HYPERLINK("#"&amp;ADDRESS(1,1,1,1,Summary!A88),"…")</f>
        <v>…</v>
      </c>
    </row>
    <row r="56" spans="1:12" x14ac:dyDescent="0.3">
      <c r="A56" t="str">
        <f ca="1">Summary!C89</f>
        <v>NITROGEN DISCHARGE UNIT MAINTENANCE</v>
      </c>
      <c r="B56" s="33">
        <f ca="1">Summary!D89</f>
        <v>19124.564333266087</v>
      </c>
      <c r="C56" s="9" t="str">
        <f>HYPERLINK("#"&amp;ADDRESS(1,1,1,1,Summary!A89),"…")</f>
        <v>…</v>
      </c>
    </row>
    <row r="57" spans="1:12" x14ac:dyDescent="0.3">
      <c r="A57" t="str">
        <f ca="1">Summary!C90</f>
        <v>ROGOWSKI CURRENT TRANSDUCER MAINTENANCE </v>
      </c>
      <c r="B57" s="33">
        <f ca="1">Summary!D90</f>
        <v>19050.625448945189</v>
      </c>
      <c r="C57" s="9" t="str">
        <f>HYPERLINK("#"&amp;ADDRESS(1,1,1,1,Summary!A90),"…")</f>
        <v>…</v>
      </c>
    </row>
    <row r="58" spans="1:12" x14ac:dyDescent="0.3">
      <c r="A58" t="str">
        <f ca="1">Summary!C91</f>
        <v>DIRECT VOLTAGE DIVIDER MAINTENANCE</v>
      </c>
      <c r="B58" s="33">
        <f ca="1">Summary!D91</f>
        <v>17147.861921652257</v>
      </c>
      <c r="C58" s="9" t="str">
        <f>HYPERLINK("#"&amp;ADDRESS(1,1,1,1,Summary!A91),"…")</f>
        <v>…</v>
      </c>
    </row>
    <row r="59" spans="1:12" x14ac:dyDescent="0.3">
      <c r="A59" t="str">
        <f ca="1">Summary!C92</f>
        <v>INSPECT SPILL KITS </v>
      </c>
      <c r="B59" s="33">
        <f ca="1">Summary!D92</f>
        <v>16469.487932900149</v>
      </c>
      <c r="C59" s="9" t="str">
        <f>HYPERLINK("#"&amp;ADDRESS(1,1,1,1,Summary!A92),"…")</f>
        <v>…</v>
      </c>
    </row>
    <row r="60" spans="1:12" x14ac:dyDescent="0.3">
      <c r="A60" t="str">
        <f ca="1">Summary!C93</f>
        <v>CAPACITIVE VOLTAGE TRANSFORMER MAINTENANCE</v>
      </c>
      <c r="B60" s="33">
        <f ca="1">Summary!D93</f>
        <v>15494.719208124878</v>
      </c>
      <c r="C60" s="9" t="str">
        <f>HYPERLINK("#"&amp;ADDRESS(1,1,1,1,Summary!A93),"…")</f>
        <v>…</v>
      </c>
    </row>
    <row r="61" spans="1:12" x14ac:dyDescent="0.3">
      <c r="A61" t="str">
        <f ca="1">Summary!C94</f>
        <v>HALL EFFECT CURRENT TRANSDUCER MAINTENANCE </v>
      </c>
      <c r="B61" s="33">
        <f ca="1">Summary!D94</f>
        <v>13716.766087714721</v>
      </c>
      <c r="C61" s="9" t="str">
        <f>HYPERLINK("#"&amp;ADDRESS(1,1,1,1,Summary!A94),"…")</f>
        <v>…</v>
      </c>
    </row>
    <row r="62" spans="1:12" x14ac:dyDescent="0.3">
      <c r="A62" t="str">
        <f ca="1">Summary!C95</f>
        <v>CABLE SCREEN CURRENT TRANSFORMER </v>
      </c>
      <c r="B62" s="33">
        <f ca="1">Summary!D95</f>
        <v>12383.301247407104</v>
      </c>
      <c r="C62" s="9" t="str">
        <f>HYPERLINK("#"&amp;ADDRESS(1,1,1,1,Summary!A95),"…")</f>
        <v>…</v>
      </c>
    </row>
    <row r="63" spans="1:12" x14ac:dyDescent="0.3">
      <c r="A63" t="str">
        <f ca="1">Summary!C96</f>
        <v>DC ZERO SEQUENCE SMOOTHING REACTOR MAINTENANCE</v>
      </c>
      <c r="B63" s="33">
        <f ca="1">Summary!D96</f>
        <v>8382.9067264842542</v>
      </c>
      <c r="C63" s="9" t="str">
        <f>HYPERLINK("#"&amp;ADDRESS(1,1,1,1,Summary!A96),"…")</f>
        <v>…</v>
      </c>
    </row>
    <row r="64" spans="1:12" x14ac:dyDescent="0.3">
      <c r="A64" t="str">
        <f ca="1">Summary!C97</f>
        <v>AIR GAP SURGE LIMITER MAINTENANCE </v>
      </c>
      <c r="B64" s="33">
        <f ca="1">Summary!D97</f>
        <v>8382.9067264842542</v>
      </c>
      <c r="C64" s="9" t="str">
        <f>HYPERLINK("#"&amp;ADDRESS(1,1,1,1,Summary!A97),"…")</f>
        <v>…</v>
      </c>
    </row>
    <row r="65" spans="1:3" x14ac:dyDescent="0.3">
      <c r="A65" t="str">
        <f ca="1">Summary!C98</f>
        <v>FUNCTIONAL TEST OF HIGH VOLTAGE TEST EQUIPMENT </v>
      </c>
      <c r="B65" s="33">
        <f ca="1">Summary!D98</f>
        <v>4474.8413111043019</v>
      </c>
      <c r="C65" s="9" t="str">
        <f>HYPERLINK("#"&amp;ADDRESS(1,1,1,1,Summary!A98),"…")</f>
        <v>…</v>
      </c>
    </row>
    <row r="66" spans="1:3" x14ac:dyDescent="0.3">
      <c r="A66" t="str">
        <f ca="1">Summary!C99</f>
        <v>CHECK EYE WASH STATION </v>
      </c>
      <c r="B66" s="33">
        <f ca="1">Summary!D99</f>
        <v>3880.7027168568402</v>
      </c>
      <c r="C66" s="9" t="str">
        <f>HYPERLINK("#"&amp;ADDRESS(1,1,1,1,Summary!A99),"…")</f>
        <v>…</v>
      </c>
    </row>
    <row r="67" spans="1:3" x14ac:dyDescent="0.3">
      <c r="A67" t="str">
        <f ca="1">Summary!C100</f>
        <v>DISCONNECTOR &amp; EARTH SWITCH MAINTENANCE</v>
      </c>
      <c r="B67" s="33">
        <f ca="1">Summary!D100</f>
        <v>3629.8043595154681</v>
      </c>
      <c r="C67" s="9" t="str">
        <f>HYPERLINK("#"&amp;ADDRESS(1,1,1,1,Summary!A100),"…")</f>
        <v>…</v>
      </c>
    </row>
    <row r="68" spans="1:3" x14ac:dyDescent="0.3">
      <c r="A68" t="str">
        <f ca="1">Summary!C101</f>
        <v>MOTORISED OPERATING MECHANISM MAINTENANCE</v>
      </c>
      <c r="B68" s="33">
        <f ca="1">Summary!D101</f>
        <v>3629.8043595154681</v>
      </c>
      <c r="C68" s="9" t="str">
        <f>HYPERLINK("#"&amp;ADDRESS(1,1,1,1,Summary!A101),"…")</f>
        <v>…</v>
      </c>
    </row>
    <row r="69" spans="1:3" x14ac:dyDescent="0.3">
      <c r="A69" t="str">
        <f ca="1">Summary!C102</f>
        <v>INSULATING WALL BUSHING MAINTENANCE </v>
      </c>
      <c r="B69" s="33">
        <f ca="1">Summary!D102</f>
        <v>3008.2116864937502</v>
      </c>
      <c r="C69" s="9" t="str">
        <f>HYPERLINK("#"&amp;ADDRESS(1,1,1,1,Summary!A102),"…")</f>
        <v>…</v>
      </c>
    </row>
    <row r="70" spans="1:3" x14ac:dyDescent="0.3">
      <c r="A70" t="str">
        <f ca="1">Summary!C103</f>
        <v>PLC FILTER TUNING UNIT MAINTENANCE </v>
      </c>
      <c r="B70" s="33">
        <f ca="1">Summary!D103</f>
        <v>2413.6742024999999</v>
      </c>
      <c r="C70" s="9" t="str">
        <f>HYPERLINK("#"&amp;ADDRESS(1,1,1,1,Summary!A103),"…")</f>
        <v>…</v>
      </c>
    </row>
    <row r="71" spans="1:3" x14ac:dyDescent="0.3">
      <c r="A71" t="str">
        <f ca="1">Summary!C104</f>
        <v>FUNCTIONAL TEST OF EMERGENCY STOP BUTTON </v>
      </c>
      <c r="B71" s="33">
        <f ca="1">Summary!D104</f>
        <v>970.17567921420982</v>
      </c>
      <c r="C71" s="9" t="str">
        <f>HYPERLINK("#"&amp;ADDRESS(1,1,1,1,Summary!A104),"…")</f>
        <v>…</v>
      </c>
    </row>
    <row r="72" spans="1:3" x14ac:dyDescent="0.3">
      <c r="A72" s="301" t="str">
        <f ca="1">Summary!C105</f>
        <v>VALVE HUMIDITY CONTROL SYSTEM </v>
      </c>
      <c r="B72" s="33">
        <f ca="1">Summary!D105</f>
        <v>0</v>
      </c>
      <c r="C72" s="9" t="str">
        <f>HYPERLINK("#"&amp;ADDRESS(1,1,1,1,Summary!A105),"…")</f>
        <v>…</v>
      </c>
    </row>
    <row r="73" spans="1:3" x14ac:dyDescent="0.3">
      <c r="A73" s="301" t="str">
        <f ca="1">Summary!C106</f>
        <v>MANUAL OPERATING MECHANISM MAINTENANCE</v>
      </c>
      <c r="B73" s="33">
        <f ca="1">Summary!D106</f>
        <v>0</v>
      </c>
      <c r="C73" s="9" t="str">
        <f>HYPERLINK("#"&amp;ADDRESS(1,1,1,1,Summary!A106),"…")</f>
        <v>…</v>
      </c>
    </row>
    <row r="74" spans="1:3" s="301" customFormat="1" x14ac:dyDescent="0.3">
      <c r="A74" s="89" t="s">
        <v>3451</v>
      </c>
      <c r="B74" s="159"/>
      <c r="C74" s="336"/>
    </row>
    <row r="75" spans="1:3" x14ac:dyDescent="0.3">
      <c r="A75" t="s">
        <v>3460</v>
      </c>
      <c r="C75" s="9" t="str">
        <f>HYPERLINK("#"&amp;ADDRESS(1,1,1,1,INDEX!A75),"…")</f>
        <v>…</v>
      </c>
    </row>
    <row r="76" spans="1:3" x14ac:dyDescent="0.3">
      <c r="A76" s="301" t="s">
        <v>3462</v>
      </c>
      <c r="B76" s="301"/>
      <c r="C76" s="9" t="str">
        <f>HYPERLINK("#"&amp;ADDRESS(1,1,1,1,INDEX!A76),"…")</f>
        <v>…</v>
      </c>
    </row>
    <row r="77" spans="1:3" x14ac:dyDescent="0.3">
      <c r="A77" s="301" t="str">
        <f>'Summary of PMs'!A74</f>
        <v>Summary of PMs</v>
      </c>
      <c r="B77" s="301"/>
      <c r="C77" s="9" t="str">
        <f>HYPERLINK("#"&amp;ADDRESS(1,1,1,1,INDEX!A77),"…")</f>
        <v>…</v>
      </c>
    </row>
    <row r="78" spans="1:3" x14ac:dyDescent="0.3">
      <c r="A78" s="301" t="str">
        <f>'Summary of PMs'!A75</f>
        <v>Modelling Assumptions</v>
      </c>
      <c r="B78" s="301"/>
      <c r="C78" s="9" t="str">
        <f>HYPERLINK("#"&amp;ADDRESS(1,1,1,1,INDEX!A78),"…")</f>
        <v>…</v>
      </c>
    </row>
    <row r="79" spans="1:3" s="301" customFormat="1" x14ac:dyDescent="0.3">
      <c r="A79" s="89" t="s">
        <v>3452</v>
      </c>
      <c r="B79" s="89"/>
      <c r="C79" s="336"/>
    </row>
    <row r="80" spans="1:3" x14ac:dyDescent="0.3">
      <c r="A80" s="301" t="str">
        <f>'Summary of PMs'!A76</f>
        <v>Blank</v>
      </c>
      <c r="B80" s="301"/>
      <c r="C80" s="9" t="str">
        <f>HYPERLINK("#"&amp;ADDRESS(1,1,1,1,INDEX!A80),"…")</f>
        <v>…</v>
      </c>
    </row>
    <row r="81" spans="1:3" x14ac:dyDescent="0.3">
      <c r="A81" s="301" t="str">
        <f>'Summary of PMs'!A77</f>
        <v>DL OPEX Budget</v>
      </c>
      <c r="B81" s="301"/>
      <c r="C81" s="9" t="str">
        <f>HYPERLINK("#"&amp;ADDRESS(1,1,1,1,INDEX!A81),"…")</f>
        <v>…</v>
      </c>
    </row>
    <row r="82" spans="1:3" x14ac:dyDescent="0.3">
      <c r="A82" s="301" t="str">
        <f>'Summary of PMs'!A78</f>
        <v>Schematics</v>
      </c>
      <c r="B82" s="301"/>
      <c r="C82" s="9" t="str">
        <f>HYPERLINK("#"&amp;ADDRESS(1,1,1,1,INDEX!A82),"…")</f>
        <v>…</v>
      </c>
    </row>
    <row r="83" spans="1:3" x14ac:dyDescent="0.3">
      <c r="A83" s="301" t="str">
        <f>'Summary of PMs'!A79</f>
        <v>Components in Schematic</v>
      </c>
      <c r="B83" s="301"/>
      <c r="C83" s="9" t="str">
        <f>HYPERLINK("#"&amp;ADDRESS(1,1,1,1,INDEX!A83),"…")</f>
        <v>…</v>
      </c>
    </row>
    <row r="84" spans="1:3" x14ac:dyDescent="0.3">
      <c r="A84" s="301" t="str">
        <f>'Summary of PMs'!A80</f>
        <v>Grouped Components</v>
      </c>
      <c r="B84" s="301"/>
      <c r="C84" s="9" t="str">
        <f>HYPERLINK("#"&amp;ADDRESS(1,1,1,1,INDEX!A84),"…")</f>
        <v>…</v>
      </c>
    </row>
    <row r="85" spans="1:3" x14ac:dyDescent="0.3">
      <c r="A85" s="301" t="str">
        <f>'Summary of PMs'!A81</f>
        <v>ABB Maintenance</v>
      </c>
      <c r="B85" s="301"/>
      <c r="C85" s="9" t="str">
        <f>HYPERLINK("#"&amp;ADDRESS(1,1,1,1,INDEX!A85),"…")</f>
        <v>…</v>
      </c>
    </row>
    <row r="86" spans="1:3" x14ac:dyDescent="0.3">
      <c r="A86" s="301" t="str">
        <f>'Summary of PMs'!A82</f>
        <v>Byron Bay Trees</v>
      </c>
      <c r="B86" s="301"/>
      <c r="C86" s="9" t="str">
        <f>HYPERLINK("#"&amp;ADDRESS(1,1,1,1,INDEX!A86),"…")</f>
        <v>…</v>
      </c>
    </row>
    <row r="87" spans="1:3" x14ac:dyDescent="0.3">
      <c r="A87" s="301" t="str">
        <f>'Summary of PMs'!A83</f>
        <v>Electricity Invoices</v>
      </c>
      <c r="B87" s="301"/>
      <c r="C87" s="9" t="str">
        <f>HYPERLINK("#"&amp;ADDRESS(1,1,1,1,INDEX!A87),"…")</f>
        <v>…</v>
      </c>
    </row>
    <row r="88" spans="1:3" x14ac:dyDescent="0.3">
      <c r="A88" s="301" t="str">
        <f>'Summary of PMs'!A84</f>
        <v>Maintenance Documents</v>
      </c>
      <c r="B88" s="301"/>
      <c r="C88" s="9" t="str">
        <f>HYPERLINK("#"&amp;ADDRESS(1,1,1,1,INDEX!A88),"…")</f>
        <v>…</v>
      </c>
    </row>
    <row r="89" spans="1:3" x14ac:dyDescent="0.3">
      <c r="A89" s="301" t="str">
        <f>'Summary of PMs'!A85</f>
        <v>Chart Summary</v>
      </c>
      <c r="B89" s="301"/>
      <c r="C89" s="9"/>
    </row>
    <row r="90" spans="1:3" x14ac:dyDescent="0.3">
      <c r="A90" s="301" t="str">
        <f>'Summary of PMs'!A86</f>
        <v>DL PMs</v>
      </c>
      <c r="B90" s="301"/>
      <c r="C90" s="9" t="str">
        <f>HYPERLINK("#"&amp;ADDRESS(1,1,1,1,INDEX!A90),"…")</f>
        <v>…</v>
      </c>
    </row>
    <row r="91" spans="1:3" x14ac:dyDescent="0.3">
      <c r="A91" s="301" t="str">
        <f>'Summary of PMs'!A87</f>
        <v>OnSite Contractors</v>
      </c>
      <c r="B91" s="301"/>
      <c r="C91" s="9" t="str">
        <f>HYPERLINK("#"&amp;ADDRESS(1,1,1,1,INDEX!A91),"…")</f>
        <v>…</v>
      </c>
    </row>
  </sheetData>
  <pageMargins left="0.7" right="0.7" top="0.75" bottom="0.75" header="0.3" footer="0.3"/>
  <pageSetup paperSize="9" fitToHeight="100" orientation="landscape" r:id="rId1"/>
  <headerFooter>
    <oddHeader>&amp;C&amp;A</oddHeader>
    <oddFooter>&amp;L&amp;F&amp;C&amp;P of &amp;N&amp;R&amp;D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8C800"/>
    <pageSetUpPr fitToPage="1"/>
  </sheetPr>
  <dimension ref="A1:M89"/>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191</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D44</f>
        <v>12817.167065775702</v>
      </c>
      <c r="E3" s="33">
        <f t="shared" si="0"/>
        <v>2438.4258</v>
      </c>
      <c r="F3" s="33">
        <f t="shared" si="0"/>
        <v>2499.3864450000001</v>
      </c>
      <c r="G3" s="33">
        <f t="shared" si="0"/>
        <v>2561.8711061250001</v>
      </c>
      <c r="H3" s="33">
        <f t="shared" si="0"/>
        <v>2625.9178837781246</v>
      </c>
      <c r="I3" s="33">
        <f t="shared" si="0"/>
        <v>2691.5658308725774</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11066.411240371091</v>
      </c>
      <c r="E5" s="33">
        <f t="shared" si="0"/>
        <v>2105.35</v>
      </c>
      <c r="F5" s="33">
        <f t="shared" si="0"/>
        <v>2157.9837499999999</v>
      </c>
      <c r="G5" s="33">
        <f t="shared" si="0"/>
        <v>2211.9333437499999</v>
      </c>
      <c r="H5" s="33">
        <f t="shared" si="0"/>
        <v>2267.2316773437497</v>
      </c>
      <c r="I5" s="33">
        <f t="shared" si="0"/>
        <v>2323.912469277343</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3467</v>
      </c>
    </row>
    <row r="13" spans="1:9" ht="15" x14ac:dyDescent="0.25">
      <c r="A13" t="s">
        <v>1714</v>
      </c>
    </row>
    <row r="14" spans="1:9" ht="15" x14ac:dyDescent="0.25">
      <c r="B14" s="39" t="s">
        <v>1678</v>
      </c>
      <c r="C14" s="39">
        <v>2</v>
      </c>
    </row>
    <row r="15" spans="1:9" ht="15" x14ac:dyDescent="0.25">
      <c r="A15" s="12" t="s">
        <v>1640</v>
      </c>
      <c r="B15" s="12"/>
      <c r="C15" s="12">
        <f>C14</f>
        <v>2</v>
      </c>
    </row>
    <row r="17" spans="1:9" ht="15" x14ac:dyDescent="0.25">
      <c r="A17" s="157" t="s">
        <v>1992</v>
      </c>
      <c r="B17" s="157"/>
      <c r="C17" s="157"/>
    </row>
    <row r="18" spans="1:9" ht="15" x14ac:dyDescent="0.25">
      <c r="A18" t="s">
        <v>3086</v>
      </c>
    </row>
    <row r="19" spans="1:9" ht="15" x14ac:dyDescent="0.25">
      <c r="A19" t="s">
        <v>1999</v>
      </c>
    </row>
    <row r="20" spans="1:9" ht="15" x14ac:dyDescent="0.25">
      <c r="A20" t="s">
        <v>3087</v>
      </c>
    </row>
    <row r="21" spans="1:9" ht="15" x14ac:dyDescent="0.25">
      <c r="A21" t="s">
        <v>3271</v>
      </c>
    </row>
    <row r="22" spans="1:9" ht="15" x14ac:dyDescent="0.25">
      <c r="A22" t="s">
        <v>3090</v>
      </c>
    </row>
    <row r="23" spans="1:9" s="301" customFormat="1" ht="15" x14ac:dyDescent="0.25">
      <c r="A23" s="301" t="s">
        <v>3254</v>
      </c>
    </row>
    <row r="25" spans="1:9" ht="15" x14ac:dyDescent="0.25">
      <c r="E25" s="30" t="str">
        <f>Summary!C4</f>
        <v>2015/16</v>
      </c>
      <c r="F25" s="30" t="str">
        <f>Summary!D4</f>
        <v>2016/17</v>
      </c>
      <c r="G25" s="30" t="str">
        <f>Summary!E4</f>
        <v>2017/18</v>
      </c>
      <c r="H25" s="30" t="str">
        <f>Summary!F4</f>
        <v>2018/19</v>
      </c>
      <c r="I25" s="30" t="str">
        <f>Summary!G4</f>
        <v>2019/20</v>
      </c>
    </row>
    <row r="26" spans="1:9" x14ac:dyDescent="0.3">
      <c r="A26" s="16" t="s">
        <v>1360</v>
      </c>
      <c r="B26" s="16" t="s">
        <v>51</v>
      </c>
      <c r="C26" s="43"/>
      <c r="D26" s="16"/>
      <c r="E26" s="16">
        <v>2</v>
      </c>
      <c r="F26" s="16">
        <v>2</v>
      </c>
      <c r="G26" s="16">
        <v>2</v>
      </c>
      <c r="H26" s="16">
        <v>2</v>
      </c>
      <c r="I26" s="16">
        <v>2</v>
      </c>
    </row>
    <row r="27" spans="1:9" ht="15" x14ac:dyDescent="0.25">
      <c r="A27" s="8" t="s">
        <v>1646</v>
      </c>
      <c r="C27" s="39"/>
    </row>
    <row r="28" spans="1:9" ht="15" x14ac:dyDescent="0.25">
      <c r="A28" s="14" t="s">
        <v>1658</v>
      </c>
      <c r="B28" s="15">
        <f>APATechnicianHours/C15</f>
        <v>0.5</v>
      </c>
      <c r="C28" s="14" t="s">
        <v>2002</v>
      </c>
    </row>
    <row r="29" spans="1:9" ht="15" x14ac:dyDescent="0.25">
      <c r="A29" s="14" t="s">
        <v>1997</v>
      </c>
      <c r="B29" s="15">
        <f>APASupervisorHours/C15</f>
        <v>4.291666666666667</v>
      </c>
      <c r="C29" s="14" t="s">
        <v>2000</v>
      </c>
    </row>
    <row r="30" spans="1:9" ht="15" x14ac:dyDescent="0.25">
      <c r="A30" s="14" t="s">
        <v>1643</v>
      </c>
      <c r="B30" s="55">
        <v>0</v>
      </c>
      <c r="C30" s="14"/>
    </row>
    <row r="31" spans="1:9" x14ac:dyDescent="0.3">
      <c r="A31" s="14"/>
      <c r="B31" s="41"/>
      <c r="C31" s="14"/>
    </row>
    <row r="32" spans="1:9" x14ac:dyDescent="0.3">
      <c r="A32" s="42" t="s">
        <v>1647</v>
      </c>
      <c r="B32" s="7"/>
      <c r="C32" s="14"/>
    </row>
    <row r="33" spans="1:9" x14ac:dyDescent="0.3">
      <c r="A33" s="14" t="s">
        <v>1656</v>
      </c>
      <c r="B33" s="7"/>
      <c r="C33" s="14"/>
    </row>
    <row r="34" spans="1:9" x14ac:dyDescent="0.3">
      <c r="A34" s="14" t="s">
        <v>1651</v>
      </c>
      <c r="B34" s="41"/>
    </row>
    <row r="35" spans="1:9" x14ac:dyDescent="0.3">
      <c r="A35" s="14" t="s">
        <v>1649</v>
      </c>
      <c r="B35" s="40">
        <f>(B39+B40)/C15/2</f>
        <v>513.5</v>
      </c>
      <c r="C35" s="14" t="s">
        <v>3092</v>
      </c>
    </row>
    <row r="36" spans="1:9" x14ac:dyDescent="0.3">
      <c r="A36" s="14" t="s">
        <v>1650</v>
      </c>
      <c r="B36" s="41">
        <v>0</v>
      </c>
      <c r="C36" s="7"/>
    </row>
    <row r="37" spans="1:9" x14ac:dyDescent="0.3">
      <c r="A37" s="14"/>
      <c r="B37" s="41"/>
      <c r="C37" s="7"/>
    </row>
    <row r="38" spans="1:9" x14ac:dyDescent="0.3">
      <c r="A38" s="59" t="s">
        <v>3088</v>
      </c>
      <c r="B38" s="60"/>
      <c r="C38" s="109"/>
    </row>
    <row r="39" spans="1:9" x14ac:dyDescent="0.3">
      <c r="A39" s="14" t="s">
        <v>1714</v>
      </c>
      <c r="B39" s="55">
        <v>1154</v>
      </c>
      <c r="C39" s="14" t="s">
        <v>3091</v>
      </c>
    </row>
    <row r="40" spans="1:9" x14ac:dyDescent="0.3">
      <c r="A40" s="14" t="s">
        <v>3089</v>
      </c>
      <c r="B40" s="55">
        <v>900</v>
      </c>
      <c r="C40" s="14" t="s">
        <v>3091</v>
      </c>
    </row>
    <row r="41" spans="1:9" x14ac:dyDescent="0.3">
      <c r="A41" s="14"/>
      <c r="B41" s="41"/>
      <c r="C41" s="7"/>
    </row>
    <row r="42" spans="1:9" x14ac:dyDescent="0.3">
      <c r="A42" s="14"/>
      <c r="B42" s="14"/>
      <c r="C42" s="14"/>
    </row>
    <row r="43" spans="1:9" x14ac:dyDescent="0.3">
      <c r="A43" s="14"/>
      <c r="B43" s="46" t="s">
        <v>2712</v>
      </c>
      <c r="C43" s="46" t="s">
        <v>2718</v>
      </c>
      <c r="D43" s="30" t="s">
        <v>1655</v>
      </c>
      <c r="E43" s="30" t="str">
        <f>Summary!C4</f>
        <v>2015/16</v>
      </c>
      <c r="F43" s="30" t="str">
        <f>Summary!D4</f>
        <v>2016/17</v>
      </c>
      <c r="G43" s="30" t="str">
        <f>Summary!E4</f>
        <v>2017/18</v>
      </c>
      <c r="H43" s="30" t="str">
        <f>Summary!F4</f>
        <v>2018/19</v>
      </c>
      <c r="I43" s="30" t="str">
        <f>Summary!G4</f>
        <v>2019/20</v>
      </c>
    </row>
    <row r="44" spans="1:9" x14ac:dyDescent="0.3">
      <c r="A44" s="14" t="s">
        <v>1648</v>
      </c>
      <c r="B44" s="40">
        <f>B28*HourlyRateAPAMaintenanceStaff+B29*HourlyRateAPAOMSupervisor</f>
        <v>594.73800000000006</v>
      </c>
      <c r="C44" s="40">
        <f>B44*$C$15</f>
        <v>1189.4760000000001</v>
      </c>
      <c r="D44" s="33">
        <f>C44*SUMPRODUCT(LabourAdjustmentFactor,E$26:I$26)</f>
        <v>12817.167065775702</v>
      </c>
      <c r="E44" s="33">
        <f>$C44*E$26*'Modelling Assumptions'!E$101</f>
        <v>2438.4258</v>
      </c>
      <c r="F44" s="33">
        <f>$C44*F$26*'Modelling Assumptions'!F$101</f>
        <v>2499.3864450000001</v>
      </c>
      <c r="G44" s="33">
        <f>$C44*G$26*'Modelling Assumptions'!G$101</f>
        <v>2561.8711061250001</v>
      </c>
      <c r="H44" s="33">
        <f>$C44*H$26*'Modelling Assumptions'!H$101</f>
        <v>2625.9178837781246</v>
      </c>
      <c r="I44" s="33">
        <f>$C44*I$26*'Modelling Assumptions'!I$101</f>
        <v>2691.5658308725774</v>
      </c>
    </row>
    <row r="45" spans="1:9" x14ac:dyDescent="0.3">
      <c r="A45" s="14" t="s">
        <v>1643</v>
      </c>
      <c r="B45" s="40">
        <f>B30</f>
        <v>0</v>
      </c>
      <c r="C45" s="40">
        <f>B45*$C$15</f>
        <v>0</v>
      </c>
      <c r="D45" s="33">
        <f>C45*SUMPRODUCT(MaterialsAdjustmentFactor,E$26:I$26)</f>
        <v>0</v>
      </c>
      <c r="E45" s="33">
        <f>$C45*E$26*'Modelling Assumptions'!E$102</f>
        <v>0</v>
      </c>
      <c r="F45" s="33">
        <f>$C45*F$26*'Modelling Assumptions'!F$102</f>
        <v>0</v>
      </c>
      <c r="G45" s="33">
        <f>$C45*G$26*'Modelling Assumptions'!G$102</f>
        <v>0</v>
      </c>
      <c r="H45" s="33">
        <f>$C45*H$26*'Modelling Assumptions'!H$102</f>
        <v>0</v>
      </c>
      <c r="I45" s="33">
        <f>$C45*I$26*'Modelling Assumptions'!I$102</f>
        <v>0</v>
      </c>
    </row>
    <row r="46" spans="1:9" x14ac:dyDescent="0.3">
      <c r="A46" s="14" t="s">
        <v>1649</v>
      </c>
      <c r="B46" s="40">
        <f>B35</f>
        <v>513.5</v>
      </c>
      <c r="C46" s="40">
        <f>B46*C15</f>
        <v>1027</v>
      </c>
      <c r="D46" s="33">
        <f>C46*SUMPRODUCT(LabourAdjustmentFactor,E$26:I$26)</f>
        <v>11066.411240371091</v>
      </c>
      <c r="E46" s="33">
        <f>$C46*E$26*'Modelling Assumptions'!E$101</f>
        <v>2105.35</v>
      </c>
      <c r="F46" s="33">
        <f>$C46*F$26*'Modelling Assumptions'!F$101</f>
        <v>2157.9837499999999</v>
      </c>
      <c r="G46" s="33">
        <f>$C46*G$26*'Modelling Assumptions'!G$101</f>
        <v>2211.9333437499999</v>
      </c>
      <c r="H46" s="33">
        <f>$C46*H$26*'Modelling Assumptions'!H$101</f>
        <v>2267.2316773437497</v>
      </c>
      <c r="I46" s="33">
        <f>$C46*I$26*'Modelling Assumptions'!I$101</f>
        <v>2323.912469277343</v>
      </c>
    </row>
    <row r="47" spans="1:9" x14ac:dyDescent="0.3">
      <c r="A47" s="14" t="s">
        <v>1650</v>
      </c>
      <c r="B47" s="40">
        <f>B36</f>
        <v>0</v>
      </c>
      <c r="C47" s="40">
        <f>B47*$C$15</f>
        <v>0</v>
      </c>
      <c r="D47" s="33">
        <f>C47*SUMPRODUCT(MaterialsAdjustmentFactor,E$26:I$26)</f>
        <v>0</v>
      </c>
      <c r="E47" s="33">
        <f>$C47*E$26*'Modelling Assumptions'!E$102</f>
        <v>0</v>
      </c>
      <c r="F47" s="33">
        <f>$C47*F$26*'Modelling Assumptions'!F$102</f>
        <v>0</v>
      </c>
      <c r="G47" s="33">
        <f>$C47*G$26*'Modelling Assumptions'!G$102</f>
        <v>0</v>
      </c>
      <c r="H47" s="33">
        <f>$C47*H$26*'Modelling Assumptions'!H$102</f>
        <v>0</v>
      </c>
      <c r="I47" s="33">
        <f>$C47*I$26*'Modelling Assumptions'!I$102</f>
        <v>0</v>
      </c>
    </row>
    <row r="48" spans="1:9" x14ac:dyDescent="0.3">
      <c r="A48" s="14"/>
      <c r="B48" s="14"/>
      <c r="C48" s="14"/>
    </row>
    <row r="49" spans="1:9" x14ac:dyDescent="0.3">
      <c r="A49" s="14"/>
      <c r="B49" s="14"/>
      <c r="C49" s="14"/>
    </row>
    <row r="50" spans="1:9" x14ac:dyDescent="0.3">
      <c r="A50" s="14"/>
      <c r="B50" s="14"/>
      <c r="C50" s="14"/>
    </row>
    <row r="51" spans="1:9" x14ac:dyDescent="0.3">
      <c r="A51" s="14"/>
      <c r="B51" s="14"/>
      <c r="C51" s="14"/>
    </row>
    <row r="52" spans="1:9" x14ac:dyDescent="0.3">
      <c r="A52" s="14"/>
      <c r="B52" s="14"/>
      <c r="C52" s="14"/>
    </row>
    <row r="53" spans="1:9" x14ac:dyDescent="0.3">
      <c r="A53" s="14"/>
      <c r="B53" s="14"/>
      <c r="C53" s="14"/>
    </row>
    <row r="54" spans="1:9" x14ac:dyDescent="0.3">
      <c r="A54" s="14"/>
      <c r="B54" s="14"/>
      <c r="C54" s="14"/>
    </row>
    <row r="55" spans="1:9" x14ac:dyDescent="0.3">
      <c r="A55" s="14"/>
      <c r="B55" s="14"/>
      <c r="C55" s="14"/>
    </row>
    <row r="56" spans="1:9" x14ac:dyDescent="0.3">
      <c r="A56" s="14"/>
      <c r="B56" s="14"/>
      <c r="C56" s="14"/>
    </row>
    <row r="57" spans="1:9" x14ac:dyDescent="0.3">
      <c r="A57" s="14"/>
      <c r="B57" s="14"/>
      <c r="C57" s="14"/>
    </row>
    <row r="58" spans="1:9" x14ac:dyDescent="0.3">
      <c r="A58" s="10" t="s">
        <v>1641</v>
      </c>
      <c r="B58" s="44"/>
      <c r="C58" s="44"/>
      <c r="D58" s="10"/>
      <c r="E58" s="10"/>
      <c r="F58" s="10"/>
      <c r="G58" s="10"/>
      <c r="H58" s="10"/>
      <c r="I58" s="10"/>
    </row>
    <row r="59" spans="1:9" x14ac:dyDescent="0.3">
      <c r="A59" t="s">
        <v>3</v>
      </c>
      <c r="B59" t="s">
        <v>2</v>
      </c>
      <c r="C59" t="s">
        <v>1</v>
      </c>
    </row>
    <row r="60" spans="1:9" x14ac:dyDescent="0.3">
      <c r="A60" t="s">
        <v>1360</v>
      </c>
      <c r="B60" t="s">
        <v>51</v>
      </c>
    </row>
    <row r="61" spans="1:9" x14ac:dyDescent="0.3">
      <c r="A61" t="s">
        <v>192</v>
      </c>
      <c r="B61" t="s">
        <v>191</v>
      </c>
      <c r="C61" t="s">
        <v>152</v>
      </c>
      <c r="D61" t="s">
        <v>190</v>
      </c>
    </row>
    <row r="62" spans="1:9" x14ac:dyDescent="0.3">
      <c r="A62" t="s">
        <v>192</v>
      </c>
      <c r="B62" t="s">
        <v>191</v>
      </c>
      <c r="C62" t="s">
        <v>244</v>
      </c>
      <c r="D62" t="s">
        <v>253</v>
      </c>
    </row>
    <row r="63" spans="1:9" x14ac:dyDescent="0.3">
      <c r="A63" t="s">
        <v>192</v>
      </c>
      <c r="B63" t="s">
        <v>191</v>
      </c>
      <c r="C63" t="s">
        <v>288</v>
      </c>
      <c r="D63" t="s">
        <v>297</v>
      </c>
    </row>
    <row r="64" spans="1:9" x14ac:dyDescent="0.3">
      <c r="A64" t="s">
        <v>192</v>
      </c>
      <c r="B64" t="s">
        <v>191</v>
      </c>
      <c r="C64" t="s">
        <v>388</v>
      </c>
      <c r="D64" t="s">
        <v>397</v>
      </c>
    </row>
    <row r="65" spans="1:4" x14ac:dyDescent="0.3">
      <c r="A65" t="s">
        <v>192</v>
      </c>
      <c r="B65" t="s">
        <v>191</v>
      </c>
      <c r="C65" t="s">
        <v>433</v>
      </c>
      <c r="D65" t="s">
        <v>442</v>
      </c>
    </row>
    <row r="66" spans="1:4" x14ac:dyDescent="0.3">
      <c r="A66" t="s">
        <v>192</v>
      </c>
      <c r="B66" t="s">
        <v>191</v>
      </c>
      <c r="C66" t="s">
        <v>476</v>
      </c>
      <c r="D66" t="s">
        <v>485</v>
      </c>
    </row>
    <row r="72" spans="1:4" x14ac:dyDescent="0.3">
      <c r="A72" t="s">
        <v>1098</v>
      </c>
      <c r="B72" t="s">
        <v>527</v>
      </c>
    </row>
    <row r="73" spans="1:4" x14ac:dyDescent="0.3">
      <c r="A73" t="s">
        <v>1361</v>
      </c>
      <c r="B73" t="s">
        <v>1362</v>
      </c>
      <c r="C73" t="s">
        <v>1101</v>
      </c>
      <c r="D73" s="29">
        <v>41507.571527777778</v>
      </c>
    </row>
    <row r="74" spans="1:4" x14ac:dyDescent="0.3">
      <c r="A74" t="s">
        <v>1363</v>
      </c>
      <c r="B74" t="s">
        <v>1362</v>
      </c>
      <c r="C74" t="s">
        <v>1101</v>
      </c>
      <c r="D74" s="29">
        <v>41507.571527777778</v>
      </c>
    </row>
    <row r="75" spans="1:4" x14ac:dyDescent="0.3">
      <c r="A75" t="s">
        <v>1364</v>
      </c>
      <c r="B75" t="s">
        <v>1362</v>
      </c>
      <c r="C75" t="s">
        <v>1101</v>
      </c>
      <c r="D75" s="29">
        <v>41507.571527777778</v>
      </c>
    </row>
    <row r="76" spans="1:4" x14ac:dyDescent="0.3">
      <c r="A76" t="s">
        <v>1365</v>
      </c>
      <c r="B76" t="s">
        <v>1362</v>
      </c>
      <c r="C76" t="s">
        <v>1101</v>
      </c>
      <c r="D76" s="29">
        <v>41507.571527777778</v>
      </c>
    </row>
    <row r="77" spans="1:4" x14ac:dyDescent="0.3">
      <c r="A77" t="s">
        <v>1366</v>
      </c>
      <c r="B77" t="s">
        <v>1362</v>
      </c>
      <c r="C77" t="s">
        <v>1101</v>
      </c>
      <c r="D77" s="29">
        <v>41507.571527777778</v>
      </c>
    </row>
    <row r="78" spans="1:4" x14ac:dyDescent="0.3">
      <c r="A78" t="s">
        <v>1367</v>
      </c>
      <c r="B78" t="s">
        <v>1362</v>
      </c>
      <c r="C78" t="s">
        <v>1101</v>
      </c>
      <c r="D78" s="29">
        <v>41507.571527777778</v>
      </c>
    </row>
    <row r="83" spans="1:13" ht="31.2" thickBot="1" x14ac:dyDescent="0.35">
      <c r="A83" s="19" t="s">
        <v>539</v>
      </c>
      <c r="B83" s="20" t="s">
        <v>541</v>
      </c>
      <c r="C83" s="20" t="s">
        <v>542</v>
      </c>
      <c r="D83" s="20" t="s">
        <v>543</v>
      </c>
      <c r="E83" s="20" t="s">
        <v>545</v>
      </c>
      <c r="F83" s="20" t="s">
        <v>546</v>
      </c>
      <c r="G83" s="20" t="s">
        <v>547</v>
      </c>
      <c r="H83" s="20" t="s">
        <v>548</v>
      </c>
      <c r="I83" s="20" t="s">
        <v>549</v>
      </c>
      <c r="J83" s="20" t="s">
        <v>551</v>
      </c>
      <c r="K83" s="20" t="s">
        <v>552</v>
      </c>
      <c r="L83" s="20" t="s">
        <v>553</v>
      </c>
      <c r="M83" s="20" t="s">
        <v>556</v>
      </c>
    </row>
    <row r="84" spans="1:13" ht="72.599999999999994" x14ac:dyDescent="0.3">
      <c r="A84" s="23">
        <v>41244</v>
      </c>
      <c r="B84" s="24">
        <v>30264</v>
      </c>
      <c r="C84" s="24" t="s">
        <v>585</v>
      </c>
      <c r="D84" s="24" t="s">
        <v>875</v>
      </c>
      <c r="E84" s="24">
        <v>2663124</v>
      </c>
      <c r="F84" s="25">
        <v>132</v>
      </c>
      <c r="G84" s="25">
        <v>132</v>
      </c>
      <c r="H84" s="24" t="s">
        <v>876</v>
      </c>
      <c r="I84" s="24" t="s">
        <v>877</v>
      </c>
      <c r="J84" s="24" t="s">
        <v>878</v>
      </c>
      <c r="K84" s="24" t="s">
        <v>590</v>
      </c>
      <c r="L84" s="24">
        <v>272223</v>
      </c>
      <c r="M84" s="24" t="s">
        <v>900</v>
      </c>
    </row>
    <row r="85" spans="1:13" ht="72.599999999999994" x14ac:dyDescent="0.3">
      <c r="A85" s="23">
        <v>41306</v>
      </c>
      <c r="B85" s="24">
        <v>30264</v>
      </c>
      <c r="C85" s="24" t="s">
        <v>585</v>
      </c>
      <c r="D85" s="24" t="s">
        <v>875</v>
      </c>
      <c r="E85" s="24">
        <v>2853064</v>
      </c>
      <c r="F85" s="25">
        <v>297</v>
      </c>
      <c r="G85" s="25">
        <v>297</v>
      </c>
      <c r="H85" s="24" t="s">
        <v>876</v>
      </c>
      <c r="I85" s="24" t="s">
        <v>877</v>
      </c>
      <c r="J85" s="24" t="s">
        <v>878</v>
      </c>
      <c r="K85" s="24" t="s">
        <v>590</v>
      </c>
      <c r="L85" s="24">
        <v>272223</v>
      </c>
      <c r="M85" s="24" t="s">
        <v>922</v>
      </c>
    </row>
    <row r="86" spans="1:13" ht="72.599999999999994" x14ac:dyDescent="0.3">
      <c r="A86" s="23">
        <v>41334</v>
      </c>
      <c r="B86" s="24">
        <v>30264</v>
      </c>
      <c r="C86" s="24" t="s">
        <v>585</v>
      </c>
      <c r="D86" s="24" t="s">
        <v>875</v>
      </c>
      <c r="E86" s="24">
        <v>2948842</v>
      </c>
      <c r="F86" s="25">
        <v>434</v>
      </c>
      <c r="G86" s="25">
        <v>434</v>
      </c>
      <c r="H86" s="24" t="s">
        <v>876</v>
      </c>
      <c r="I86" s="24" t="s">
        <v>877</v>
      </c>
      <c r="J86" s="24" t="s">
        <v>878</v>
      </c>
      <c r="K86" s="24" t="s">
        <v>590</v>
      </c>
      <c r="L86" s="24">
        <v>272223</v>
      </c>
      <c r="M86" s="24" t="s">
        <v>938</v>
      </c>
    </row>
    <row r="87" spans="1:13" ht="72.599999999999994" x14ac:dyDescent="0.3">
      <c r="A87" s="23">
        <v>41334</v>
      </c>
      <c r="B87" s="24">
        <v>30264</v>
      </c>
      <c r="C87" s="24" t="s">
        <v>585</v>
      </c>
      <c r="D87" s="24" t="s">
        <v>875</v>
      </c>
      <c r="E87" s="24">
        <v>2948842</v>
      </c>
      <c r="F87" s="25">
        <v>824</v>
      </c>
      <c r="G87" s="25">
        <v>824</v>
      </c>
      <c r="H87" s="24" t="s">
        <v>876</v>
      </c>
      <c r="I87" s="24" t="s">
        <v>877</v>
      </c>
      <c r="J87" s="24" t="s">
        <v>878</v>
      </c>
      <c r="K87" s="24" t="s">
        <v>590</v>
      </c>
      <c r="L87" s="24">
        <v>272223</v>
      </c>
      <c r="M87" s="24" t="s">
        <v>939</v>
      </c>
    </row>
    <row r="88" spans="1:13" ht="72.599999999999994" x14ac:dyDescent="0.3">
      <c r="A88" s="23">
        <v>41426</v>
      </c>
      <c r="B88" s="24">
        <v>30264</v>
      </c>
      <c r="C88" s="24" t="s">
        <v>585</v>
      </c>
      <c r="D88" s="24" t="s">
        <v>875</v>
      </c>
      <c r="E88" s="24">
        <v>3264219</v>
      </c>
      <c r="F88" s="25">
        <v>824.5</v>
      </c>
      <c r="G88" s="25">
        <v>824.5</v>
      </c>
      <c r="H88" s="24" t="s">
        <v>876</v>
      </c>
      <c r="I88" s="24" t="s">
        <v>877</v>
      </c>
      <c r="J88" s="24" t="s">
        <v>878</v>
      </c>
      <c r="K88" s="24" t="s">
        <v>590</v>
      </c>
      <c r="L88" s="24">
        <v>272223</v>
      </c>
      <c r="M88" s="24" t="s">
        <v>980</v>
      </c>
    </row>
    <row r="89" spans="1:13" ht="72.599999999999994" x14ac:dyDescent="0.3">
      <c r="A89" s="23">
        <v>41518</v>
      </c>
      <c r="B89" s="24">
        <v>30264</v>
      </c>
      <c r="C89" s="24" t="s">
        <v>585</v>
      </c>
      <c r="D89" s="24" t="s">
        <v>875</v>
      </c>
      <c r="E89" s="24">
        <v>3594102</v>
      </c>
      <c r="F89" s="25">
        <v>322</v>
      </c>
      <c r="G89" s="25">
        <v>322</v>
      </c>
      <c r="H89" s="24" t="s">
        <v>996</v>
      </c>
      <c r="I89" s="24" t="s">
        <v>877</v>
      </c>
      <c r="J89" s="24" t="s">
        <v>878</v>
      </c>
      <c r="K89" s="24" t="s">
        <v>590</v>
      </c>
      <c r="L89" s="24">
        <v>293833</v>
      </c>
      <c r="M89" s="24" t="s">
        <v>1022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8C800"/>
    <pageSetUpPr fitToPage="1"/>
  </sheetPr>
  <dimension ref="A1:I74"/>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49</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D37</f>
        <v>7055.823121557889</v>
      </c>
      <c r="E3" s="33">
        <f t="shared" si="0"/>
        <v>1342.3481999999999</v>
      </c>
      <c r="F3" s="33">
        <f t="shared" si="0"/>
        <v>1375.9069049999998</v>
      </c>
      <c r="G3" s="33">
        <f t="shared" si="0"/>
        <v>1410.3045776249999</v>
      </c>
      <c r="H3" s="33">
        <f t="shared" si="0"/>
        <v>1445.5621920656247</v>
      </c>
      <c r="I3" s="33">
        <f t="shared" si="0"/>
        <v>1481.7012468672651</v>
      </c>
    </row>
    <row r="4" spans="1:9" ht="15" x14ac:dyDescent="0.25">
      <c r="A4" t="s">
        <v>1643</v>
      </c>
      <c r="B4" s="33"/>
      <c r="C4" s="33"/>
      <c r="D4" s="33">
        <f t="shared" si="0"/>
        <v>16405.229652899998</v>
      </c>
      <c r="E4" s="33">
        <f t="shared" si="0"/>
        <v>3090</v>
      </c>
      <c r="F4" s="33">
        <f t="shared" si="0"/>
        <v>3182.7</v>
      </c>
      <c r="G4" s="33">
        <f t="shared" si="0"/>
        <v>3278.181</v>
      </c>
      <c r="H4" s="33">
        <f t="shared" si="0"/>
        <v>3376.5264299999999</v>
      </c>
      <c r="I4" s="33">
        <f t="shared" si="0"/>
        <v>3477.8222228999994</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3" spans="1:9" ht="15" x14ac:dyDescent="0.25">
      <c r="A13" t="s">
        <v>1715</v>
      </c>
    </row>
    <row r="14" spans="1:9" ht="15" x14ac:dyDescent="0.25">
      <c r="B14" s="39" t="s">
        <v>1923</v>
      </c>
      <c r="C14" s="39">
        <v>6</v>
      </c>
    </row>
    <row r="15" spans="1:9" ht="15" x14ac:dyDescent="0.25">
      <c r="A15" s="12" t="s">
        <v>1640</v>
      </c>
      <c r="B15" s="12"/>
      <c r="C15" s="12">
        <f>C14</f>
        <v>6</v>
      </c>
    </row>
    <row r="17" spans="1:9" ht="15" x14ac:dyDescent="0.25">
      <c r="A17" s="157" t="s">
        <v>1992</v>
      </c>
      <c r="B17" s="157"/>
      <c r="C17" s="157"/>
    </row>
    <row r="18" spans="1:9" ht="15" x14ac:dyDescent="0.25">
      <c r="A18" t="s">
        <v>2006</v>
      </c>
    </row>
    <row r="19" spans="1:9" ht="15" x14ac:dyDescent="0.25">
      <c r="A19" t="s">
        <v>2004</v>
      </c>
    </row>
    <row r="20" spans="1:9" ht="15" x14ac:dyDescent="0.25">
      <c r="A20" t="s">
        <v>3093</v>
      </c>
    </row>
    <row r="21" spans="1:9" ht="15" x14ac:dyDescent="0.25">
      <c r="A21" s="301" t="s">
        <v>3254</v>
      </c>
    </row>
    <row r="22" spans="1:9" s="301" customFormat="1" ht="15" x14ac:dyDescent="0.25"/>
    <row r="23" spans="1:9" ht="15" x14ac:dyDescent="0.25">
      <c r="B23" s="39"/>
      <c r="C23" s="39"/>
      <c r="E23" s="30" t="str">
        <f>Summary!C4</f>
        <v>2015/16</v>
      </c>
      <c r="F23" s="30" t="str">
        <f>Summary!D4</f>
        <v>2016/17</v>
      </c>
      <c r="G23" s="30" t="str">
        <f>Summary!E4</f>
        <v>2017/18</v>
      </c>
      <c r="H23" s="30" t="str">
        <f>Summary!F4</f>
        <v>2018/19</v>
      </c>
      <c r="I23" s="30" t="str">
        <f>Summary!G4</f>
        <v>2019/20</v>
      </c>
    </row>
    <row r="24" spans="1:9" x14ac:dyDescent="0.3">
      <c r="A24" s="16" t="s">
        <v>1357</v>
      </c>
      <c r="B24" s="16" t="s">
        <v>51</v>
      </c>
      <c r="C24" s="43"/>
      <c r="D24" s="16"/>
      <c r="E24" s="16">
        <v>2</v>
      </c>
      <c r="F24" s="16">
        <v>2</v>
      </c>
      <c r="G24" s="16">
        <v>2</v>
      </c>
      <c r="H24" s="16">
        <v>2</v>
      </c>
      <c r="I24" s="16">
        <v>2</v>
      </c>
    </row>
    <row r="25" spans="1:9" ht="15" x14ac:dyDescent="0.25">
      <c r="A25" s="8" t="s">
        <v>1646</v>
      </c>
      <c r="C25" s="39"/>
    </row>
    <row r="26" spans="1:9" ht="15" x14ac:dyDescent="0.25">
      <c r="A26" s="14" t="s">
        <v>1658</v>
      </c>
      <c r="B26" s="74">
        <f>B45</f>
        <v>0.66666666666666663</v>
      </c>
      <c r="C26" s="14" t="s">
        <v>1788</v>
      </c>
    </row>
    <row r="27" spans="1:9" ht="15" x14ac:dyDescent="0.25">
      <c r="A27" s="14" t="s">
        <v>1997</v>
      </c>
      <c r="B27" s="74">
        <f>2/C15</f>
        <v>0.33333333333333331</v>
      </c>
      <c r="C27" s="14" t="s">
        <v>3272</v>
      </c>
    </row>
    <row r="28" spans="1:9" ht="15" x14ac:dyDescent="0.25">
      <c r="A28" s="14" t="s">
        <v>1643</v>
      </c>
      <c r="B28" s="75">
        <f>B55/2</f>
        <v>250</v>
      </c>
      <c r="C28" s="14" t="s">
        <v>3280</v>
      </c>
    </row>
    <row r="29" spans="1:9" ht="15" x14ac:dyDescent="0.25">
      <c r="A29" s="14"/>
      <c r="B29" s="41"/>
      <c r="C29" s="14"/>
    </row>
    <row r="30" spans="1:9" ht="15" x14ac:dyDescent="0.25">
      <c r="A30" s="42" t="s">
        <v>1647</v>
      </c>
      <c r="B30" s="7"/>
      <c r="C30" s="14"/>
    </row>
    <row r="31" spans="1:9" x14ac:dyDescent="0.3">
      <c r="A31" s="14" t="s">
        <v>1656</v>
      </c>
      <c r="B31" s="7"/>
      <c r="C31" s="14"/>
    </row>
    <row r="32" spans="1:9" x14ac:dyDescent="0.3">
      <c r="A32" s="14" t="s">
        <v>1651</v>
      </c>
      <c r="B32" s="41"/>
    </row>
    <row r="33" spans="1:9" x14ac:dyDescent="0.3">
      <c r="A33" s="14" t="s">
        <v>1649</v>
      </c>
      <c r="B33" s="55">
        <v>0</v>
      </c>
      <c r="C33" s="14" t="s">
        <v>1788</v>
      </c>
    </row>
    <row r="34" spans="1:9" x14ac:dyDescent="0.3">
      <c r="A34" s="14" t="s">
        <v>1650</v>
      </c>
      <c r="B34" s="55">
        <v>0</v>
      </c>
      <c r="C34" s="7"/>
    </row>
    <row r="35" spans="1:9" x14ac:dyDescent="0.3">
      <c r="A35" s="14"/>
      <c r="B35" s="14"/>
      <c r="C35" s="14"/>
    </row>
    <row r="36" spans="1:9" x14ac:dyDescent="0.3">
      <c r="A36" s="14"/>
      <c r="B36" s="46" t="s">
        <v>2712</v>
      </c>
      <c r="C36" s="46" t="s">
        <v>2718</v>
      </c>
      <c r="D36" s="30" t="s">
        <v>1655</v>
      </c>
      <c r="E36" s="30" t="str">
        <f>Summary!C4</f>
        <v>2015/16</v>
      </c>
      <c r="F36" s="30" t="str">
        <f>Summary!D4</f>
        <v>2016/17</v>
      </c>
      <c r="G36" s="30" t="str">
        <f>Summary!E4</f>
        <v>2017/18</v>
      </c>
      <c r="H36" s="30" t="str">
        <f>Summary!F4</f>
        <v>2018/19</v>
      </c>
      <c r="I36" s="30" t="str">
        <f>Summary!G4</f>
        <v>2019/20</v>
      </c>
    </row>
    <row r="37" spans="1:9" x14ac:dyDescent="0.3">
      <c r="A37" s="14" t="s">
        <v>1648</v>
      </c>
      <c r="B37" s="40">
        <f>B26*HourlyRateAPAMaintenanceStaff+B27*HourlyRateAPAOMSupervisor</f>
        <v>109.134</v>
      </c>
      <c r="C37" s="40">
        <f>B37*$C$15</f>
        <v>654.80399999999997</v>
      </c>
      <c r="D37" s="33">
        <f>C37*SUMPRODUCT(LabourAdjustmentFactor,E$24:I$24)</f>
        <v>7055.823121557889</v>
      </c>
      <c r="E37" s="33">
        <f>$C37*E$24*'Modelling Assumptions'!E$101</f>
        <v>1342.3481999999999</v>
      </c>
      <c r="F37" s="33">
        <f>$C37*F$24*'Modelling Assumptions'!F$101</f>
        <v>1375.9069049999998</v>
      </c>
      <c r="G37" s="33">
        <f>$C37*G$24*'Modelling Assumptions'!G$101</f>
        <v>1410.3045776249999</v>
      </c>
      <c r="H37" s="33">
        <f>$C37*H$24*'Modelling Assumptions'!H$101</f>
        <v>1445.5621920656247</v>
      </c>
      <c r="I37" s="33">
        <f>$C37*I$24*'Modelling Assumptions'!I$101</f>
        <v>1481.7012468672651</v>
      </c>
    </row>
    <row r="38" spans="1:9" x14ac:dyDescent="0.3">
      <c r="A38" s="14" t="s">
        <v>1643</v>
      </c>
      <c r="B38" s="40">
        <f>B28</f>
        <v>250</v>
      </c>
      <c r="C38" s="40">
        <f>B38*$C$15</f>
        <v>1500</v>
      </c>
      <c r="D38" s="33">
        <f>C38*SUMPRODUCT(MaterialsAdjustmentFactor,E$24:I$24)</f>
        <v>16405.229652899998</v>
      </c>
      <c r="E38" s="33">
        <f>$C38*E$24*'Modelling Assumptions'!E$102</f>
        <v>3090</v>
      </c>
      <c r="F38" s="33">
        <f>$C38*F$24*'Modelling Assumptions'!F$102</f>
        <v>3182.7</v>
      </c>
      <c r="G38" s="33">
        <f>$C38*G$24*'Modelling Assumptions'!G$102</f>
        <v>3278.181</v>
      </c>
      <c r="H38" s="33">
        <f>$C38*H$24*'Modelling Assumptions'!H$102</f>
        <v>3376.5264299999999</v>
      </c>
      <c r="I38" s="33">
        <f>$C38*I$24*'Modelling Assumptions'!I$102</f>
        <v>3477.8222228999994</v>
      </c>
    </row>
    <row r="39" spans="1:9" x14ac:dyDescent="0.3">
      <c r="A39" s="14" t="s">
        <v>1649</v>
      </c>
      <c r="B39" s="40">
        <f>B33</f>
        <v>0</v>
      </c>
      <c r="C39" s="40">
        <f>B39*$C$15</f>
        <v>0</v>
      </c>
      <c r="D39" s="33">
        <f>C39*SUMPRODUCT(LabourAdjustmentFactor,E$24:I$24)</f>
        <v>0</v>
      </c>
      <c r="E39" s="33">
        <f>$C39*E$24*'Modelling Assumptions'!E$101</f>
        <v>0</v>
      </c>
      <c r="F39" s="33">
        <f>$C39*F$24*'Modelling Assumptions'!F$101</f>
        <v>0</v>
      </c>
      <c r="G39" s="33">
        <f>$C39*G$24*'Modelling Assumptions'!G$101</f>
        <v>0</v>
      </c>
      <c r="H39" s="33">
        <f>$C39*H$24*'Modelling Assumptions'!H$101</f>
        <v>0</v>
      </c>
      <c r="I39" s="33">
        <f>$C39*I$24*'Modelling Assumptions'!I$101</f>
        <v>0</v>
      </c>
    </row>
    <row r="40" spans="1:9" x14ac:dyDescent="0.3">
      <c r="A40" s="14" t="s">
        <v>1650</v>
      </c>
      <c r="B40" s="40">
        <f>B34</f>
        <v>0</v>
      </c>
      <c r="C40" s="40">
        <f>B40*$C$15</f>
        <v>0</v>
      </c>
      <c r="D40" s="33">
        <f>C40*SUMPRODUCT(MaterialsAdjustmentFactor,E$24:I$24)</f>
        <v>0</v>
      </c>
      <c r="E40" s="33">
        <f>$C40*E$24*'Modelling Assumptions'!E$102</f>
        <v>0</v>
      </c>
      <c r="F40" s="33">
        <f>$C40*F$24*'Modelling Assumptions'!F$102</f>
        <v>0</v>
      </c>
      <c r="G40" s="33">
        <f>$C40*G$24*'Modelling Assumptions'!G$102</f>
        <v>0</v>
      </c>
      <c r="H40" s="33">
        <f>$C40*H$24*'Modelling Assumptions'!H$102</f>
        <v>0</v>
      </c>
      <c r="I40" s="33">
        <f>$C40*I$24*'Modelling Assumptions'!I$102</f>
        <v>0</v>
      </c>
    </row>
    <row r="41" spans="1:9" x14ac:dyDescent="0.3">
      <c r="A41" s="14"/>
      <c r="B41" s="40"/>
      <c r="C41" s="40"/>
      <c r="D41" s="33"/>
      <c r="E41" s="33"/>
      <c r="F41" s="33"/>
      <c r="G41" s="33"/>
      <c r="H41" s="33"/>
      <c r="I41" s="33"/>
    </row>
    <row r="42" spans="1:9" x14ac:dyDescent="0.3">
      <c r="A42" s="48" t="s">
        <v>1496</v>
      </c>
      <c r="B42" s="11"/>
      <c r="C42" s="11"/>
      <c r="D42" s="33"/>
      <c r="E42" s="33"/>
      <c r="F42" s="33"/>
      <c r="G42" s="33"/>
      <c r="H42" s="33"/>
      <c r="I42" s="33"/>
    </row>
    <row r="43" spans="1:9" x14ac:dyDescent="0.3">
      <c r="A43" s="14" t="s">
        <v>1817</v>
      </c>
      <c r="B43" s="71">
        <v>15</v>
      </c>
      <c r="C43" s="40" t="s">
        <v>1819</v>
      </c>
      <c r="D43" s="33"/>
      <c r="E43" s="33"/>
      <c r="F43" s="33"/>
      <c r="G43" s="33"/>
      <c r="H43" s="33"/>
      <c r="I43" s="33"/>
    </row>
    <row r="44" spans="1:9" x14ac:dyDescent="0.3">
      <c r="A44" s="14" t="s">
        <v>1818</v>
      </c>
      <c r="B44" s="71">
        <v>5</v>
      </c>
      <c r="C44" s="40" t="s">
        <v>1821</v>
      </c>
      <c r="D44" s="33"/>
      <c r="E44" s="33"/>
      <c r="F44" s="33"/>
      <c r="G44" s="33"/>
      <c r="H44" s="33"/>
      <c r="I44" s="33"/>
    </row>
    <row r="45" spans="1:9" x14ac:dyDescent="0.3">
      <c r="A45" s="14" t="s">
        <v>1822</v>
      </c>
      <c r="B45" s="72">
        <f>(B43+B44*B53/2)/60</f>
        <v>0.66666666666666663</v>
      </c>
      <c r="C45" s="40" t="s">
        <v>1823</v>
      </c>
      <c r="D45" s="33"/>
      <c r="E45" s="33"/>
      <c r="F45" s="33"/>
      <c r="G45" s="33"/>
      <c r="H45" s="33"/>
      <c r="I45" s="33"/>
    </row>
    <row r="46" spans="1:9" x14ac:dyDescent="0.3">
      <c r="A46" s="14"/>
      <c r="B46" s="40"/>
      <c r="C46" s="40"/>
      <c r="D46" s="33"/>
      <c r="E46" s="33"/>
      <c r="F46" s="33"/>
      <c r="G46" s="33"/>
      <c r="H46" s="33"/>
      <c r="I46" s="33"/>
    </row>
    <row r="47" spans="1:9" x14ac:dyDescent="0.3">
      <c r="A47" s="14"/>
      <c r="B47" s="14"/>
      <c r="C47" s="14"/>
    </row>
    <row r="48" spans="1:9" x14ac:dyDescent="0.3">
      <c r="A48" s="48" t="s">
        <v>1663</v>
      </c>
      <c r="B48" s="11"/>
      <c r="C48" s="11"/>
    </row>
    <row r="49" spans="1:9" x14ac:dyDescent="0.3">
      <c r="A49" s="14" t="s">
        <v>2005</v>
      </c>
    </row>
    <row r="50" spans="1:9" x14ac:dyDescent="0.3">
      <c r="A50" s="14" t="s">
        <v>1811</v>
      </c>
      <c r="B50">
        <v>5</v>
      </c>
    </row>
    <row r="51" spans="1:9" x14ac:dyDescent="0.3">
      <c r="A51" t="s">
        <v>1812</v>
      </c>
      <c r="B51" s="14">
        <v>20</v>
      </c>
      <c r="C51" s="14"/>
    </row>
    <row r="52" spans="1:9" x14ac:dyDescent="0.3">
      <c r="A52" s="14" t="s">
        <v>1813</v>
      </c>
      <c r="B52" s="14">
        <v>2.5</v>
      </c>
      <c r="C52" s="14" t="s">
        <v>1816</v>
      </c>
    </row>
    <row r="53" spans="1:9" x14ac:dyDescent="0.3">
      <c r="A53" s="14" t="s">
        <v>1820</v>
      </c>
      <c r="B53" s="14">
        <f>(B50+B51)/B52</f>
        <v>10</v>
      </c>
      <c r="C53" s="14" t="s">
        <v>3281</v>
      </c>
    </row>
    <row r="54" spans="1:9" x14ac:dyDescent="0.3">
      <c r="A54" t="s">
        <v>1814</v>
      </c>
      <c r="B54" s="40">
        <v>50</v>
      </c>
      <c r="C54" s="14" t="s">
        <v>3282</v>
      </c>
    </row>
    <row r="55" spans="1:9" x14ac:dyDescent="0.3">
      <c r="A55" t="s">
        <v>1815</v>
      </c>
      <c r="B55" s="40">
        <f>B53*B54</f>
        <v>500</v>
      </c>
      <c r="C55" s="14"/>
    </row>
    <row r="56" spans="1:9" x14ac:dyDescent="0.3">
      <c r="B56" s="40"/>
      <c r="C56" s="14"/>
    </row>
    <row r="57" spans="1:9" x14ac:dyDescent="0.3">
      <c r="A57" s="14"/>
      <c r="B57" s="14"/>
      <c r="C57" s="14"/>
    </row>
    <row r="58" spans="1:9" x14ac:dyDescent="0.3">
      <c r="A58" s="14"/>
      <c r="B58" s="14"/>
      <c r="C58" s="14"/>
    </row>
    <row r="59" spans="1:9" x14ac:dyDescent="0.3">
      <c r="A59" s="10" t="s">
        <v>1641</v>
      </c>
      <c r="B59" s="44"/>
      <c r="C59" s="44"/>
      <c r="D59" s="10"/>
      <c r="E59" s="10"/>
      <c r="F59" s="10"/>
      <c r="G59" s="10"/>
      <c r="H59" s="10"/>
      <c r="I59" s="10"/>
    </row>
    <row r="60" spans="1:9" x14ac:dyDescent="0.3">
      <c r="A60" t="s">
        <v>3</v>
      </c>
      <c r="B60" t="s">
        <v>2</v>
      </c>
      <c r="C60" t="s">
        <v>1</v>
      </c>
    </row>
    <row r="61" spans="1:9" x14ac:dyDescent="0.3">
      <c r="A61" t="s">
        <v>1357</v>
      </c>
      <c r="B61" t="s">
        <v>51</v>
      </c>
    </row>
    <row r="62" spans="1:9" x14ac:dyDescent="0.3">
      <c r="A62" t="s">
        <v>50</v>
      </c>
      <c r="B62" t="s">
        <v>49</v>
      </c>
      <c r="C62" t="s">
        <v>8</v>
      </c>
      <c r="D62" t="s">
        <v>44</v>
      </c>
    </row>
    <row r="63" spans="1:9" x14ac:dyDescent="0.3">
      <c r="A63" t="s">
        <v>50</v>
      </c>
      <c r="B63" t="s">
        <v>49</v>
      </c>
      <c r="C63" t="s">
        <v>8</v>
      </c>
      <c r="D63" t="s">
        <v>93</v>
      </c>
    </row>
    <row r="64" spans="1:9" x14ac:dyDescent="0.3">
      <c r="A64" t="s">
        <v>50</v>
      </c>
      <c r="B64" t="s">
        <v>49</v>
      </c>
      <c r="C64" t="s">
        <v>8</v>
      </c>
      <c r="D64" t="s">
        <v>108</v>
      </c>
    </row>
    <row r="65" spans="1:5" x14ac:dyDescent="0.3">
      <c r="A65" t="s">
        <v>50</v>
      </c>
      <c r="B65" t="s">
        <v>49</v>
      </c>
      <c r="C65" t="s">
        <v>328</v>
      </c>
      <c r="D65" t="s">
        <v>335</v>
      </c>
    </row>
    <row r="66" spans="1:5" x14ac:dyDescent="0.3">
      <c r="A66" t="s">
        <v>50</v>
      </c>
      <c r="B66" t="s">
        <v>49</v>
      </c>
      <c r="C66" t="s">
        <v>328</v>
      </c>
      <c r="D66" t="s">
        <v>346</v>
      </c>
    </row>
    <row r="67" spans="1:5" x14ac:dyDescent="0.3">
      <c r="A67" t="s">
        <v>50</v>
      </c>
      <c r="B67" t="s">
        <v>49</v>
      </c>
      <c r="C67" t="s">
        <v>328</v>
      </c>
      <c r="D67" t="s">
        <v>358</v>
      </c>
    </row>
    <row r="73" spans="1:5" x14ac:dyDescent="0.3">
      <c r="A73" t="s">
        <v>1098</v>
      </c>
      <c r="B73" t="s">
        <v>517</v>
      </c>
    </row>
    <row r="74" spans="1:5" x14ac:dyDescent="0.3">
      <c r="A74" t="s">
        <v>1358</v>
      </c>
      <c r="B74" t="s">
        <v>1100</v>
      </c>
      <c r="C74" t="s">
        <v>1101</v>
      </c>
      <c r="D74" s="29">
        <v>41536.413888888892</v>
      </c>
      <c r="E74" t="s">
        <v>1359</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8C800"/>
    <pageSetUpPr fitToPage="1"/>
  </sheetPr>
  <dimension ref="A1:I84"/>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45</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D31</f>
        <v>162448.02070563514</v>
      </c>
      <c r="E3" s="33">
        <f t="shared" si="0"/>
        <v>30905.225999999995</v>
      </c>
      <c r="F3" s="33">
        <f t="shared" si="0"/>
        <v>31677.856649999998</v>
      </c>
      <c r="G3" s="33">
        <f t="shared" si="0"/>
        <v>32469.803066249995</v>
      </c>
      <c r="H3" s="33">
        <f t="shared" si="0"/>
        <v>33281.548142906242</v>
      </c>
      <c r="I3" s="33">
        <f t="shared" si="0"/>
        <v>34113.586846478895</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1519</v>
      </c>
    </row>
    <row r="13" spans="1:9" ht="15" x14ac:dyDescent="0.25">
      <c r="A13" t="s">
        <v>1717</v>
      </c>
    </row>
    <row r="14" spans="1:9" ht="15" x14ac:dyDescent="0.25">
      <c r="B14" s="39" t="s">
        <v>1678</v>
      </c>
      <c r="C14" s="39">
        <v>2</v>
      </c>
    </row>
    <row r="15" spans="1:9" ht="15" x14ac:dyDescent="0.25">
      <c r="A15" s="12" t="s">
        <v>1640</v>
      </c>
      <c r="B15" s="12"/>
      <c r="C15" s="12">
        <f>C14</f>
        <v>2</v>
      </c>
    </row>
    <row r="17" spans="1:9" ht="15" x14ac:dyDescent="0.25">
      <c r="B17" s="39"/>
      <c r="C17" s="39"/>
      <c r="E17" s="30" t="str">
        <f>Summary!C4</f>
        <v>2015/16</v>
      </c>
      <c r="F17" s="30" t="str">
        <f>Summary!D4</f>
        <v>2016/17</v>
      </c>
      <c r="G17" s="30" t="str">
        <f>Summary!E4</f>
        <v>2017/18</v>
      </c>
      <c r="H17" s="30" t="str">
        <f>Summary!F4</f>
        <v>2018/19</v>
      </c>
      <c r="I17" s="30" t="str">
        <f>Summary!G4</f>
        <v>2019/20</v>
      </c>
    </row>
    <row r="18" spans="1:9" x14ac:dyDescent="0.3">
      <c r="A18" s="16" t="s">
        <v>1718</v>
      </c>
      <c r="B18" s="16" t="s">
        <v>47</v>
      </c>
      <c r="C18" s="43"/>
      <c r="D18" s="16"/>
      <c r="E18" s="16">
        <v>12</v>
      </c>
      <c r="F18" s="16">
        <v>12</v>
      </c>
      <c r="G18" s="16">
        <v>12</v>
      </c>
      <c r="H18" s="16">
        <v>12</v>
      </c>
      <c r="I18" s="16">
        <v>12</v>
      </c>
    </row>
    <row r="19" spans="1:9" ht="15" x14ac:dyDescent="0.25">
      <c r="A19" s="8" t="s">
        <v>1646</v>
      </c>
      <c r="C19" s="39"/>
    </row>
    <row r="20" spans="1:9" ht="15" x14ac:dyDescent="0.25">
      <c r="A20" s="14" t="s">
        <v>1658</v>
      </c>
      <c r="B20" s="15">
        <f>8+2</f>
        <v>10</v>
      </c>
      <c r="C20" s="14" t="s">
        <v>2007</v>
      </c>
    </row>
    <row r="21" spans="1:9" ht="15" x14ac:dyDescent="0.25">
      <c r="A21" s="14" t="s">
        <v>1997</v>
      </c>
      <c r="B21" s="15">
        <v>2</v>
      </c>
      <c r="C21" s="14" t="s">
        <v>3494</v>
      </c>
    </row>
    <row r="22" spans="1:9" ht="15" x14ac:dyDescent="0.25">
      <c r="A22" s="14" t="s">
        <v>1643</v>
      </c>
      <c r="B22" s="55">
        <v>0</v>
      </c>
      <c r="C22" s="14"/>
    </row>
    <row r="23" spans="1:9" ht="15" x14ac:dyDescent="0.25">
      <c r="A23" s="14"/>
      <c r="B23" s="55"/>
      <c r="C23" s="14"/>
    </row>
    <row r="24" spans="1:9" ht="15" x14ac:dyDescent="0.25">
      <c r="A24" s="42" t="s">
        <v>1647</v>
      </c>
      <c r="B24" s="15"/>
      <c r="C24" s="14"/>
    </row>
    <row r="25" spans="1:9" ht="15" x14ac:dyDescent="0.25">
      <c r="A25" s="14" t="s">
        <v>1656</v>
      </c>
      <c r="B25" s="15"/>
      <c r="C25" s="14"/>
    </row>
    <row r="26" spans="1:9" ht="15" x14ac:dyDescent="0.25">
      <c r="A26" s="14" t="s">
        <v>1651</v>
      </c>
      <c r="B26" s="55"/>
    </row>
    <row r="27" spans="1:9" ht="15" x14ac:dyDescent="0.25">
      <c r="A27" s="14" t="s">
        <v>1649</v>
      </c>
      <c r="B27" s="55">
        <v>0</v>
      </c>
      <c r="C27" s="14"/>
    </row>
    <row r="28" spans="1:9" ht="15" x14ac:dyDescent="0.25">
      <c r="A28" s="14" t="s">
        <v>1650</v>
      </c>
      <c r="B28" s="55">
        <v>0</v>
      </c>
      <c r="C28" s="7"/>
    </row>
    <row r="29" spans="1:9" ht="15" x14ac:dyDescent="0.25">
      <c r="A29" s="14"/>
      <c r="B29" s="14"/>
      <c r="C29" s="14"/>
    </row>
    <row r="30" spans="1:9" ht="15" x14ac:dyDescent="0.25">
      <c r="A30" s="14"/>
      <c r="B30" s="46" t="s">
        <v>2712</v>
      </c>
      <c r="C30" s="46" t="s">
        <v>2718</v>
      </c>
      <c r="D30" s="30" t="s">
        <v>1655</v>
      </c>
      <c r="E30" s="30" t="str">
        <f>Summary!C4</f>
        <v>2015/16</v>
      </c>
      <c r="F30" s="30" t="str">
        <f>Summary!D4</f>
        <v>2016/17</v>
      </c>
      <c r="G30" s="30" t="str">
        <f>Summary!E4</f>
        <v>2017/18</v>
      </c>
      <c r="H30" s="30" t="str">
        <f>Summary!F4</f>
        <v>2018/19</v>
      </c>
      <c r="I30" s="30" t="str">
        <f>Summary!G4</f>
        <v>2019/20</v>
      </c>
    </row>
    <row r="31" spans="1:9" x14ac:dyDescent="0.3">
      <c r="A31" s="14" t="s">
        <v>1648</v>
      </c>
      <c r="B31" s="40">
        <f>B20*HourlyRateAPAMaintenanceStaff+B21*HourlyRateAPAOMSupervisor</f>
        <v>1256.31</v>
      </c>
      <c r="C31" s="40">
        <f>B31*$C$15</f>
        <v>2512.62</v>
      </c>
      <c r="D31" s="33">
        <f>C31*SUMPRODUCT(LabourAdjustmentFactor,E$18:I$18)</f>
        <v>162448.02070563514</v>
      </c>
      <c r="E31" s="33">
        <f>$C31*E$18*'Modelling Assumptions'!E$101</f>
        <v>30905.225999999995</v>
      </c>
      <c r="F31" s="33">
        <f>$C31*F$18*'Modelling Assumptions'!F$101</f>
        <v>31677.856649999998</v>
      </c>
      <c r="G31" s="33">
        <f>$C31*G$18*'Modelling Assumptions'!G$101</f>
        <v>32469.803066249995</v>
      </c>
      <c r="H31" s="33">
        <f>$C31*H$18*'Modelling Assumptions'!H$101</f>
        <v>33281.548142906242</v>
      </c>
      <c r="I31" s="33">
        <f>$C31*I$18*'Modelling Assumptions'!I$101</f>
        <v>34113.586846478895</v>
      </c>
    </row>
    <row r="32" spans="1:9" x14ac:dyDescent="0.3">
      <c r="A32" s="14" t="s">
        <v>1643</v>
      </c>
      <c r="B32" s="40">
        <f>B22</f>
        <v>0</v>
      </c>
      <c r="C32" s="40">
        <f>B32*$C$15</f>
        <v>0</v>
      </c>
      <c r="D32" s="33">
        <f>C32*SUMPRODUCT(MaterialsAdjustmentFactor,E$18:I$18)</f>
        <v>0</v>
      </c>
      <c r="E32" s="33">
        <f>$C32*E$18*'Modelling Assumptions'!E$102</f>
        <v>0</v>
      </c>
      <c r="F32" s="33">
        <f>$C32*F$18*'Modelling Assumptions'!F$102</f>
        <v>0</v>
      </c>
      <c r="G32" s="33">
        <f>$C32*G$18*'Modelling Assumptions'!G$102</f>
        <v>0</v>
      </c>
      <c r="H32" s="33">
        <f>$C32*H$18*'Modelling Assumptions'!H$102</f>
        <v>0</v>
      </c>
      <c r="I32" s="33">
        <f>$C32*I$18*'Modelling Assumptions'!I$102</f>
        <v>0</v>
      </c>
    </row>
    <row r="33" spans="1:9" x14ac:dyDescent="0.3">
      <c r="A33" s="14" t="s">
        <v>1649</v>
      </c>
      <c r="B33" s="40">
        <f>B27</f>
        <v>0</v>
      </c>
      <c r="C33" s="40">
        <f>B33*$C$15</f>
        <v>0</v>
      </c>
      <c r="D33" s="33">
        <f>C33*SUMPRODUCT(LabourAdjustmentFactor,E$18:I$18)</f>
        <v>0</v>
      </c>
      <c r="E33" s="33">
        <f>$C33*E$18*'Modelling Assumptions'!E$101</f>
        <v>0</v>
      </c>
      <c r="F33" s="33">
        <f>$C33*F$18*'Modelling Assumptions'!F$101</f>
        <v>0</v>
      </c>
      <c r="G33" s="33">
        <f>$C33*G$18*'Modelling Assumptions'!G$101</f>
        <v>0</v>
      </c>
      <c r="H33" s="33">
        <f>$C33*H$18*'Modelling Assumptions'!H$101</f>
        <v>0</v>
      </c>
      <c r="I33" s="33">
        <f>$C33*I$18*'Modelling Assumptions'!I$101</f>
        <v>0</v>
      </c>
    </row>
    <row r="34" spans="1:9" x14ac:dyDescent="0.3">
      <c r="A34" s="14" t="s">
        <v>1650</v>
      </c>
      <c r="B34" s="40">
        <f>B28</f>
        <v>0</v>
      </c>
      <c r="C34" s="40">
        <f>B34*$C$15</f>
        <v>0</v>
      </c>
      <c r="D34" s="33">
        <f>C34*SUMPRODUCT(MaterialsAdjustmentFactor,E$18:I$18)</f>
        <v>0</v>
      </c>
      <c r="E34" s="33">
        <f>$C34*E$18*'Modelling Assumptions'!E$102</f>
        <v>0</v>
      </c>
      <c r="F34" s="33">
        <f>$C34*F$18*'Modelling Assumptions'!F$102</f>
        <v>0</v>
      </c>
      <c r="G34" s="33">
        <f>$C34*G$18*'Modelling Assumptions'!G$102</f>
        <v>0</v>
      </c>
      <c r="H34" s="33">
        <f>$C34*H$18*'Modelling Assumptions'!H$102</f>
        <v>0</v>
      </c>
      <c r="I34" s="33">
        <f>$C34*I$18*'Modelling Assumptions'!I$102</f>
        <v>0</v>
      </c>
    </row>
    <row r="35" spans="1:9" x14ac:dyDescent="0.3">
      <c r="A35" s="14"/>
      <c r="B35" s="14"/>
      <c r="C35" s="14"/>
    </row>
    <row r="36" spans="1:9" x14ac:dyDescent="0.3">
      <c r="A36" s="14"/>
      <c r="B36" s="14"/>
      <c r="C36" s="14"/>
    </row>
    <row r="37" spans="1:9" x14ac:dyDescent="0.3">
      <c r="A37" s="14"/>
      <c r="B37" s="14"/>
      <c r="C37" s="14"/>
    </row>
    <row r="38" spans="1:9" x14ac:dyDescent="0.3">
      <c r="A38" s="10" t="s">
        <v>1641</v>
      </c>
      <c r="B38" s="44"/>
      <c r="C38" s="44"/>
      <c r="D38" s="10"/>
      <c r="E38" s="10"/>
      <c r="F38" s="10"/>
      <c r="G38" s="10"/>
      <c r="H38" s="10"/>
      <c r="I38" s="10"/>
    </row>
    <row r="39" spans="1:9" x14ac:dyDescent="0.3">
      <c r="A39" t="s">
        <v>3</v>
      </c>
      <c r="B39" t="s">
        <v>2</v>
      </c>
      <c r="C39" t="s">
        <v>1</v>
      </c>
    </row>
    <row r="40" spans="1:9" x14ac:dyDescent="0.3">
      <c r="A40" t="s">
        <v>1318</v>
      </c>
      <c r="B40" t="s">
        <v>47</v>
      </c>
    </row>
    <row r="41" spans="1:9" x14ac:dyDescent="0.3">
      <c r="A41" t="s">
        <v>46</v>
      </c>
      <c r="B41" t="s">
        <v>45</v>
      </c>
      <c r="C41" t="s">
        <v>8</v>
      </c>
      <c r="D41" t="s">
        <v>44</v>
      </c>
    </row>
    <row r="42" spans="1:9" x14ac:dyDescent="0.3">
      <c r="A42" t="s">
        <v>46</v>
      </c>
      <c r="B42" t="s">
        <v>45</v>
      </c>
      <c r="C42" t="s">
        <v>8</v>
      </c>
      <c r="D42" t="s">
        <v>93</v>
      </c>
    </row>
    <row r="43" spans="1:9" x14ac:dyDescent="0.3">
      <c r="A43" t="s">
        <v>46</v>
      </c>
      <c r="B43" t="s">
        <v>45</v>
      </c>
      <c r="C43" t="s">
        <v>8</v>
      </c>
      <c r="D43" t="s">
        <v>108</v>
      </c>
    </row>
    <row r="44" spans="1:9" x14ac:dyDescent="0.3">
      <c r="A44" t="s">
        <v>46</v>
      </c>
      <c r="B44" t="s">
        <v>45</v>
      </c>
      <c r="C44" t="s">
        <v>328</v>
      </c>
      <c r="D44" t="s">
        <v>335</v>
      </c>
    </row>
    <row r="45" spans="1:9" x14ac:dyDescent="0.3">
      <c r="A45" t="s">
        <v>46</v>
      </c>
      <c r="B45" t="s">
        <v>45</v>
      </c>
      <c r="C45" t="s">
        <v>328</v>
      </c>
      <c r="D45" t="s">
        <v>346</v>
      </c>
    </row>
    <row r="46" spans="1:9" x14ac:dyDescent="0.3">
      <c r="A46" t="s">
        <v>46</v>
      </c>
      <c r="B46" t="s">
        <v>45</v>
      </c>
      <c r="C46" t="s">
        <v>328</v>
      </c>
      <c r="D46" t="s">
        <v>358</v>
      </c>
    </row>
    <row r="52" spans="1:5" x14ac:dyDescent="0.3">
      <c r="A52" t="s">
        <v>1098</v>
      </c>
      <c r="B52" t="s">
        <v>518</v>
      </c>
    </row>
    <row r="53" spans="1:5" x14ac:dyDescent="0.3">
      <c r="A53" t="s">
        <v>1319</v>
      </c>
      <c r="B53" t="s">
        <v>1100</v>
      </c>
      <c r="C53" t="s">
        <v>1101</v>
      </c>
      <c r="D53" s="29">
        <v>41617.59652777778</v>
      </c>
      <c r="E53" t="s">
        <v>1320</v>
      </c>
    </row>
    <row r="54" spans="1:5" x14ac:dyDescent="0.3">
      <c r="A54" t="s">
        <v>1321</v>
      </c>
      <c r="B54" t="s">
        <v>1100</v>
      </c>
      <c r="C54" t="s">
        <v>1101</v>
      </c>
      <c r="D54" s="29">
        <v>41565.488194444442</v>
      </c>
      <c r="E54" t="s">
        <v>1322</v>
      </c>
    </row>
    <row r="55" spans="1:5" x14ac:dyDescent="0.3">
      <c r="A55" t="s">
        <v>1323</v>
      </c>
      <c r="B55" t="s">
        <v>1100</v>
      </c>
      <c r="C55" t="s">
        <v>1101</v>
      </c>
      <c r="D55" s="29">
        <v>41533.741666666669</v>
      </c>
      <c r="E55" t="s">
        <v>1324</v>
      </c>
    </row>
    <row r="56" spans="1:5" x14ac:dyDescent="0.3">
      <c r="A56" t="s">
        <v>1325</v>
      </c>
      <c r="B56" t="s">
        <v>1100</v>
      </c>
      <c r="C56" t="s">
        <v>1101</v>
      </c>
      <c r="D56" s="29">
        <v>41474.661805555559</v>
      </c>
      <c r="E56" t="s">
        <v>1326</v>
      </c>
    </row>
    <row r="57" spans="1:5" x14ac:dyDescent="0.3">
      <c r="A57" t="s">
        <v>1327</v>
      </c>
      <c r="B57" t="s">
        <v>1121</v>
      </c>
      <c r="C57" t="s">
        <v>1101</v>
      </c>
      <c r="D57" s="29">
        <v>41507.575694444444</v>
      </c>
      <c r="E57" t="s">
        <v>1328</v>
      </c>
    </row>
    <row r="58" spans="1:5" x14ac:dyDescent="0.3">
      <c r="A58" t="s">
        <v>1329</v>
      </c>
      <c r="B58" t="s">
        <v>1121</v>
      </c>
      <c r="C58" t="s">
        <v>1101</v>
      </c>
      <c r="D58" s="29">
        <v>41452.424305555556</v>
      </c>
    </row>
    <row r="59" spans="1:5" x14ac:dyDescent="0.3">
      <c r="A59" t="s">
        <v>1330</v>
      </c>
      <c r="B59" t="s">
        <v>1100</v>
      </c>
      <c r="C59" t="s">
        <v>1101</v>
      </c>
      <c r="D59" s="29">
        <v>41565.488194444442</v>
      </c>
      <c r="E59" t="s">
        <v>1322</v>
      </c>
    </row>
    <row r="60" spans="1:5" x14ac:dyDescent="0.3">
      <c r="A60" t="s">
        <v>1331</v>
      </c>
      <c r="B60" t="s">
        <v>1100</v>
      </c>
      <c r="C60" t="s">
        <v>1101</v>
      </c>
      <c r="D60" s="29">
        <v>41533.741666666669</v>
      </c>
      <c r="E60" t="s">
        <v>1324</v>
      </c>
    </row>
    <row r="61" spans="1:5" x14ac:dyDescent="0.3">
      <c r="A61" t="s">
        <v>1332</v>
      </c>
      <c r="B61" t="s">
        <v>1100</v>
      </c>
      <c r="C61" t="s">
        <v>1101</v>
      </c>
      <c r="D61" s="29">
        <v>41474.661805555559</v>
      </c>
      <c r="E61" t="s">
        <v>1326</v>
      </c>
    </row>
    <row r="62" spans="1:5" x14ac:dyDescent="0.3">
      <c r="A62" t="s">
        <v>1333</v>
      </c>
      <c r="B62" t="s">
        <v>1121</v>
      </c>
      <c r="C62" t="s">
        <v>1101</v>
      </c>
      <c r="D62" s="29">
        <v>41507.575694444444</v>
      </c>
      <c r="E62" t="s">
        <v>1328</v>
      </c>
    </row>
    <row r="63" spans="1:5" x14ac:dyDescent="0.3">
      <c r="A63" t="s">
        <v>1334</v>
      </c>
      <c r="B63" t="s">
        <v>1121</v>
      </c>
      <c r="C63" t="s">
        <v>1101</v>
      </c>
      <c r="D63" s="29">
        <v>41452.424305555556</v>
      </c>
    </row>
    <row r="64" spans="1:5" x14ac:dyDescent="0.3">
      <c r="A64" t="s">
        <v>1335</v>
      </c>
      <c r="B64" t="s">
        <v>1100</v>
      </c>
      <c r="C64" t="s">
        <v>1101</v>
      </c>
      <c r="D64" s="29">
        <v>41565.488194444442</v>
      </c>
      <c r="E64" t="s">
        <v>1322</v>
      </c>
    </row>
    <row r="65" spans="1:5" x14ac:dyDescent="0.3">
      <c r="A65" t="s">
        <v>1336</v>
      </c>
      <c r="B65" t="s">
        <v>1100</v>
      </c>
      <c r="C65" t="s">
        <v>1101</v>
      </c>
      <c r="D65" s="29">
        <v>41533.741666666669</v>
      </c>
      <c r="E65" t="s">
        <v>1324</v>
      </c>
    </row>
    <row r="66" spans="1:5" x14ac:dyDescent="0.3">
      <c r="A66" t="s">
        <v>1337</v>
      </c>
      <c r="B66" t="s">
        <v>1100</v>
      </c>
      <c r="C66" t="s">
        <v>1101</v>
      </c>
      <c r="D66" s="29">
        <v>41474.661805555559</v>
      </c>
      <c r="E66" t="s">
        <v>1326</v>
      </c>
    </row>
    <row r="67" spans="1:5" x14ac:dyDescent="0.3">
      <c r="A67" t="s">
        <v>1338</v>
      </c>
      <c r="B67" t="s">
        <v>1121</v>
      </c>
      <c r="C67" t="s">
        <v>1101</v>
      </c>
      <c r="D67" s="29">
        <v>41507.575694444444</v>
      </c>
      <c r="E67" t="s">
        <v>1328</v>
      </c>
    </row>
    <row r="68" spans="1:5" x14ac:dyDescent="0.3">
      <c r="A68" t="s">
        <v>1339</v>
      </c>
      <c r="B68" t="s">
        <v>1121</v>
      </c>
      <c r="C68" t="s">
        <v>1101</v>
      </c>
      <c r="D68" s="29">
        <v>41452.424305555556</v>
      </c>
    </row>
    <row r="69" spans="1:5" x14ac:dyDescent="0.3">
      <c r="A69" t="s">
        <v>1340</v>
      </c>
      <c r="B69" t="s">
        <v>1100</v>
      </c>
      <c r="C69" t="s">
        <v>1101</v>
      </c>
      <c r="D69" s="29">
        <v>41617.59652777778</v>
      </c>
      <c r="E69" t="s">
        <v>1320</v>
      </c>
    </row>
    <row r="70" spans="1:5" x14ac:dyDescent="0.3">
      <c r="A70" t="s">
        <v>1341</v>
      </c>
      <c r="B70" t="s">
        <v>1100</v>
      </c>
      <c r="C70" t="s">
        <v>1101</v>
      </c>
      <c r="D70" s="29">
        <v>41565.488194444442</v>
      </c>
      <c r="E70" t="s">
        <v>1322</v>
      </c>
    </row>
    <row r="71" spans="1:5" x14ac:dyDescent="0.3">
      <c r="A71" t="s">
        <v>1342</v>
      </c>
      <c r="B71" t="s">
        <v>1100</v>
      </c>
      <c r="C71" t="s">
        <v>1101</v>
      </c>
      <c r="D71" s="29">
        <v>41533.741666666669</v>
      </c>
      <c r="E71" t="s">
        <v>1324</v>
      </c>
    </row>
    <row r="72" spans="1:5" x14ac:dyDescent="0.3">
      <c r="A72" t="s">
        <v>1343</v>
      </c>
      <c r="B72" t="s">
        <v>1100</v>
      </c>
      <c r="C72" t="s">
        <v>1101</v>
      </c>
      <c r="D72" s="29">
        <v>41474.661805555559</v>
      </c>
      <c r="E72" t="s">
        <v>1326</v>
      </c>
    </row>
    <row r="73" spans="1:5" x14ac:dyDescent="0.3">
      <c r="A73" t="s">
        <v>1344</v>
      </c>
      <c r="B73" t="s">
        <v>1100</v>
      </c>
      <c r="C73" t="s">
        <v>1101</v>
      </c>
      <c r="D73" s="29">
        <v>41463.554166666669</v>
      </c>
    </row>
    <row r="74" spans="1:5" x14ac:dyDescent="0.3">
      <c r="A74" t="s">
        <v>1345</v>
      </c>
      <c r="B74" t="s">
        <v>1114</v>
      </c>
      <c r="C74" t="s">
        <v>1101</v>
      </c>
      <c r="D74" s="29">
        <v>41473.658333333333</v>
      </c>
    </row>
    <row r="75" spans="1:5" x14ac:dyDescent="0.3">
      <c r="A75" t="s">
        <v>1346</v>
      </c>
      <c r="B75" t="s">
        <v>1100</v>
      </c>
      <c r="C75" t="s">
        <v>1101</v>
      </c>
      <c r="D75" s="29">
        <v>41565.488194444442</v>
      </c>
      <c r="E75" t="s">
        <v>1322</v>
      </c>
    </row>
    <row r="76" spans="1:5" x14ac:dyDescent="0.3">
      <c r="A76" t="s">
        <v>1347</v>
      </c>
      <c r="B76" t="s">
        <v>1100</v>
      </c>
      <c r="C76" t="s">
        <v>1101</v>
      </c>
      <c r="D76" s="29">
        <v>41533.741666666669</v>
      </c>
      <c r="E76" t="s">
        <v>1324</v>
      </c>
    </row>
    <row r="77" spans="1:5" x14ac:dyDescent="0.3">
      <c r="A77" t="s">
        <v>1348</v>
      </c>
      <c r="B77" t="s">
        <v>1100</v>
      </c>
      <c r="C77" t="s">
        <v>1101</v>
      </c>
      <c r="D77" s="29">
        <v>41474.661805555559</v>
      </c>
      <c r="E77" t="s">
        <v>1326</v>
      </c>
    </row>
    <row r="78" spans="1:5" x14ac:dyDescent="0.3">
      <c r="A78" t="s">
        <v>1349</v>
      </c>
      <c r="B78" t="s">
        <v>1114</v>
      </c>
      <c r="C78" t="s">
        <v>1101</v>
      </c>
      <c r="D78" s="29">
        <v>41507.576388888891</v>
      </c>
      <c r="E78" t="s">
        <v>1350</v>
      </c>
    </row>
    <row r="79" spans="1:5" x14ac:dyDescent="0.3">
      <c r="A79" t="s">
        <v>1351</v>
      </c>
      <c r="B79" t="s">
        <v>1114</v>
      </c>
      <c r="C79" t="s">
        <v>1101</v>
      </c>
      <c r="D79" s="29">
        <v>41473.658333333333</v>
      </c>
    </row>
    <row r="80" spans="1:5" x14ac:dyDescent="0.3">
      <c r="A80" t="s">
        <v>1352</v>
      </c>
      <c r="B80" t="s">
        <v>1100</v>
      </c>
      <c r="C80" t="s">
        <v>1101</v>
      </c>
      <c r="D80" s="29">
        <v>41565.488194444442</v>
      </c>
      <c r="E80" t="s">
        <v>1322</v>
      </c>
    </row>
    <row r="81" spans="1:5" x14ac:dyDescent="0.3">
      <c r="A81" t="s">
        <v>1353</v>
      </c>
      <c r="B81" t="s">
        <v>1100</v>
      </c>
      <c r="C81" t="s">
        <v>1101</v>
      </c>
      <c r="D81" s="29">
        <v>41533.741666666669</v>
      </c>
      <c r="E81" t="s">
        <v>1324</v>
      </c>
    </row>
    <row r="82" spans="1:5" x14ac:dyDescent="0.3">
      <c r="A82" t="s">
        <v>1354</v>
      </c>
      <c r="B82" t="s">
        <v>1100</v>
      </c>
      <c r="C82" t="s">
        <v>1101</v>
      </c>
      <c r="D82" s="29">
        <v>41474.661805555559</v>
      </c>
      <c r="E82" t="s">
        <v>1326</v>
      </c>
    </row>
    <row r="83" spans="1:5" x14ac:dyDescent="0.3">
      <c r="A83" t="s">
        <v>1355</v>
      </c>
      <c r="B83" t="s">
        <v>1114</v>
      </c>
      <c r="C83" t="s">
        <v>1101</v>
      </c>
      <c r="D83" s="29">
        <v>41507.576388888891</v>
      </c>
      <c r="E83" t="s">
        <v>1350</v>
      </c>
    </row>
    <row r="84" spans="1:5" x14ac:dyDescent="0.3">
      <c r="A84" t="s">
        <v>1356</v>
      </c>
      <c r="B84" t="s">
        <v>1114</v>
      </c>
      <c r="C84" t="s">
        <v>1101</v>
      </c>
      <c r="D84" s="29">
        <v>41473.658333333333</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8C800"/>
    <pageSetUpPr fitToPage="1"/>
  </sheetPr>
  <dimension ref="A1:I83"/>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201</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D36</f>
        <v>23547.670161881375</v>
      </c>
      <c r="E3" s="33">
        <f t="shared" si="0"/>
        <v>4479.8703299999997</v>
      </c>
      <c r="F3" s="33">
        <f t="shared" si="0"/>
        <v>4591.8670882500001</v>
      </c>
      <c r="G3" s="33">
        <f t="shared" si="0"/>
        <v>4706.6637654562492</v>
      </c>
      <c r="H3" s="33">
        <f t="shared" si="0"/>
        <v>4824.3303595926554</v>
      </c>
      <c r="I3" s="33">
        <f t="shared" si="0"/>
        <v>4944.9386185824715</v>
      </c>
    </row>
    <row r="4" spans="1:9" ht="15" x14ac:dyDescent="0.25">
      <c r="A4" t="s">
        <v>1643</v>
      </c>
      <c r="B4" s="33"/>
      <c r="C4" s="33"/>
      <c r="D4" s="33">
        <f t="shared" si="0"/>
        <v>7437.0374426479993</v>
      </c>
      <c r="E4" s="33">
        <f t="shared" si="0"/>
        <v>1400.8</v>
      </c>
      <c r="F4" s="33">
        <f t="shared" si="0"/>
        <v>1442.8239999999998</v>
      </c>
      <c r="G4" s="33">
        <f t="shared" si="0"/>
        <v>1486.1087199999999</v>
      </c>
      <c r="H4" s="33">
        <f t="shared" si="0"/>
        <v>1530.6919816</v>
      </c>
      <c r="I4" s="33">
        <f t="shared" si="0"/>
        <v>1576.6127410479999</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3" spans="1:9" ht="15" x14ac:dyDescent="0.25">
      <c r="A13" t="s">
        <v>1716</v>
      </c>
    </row>
    <row r="14" spans="1:9" ht="15" x14ac:dyDescent="0.25">
      <c r="B14" s="39" t="s">
        <v>1789</v>
      </c>
      <c r="C14" s="39">
        <v>12</v>
      </c>
    </row>
    <row r="15" spans="1:9" ht="15" x14ac:dyDescent="0.25">
      <c r="B15" s="39" t="s">
        <v>1790</v>
      </c>
      <c r="C15" s="39">
        <v>12</v>
      </c>
    </row>
    <row r="16" spans="1:9" ht="15" x14ac:dyDescent="0.25">
      <c r="B16" s="39" t="s">
        <v>1791</v>
      </c>
      <c r="C16" s="39">
        <v>8</v>
      </c>
    </row>
    <row r="17" spans="1:9" ht="15" x14ac:dyDescent="0.25">
      <c r="B17" s="39" t="s">
        <v>1792</v>
      </c>
      <c r="C17" s="39">
        <v>2</v>
      </c>
    </row>
    <row r="18" spans="1:9" ht="15" x14ac:dyDescent="0.25">
      <c r="A18" s="12" t="s">
        <v>1640</v>
      </c>
      <c r="B18" s="12"/>
      <c r="C18" s="12">
        <f>SUM(C14:C17)</f>
        <v>34</v>
      </c>
    </row>
    <row r="20" spans="1:9" s="301" customFormat="1" ht="15" x14ac:dyDescent="0.25">
      <c r="A20" s="301" t="s">
        <v>3291</v>
      </c>
    </row>
    <row r="21" spans="1:9" s="301" customFormat="1" ht="15" x14ac:dyDescent="0.25">
      <c r="A21" s="301" t="s">
        <v>3254</v>
      </c>
    </row>
    <row r="22" spans="1:9" ht="15" x14ac:dyDescent="0.25">
      <c r="B22" s="39"/>
      <c r="C22" s="39"/>
      <c r="E22" s="30" t="str">
        <f>Summary!C4</f>
        <v>2015/16</v>
      </c>
      <c r="F22" s="30" t="str">
        <f>Summary!D4</f>
        <v>2016/17</v>
      </c>
      <c r="G22" s="30" t="str">
        <f>Summary!E4</f>
        <v>2017/18</v>
      </c>
      <c r="H22" s="30" t="str">
        <f>Summary!F4</f>
        <v>2018/19</v>
      </c>
      <c r="I22" s="30" t="str">
        <f>Summary!G4</f>
        <v>2019/20</v>
      </c>
    </row>
    <row r="23" spans="1:9" x14ac:dyDescent="0.3">
      <c r="A23" s="16" t="s">
        <v>1304</v>
      </c>
      <c r="B23" s="16" t="s">
        <v>51</v>
      </c>
      <c r="C23" s="43"/>
      <c r="D23" s="16"/>
      <c r="E23" s="16">
        <v>2</v>
      </c>
      <c r="F23" s="16">
        <v>2</v>
      </c>
      <c r="G23" s="16">
        <v>2</v>
      </c>
      <c r="H23" s="16">
        <v>2</v>
      </c>
      <c r="I23" s="16">
        <v>2</v>
      </c>
    </row>
    <row r="24" spans="1:9" ht="15" x14ac:dyDescent="0.25">
      <c r="A24" s="8" t="s">
        <v>1646</v>
      </c>
      <c r="C24" s="39"/>
    </row>
    <row r="25" spans="1:9" ht="15" x14ac:dyDescent="0.25">
      <c r="A25" s="14" t="s">
        <v>1658</v>
      </c>
      <c r="B25" s="74">
        <f>B44</f>
        <v>0.56666666666666665</v>
      </c>
      <c r="C25" s="14" t="s">
        <v>1793</v>
      </c>
      <c r="D25" t="s">
        <v>3495</v>
      </c>
    </row>
    <row r="26" spans="1:9" ht="15" x14ac:dyDescent="0.25">
      <c r="A26" s="14" t="s">
        <v>1997</v>
      </c>
      <c r="B26" s="74">
        <f>2/C18</f>
        <v>5.8823529411764705E-2</v>
      </c>
      <c r="C26" s="14" t="s">
        <v>3292</v>
      </c>
    </row>
    <row r="27" spans="1:9" ht="15" x14ac:dyDescent="0.25">
      <c r="A27" s="14" t="s">
        <v>1643</v>
      </c>
      <c r="B27" s="55">
        <f>B50</f>
        <v>20</v>
      </c>
      <c r="C27" s="14" t="s">
        <v>1824</v>
      </c>
    </row>
    <row r="28" spans="1:9" ht="15" x14ac:dyDescent="0.25">
      <c r="A28" s="14"/>
      <c r="B28" s="41"/>
      <c r="C28" s="14"/>
    </row>
    <row r="29" spans="1:9" ht="15" x14ac:dyDescent="0.25">
      <c r="A29" s="42" t="s">
        <v>1647</v>
      </c>
      <c r="B29" s="7"/>
      <c r="C29" s="14"/>
    </row>
    <row r="30" spans="1:9" ht="15" x14ac:dyDescent="0.25">
      <c r="A30" s="14" t="s">
        <v>1656</v>
      </c>
      <c r="B30" s="7"/>
      <c r="C30" s="14"/>
    </row>
    <row r="31" spans="1:9" x14ac:dyDescent="0.3">
      <c r="A31" s="14" t="s">
        <v>1651</v>
      </c>
      <c r="B31" s="41"/>
    </row>
    <row r="32" spans="1:9" x14ac:dyDescent="0.3">
      <c r="A32" s="14" t="s">
        <v>1649</v>
      </c>
      <c r="B32" s="55">
        <v>0</v>
      </c>
      <c r="C32" s="14"/>
    </row>
    <row r="33" spans="1:9" x14ac:dyDescent="0.3">
      <c r="A33" s="14" t="s">
        <v>1650</v>
      </c>
      <c r="B33" s="55">
        <v>0</v>
      </c>
      <c r="C33" s="7"/>
    </row>
    <row r="34" spans="1:9" x14ac:dyDescent="0.3">
      <c r="A34" s="14"/>
      <c r="B34" s="14"/>
      <c r="C34" s="14"/>
    </row>
    <row r="35" spans="1:9" x14ac:dyDescent="0.3">
      <c r="A35" s="14"/>
      <c r="B35" s="46" t="s">
        <v>2712</v>
      </c>
      <c r="C35" s="46" t="s">
        <v>2718</v>
      </c>
      <c r="D35" s="30" t="s">
        <v>1655</v>
      </c>
      <c r="E35" s="30" t="str">
        <f>Summary!C4</f>
        <v>2015/16</v>
      </c>
      <c r="F35" s="30" t="str">
        <f>Summary!D4</f>
        <v>2016/17</v>
      </c>
      <c r="G35" s="30" t="str">
        <f>Summary!E4</f>
        <v>2017/18</v>
      </c>
      <c r="H35" s="30" t="str">
        <f>Summary!F4</f>
        <v>2018/19</v>
      </c>
      <c r="I35" s="30" t="str">
        <f>Summary!G4</f>
        <v>2019/20</v>
      </c>
    </row>
    <row r="36" spans="1:9" x14ac:dyDescent="0.3">
      <c r="A36" s="14" t="s">
        <v>1648</v>
      </c>
      <c r="B36" s="40">
        <f>B25*HourlyRateAPAMaintenanceStaff+B26*HourlyRateAPAOMSupervisor</f>
        <v>64.273605882352939</v>
      </c>
      <c r="C36" s="40">
        <f>B36*$C$18</f>
        <v>2185.3026</v>
      </c>
      <c r="D36" s="33">
        <f>C36*SUMPRODUCT(LabourAdjustmentFactor,E$23:I$23)</f>
        <v>23547.670161881375</v>
      </c>
      <c r="E36" s="33">
        <f>$C36*E$23*'Modelling Assumptions'!E$101</f>
        <v>4479.8703299999997</v>
      </c>
      <c r="F36" s="33">
        <f>$C36*F$23*'Modelling Assumptions'!F$101</f>
        <v>4591.8670882500001</v>
      </c>
      <c r="G36" s="33">
        <f>$C36*G$23*'Modelling Assumptions'!G$101</f>
        <v>4706.6637654562492</v>
      </c>
      <c r="H36" s="33">
        <f>$C36*H$23*'Modelling Assumptions'!H$101</f>
        <v>4824.3303595926554</v>
      </c>
      <c r="I36" s="33">
        <f>$C36*I$23*'Modelling Assumptions'!I$101</f>
        <v>4944.9386185824715</v>
      </c>
    </row>
    <row r="37" spans="1:9" x14ac:dyDescent="0.3">
      <c r="A37" s="14" t="s">
        <v>1643</v>
      </c>
      <c r="B37" s="40">
        <f>B27</f>
        <v>20</v>
      </c>
      <c r="C37" s="40">
        <f>B37*$C$18</f>
        <v>680</v>
      </c>
      <c r="D37" s="33">
        <f>C37*SUMPRODUCT(MaterialsAdjustmentFactor,E$23:I$23)</f>
        <v>7437.0374426479993</v>
      </c>
      <c r="E37" s="33">
        <f>$C37*E$23*'Modelling Assumptions'!E$102</f>
        <v>1400.8</v>
      </c>
      <c r="F37" s="33">
        <f>$C37*F$23*'Modelling Assumptions'!F$102</f>
        <v>1442.8239999999998</v>
      </c>
      <c r="G37" s="33">
        <f>$C37*G$23*'Modelling Assumptions'!G$102</f>
        <v>1486.1087199999999</v>
      </c>
      <c r="H37" s="33">
        <f>$C37*H$23*'Modelling Assumptions'!H$102</f>
        <v>1530.6919816</v>
      </c>
      <c r="I37" s="33">
        <f>$C37*I$23*'Modelling Assumptions'!I$102</f>
        <v>1576.6127410479999</v>
      </c>
    </row>
    <row r="38" spans="1:9" x14ac:dyDescent="0.3">
      <c r="A38" s="14" t="s">
        <v>1649</v>
      </c>
      <c r="B38" s="40">
        <f>B32</f>
        <v>0</v>
      </c>
      <c r="C38" s="40">
        <f>B38*$C$18</f>
        <v>0</v>
      </c>
      <c r="D38" s="33">
        <f>C38*SUMPRODUCT(LabourAdjustmentFactor,E$23:I$23)</f>
        <v>0</v>
      </c>
      <c r="E38" s="33">
        <f>$C38*E$23*'Modelling Assumptions'!E$101</f>
        <v>0</v>
      </c>
      <c r="F38" s="33">
        <f>$C38*F$23*'Modelling Assumptions'!F$101</f>
        <v>0</v>
      </c>
      <c r="G38" s="33">
        <f>$C38*G$23*'Modelling Assumptions'!G$101</f>
        <v>0</v>
      </c>
      <c r="H38" s="33">
        <f>$C38*H$23*'Modelling Assumptions'!H$101</f>
        <v>0</v>
      </c>
      <c r="I38" s="33">
        <f>$C38*I$23*'Modelling Assumptions'!I$101</f>
        <v>0</v>
      </c>
    </row>
    <row r="39" spans="1:9" x14ac:dyDescent="0.3">
      <c r="A39" s="14" t="s">
        <v>1650</v>
      </c>
      <c r="B39" s="40">
        <f>B33</f>
        <v>0</v>
      </c>
      <c r="C39" s="40">
        <f>B39*$C$18</f>
        <v>0</v>
      </c>
      <c r="D39" s="33">
        <f>C39*SUMPRODUCT(MaterialsAdjustmentFactor,E$23:I$23)</f>
        <v>0</v>
      </c>
      <c r="E39" s="33">
        <f>$C39*E$23*'Modelling Assumptions'!E$102</f>
        <v>0</v>
      </c>
      <c r="F39" s="33">
        <f>$C39*F$23*'Modelling Assumptions'!F$102</f>
        <v>0</v>
      </c>
      <c r="G39" s="33">
        <f>$C39*G$23*'Modelling Assumptions'!G$102</f>
        <v>0</v>
      </c>
      <c r="H39" s="33">
        <f>$C39*H$23*'Modelling Assumptions'!H$102</f>
        <v>0</v>
      </c>
      <c r="I39" s="33">
        <f>$C39*I$23*'Modelling Assumptions'!I$102</f>
        <v>0</v>
      </c>
    </row>
    <row r="40" spans="1:9" x14ac:dyDescent="0.3">
      <c r="A40" s="14"/>
      <c r="B40" s="40"/>
      <c r="C40" s="40"/>
      <c r="D40" s="33"/>
      <c r="E40" s="33"/>
      <c r="F40" s="33"/>
      <c r="G40" s="33"/>
      <c r="H40" s="33"/>
      <c r="I40" s="33"/>
    </row>
    <row r="41" spans="1:9" x14ac:dyDescent="0.3">
      <c r="A41" s="48" t="s">
        <v>1496</v>
      </c>
      <c r="B41" s="11"/>
      <c r="C41" s="11"/>
      <c r="D41" s="33"/>
      <c r="E41" s="33"/>
      <c r="F41" s="33"/>
      <c r="G41" s="33"/>
      <c r="H41" s="33"/>
      <c r="I41" s="33"/>
    </row>
    <row r="42" spans="1:9" x14ac:dyDescent="0.3">
      <c r="A42" s="14" t="s">
        <v>1817</v>
      </c>
      <c r="B42" s="73">
        <v>15</v>
      </c>
      <c r="C42" s="40" t="s">
        <v>3496</v>
      </c>
      <c r="D42" s="33"/>
      <c r="E42" s="33"/>
      <c r="F42" s="33"/>
      <c r="G42" s="33"/>
      <c r="H42" s="33"/>
      <c r="I42" s="33"/>
    </row>
    <row r="43" spans="1:9" x14ac:dyDescent="0.3">
      <c r="A43" s="14" t="s">
        <v>1818</v>
      </c>
      <c r="B43" s="73">
        <v>10</v>
      </c>
      <c r="C43" s="40" t="s">
        <v>1825</v>
      </c>
      <c r="D43" s="33"/>
      <c r="E43" s="33"/>
      <c r="F43" s="33"/>
      <c r="G43" s="33"/>
      <c r="H43" s="33"/>
      <c r="I43" s="33"/>
    </row>
    <row r="44" spans="1:9" x14ac:dyDescent="0.3">
      <c r="A44" s="14" t="s">
        <v>1822</v>
      </c>
      <c r="B44" s="67">
        <f>(2*B42+B43/B48)/60</f>
        <v>0.56666666666666665</v>
      </c>
      <c r="C44" s="40" t="s">
        <v>1826</v>
      </c>
      <c r="D44" s="33"/>
      <c r="E44" s="33"/>
      <c r="F44" s="33"/>
      <c r="G44" s="33"/>
      <c r="H44" s="33"/>
      <c r="I44" s="33"/>
    </row>
    <row r="45" spans="1:9" x14ac:dyDescent="0.3">
      <c r="A45" s="14"/>
      <c r="B45" s="14"/>
      <c r="C45" s="14"/>
    </row>
    <row r="46" spans="1:9" x14ac:dyDescent="0.3">
      <c r="A46" s="48" t="s">
        <v>1663</v>
      </c>
      <c r="B46" s="11"/>
      <c r="C46" s="11"/>
    </row>
    <row r="47" spans="1:9" x14ac:dyDescent="0.3">
      <c r="A47" s="14" t="s">
        <v>2008</v>
      </c>
    </row>
    <row r="48" spans="1:9" x14ac:dyDescent="0.3">
      <c r="A48" s="14" t="s">
        <v>1813</v>
      </c>
      <c r="B48" s="15">
        <v>2.5</v>
      </c>
      <c r="C48" s="14" t="s">
        <v>3293</v>
      </c>
    </row>
    <row r="49" spans="1:9" x14ac:dyDescent="0.3">
      <c r="A49" t="s">
        <v>1814</v>
      </c>
      <c r="B49" s="55">
        <v>50</v>
      </c>
      <c r="C49" s="14"/>
    </row>
    <row r="50" spans="1:9" x14ac:dyDescent="0.3">
      <c r="A50" t="s">
        <v>2009</v>
      </c>
      <c r="B50" s="55">
        <f>B49/B48</f>
        <v>20</v>
      </c>
      <c r="C50" s="14" t="s">
        <v>2010</v>
      </c>
    </row>
    <row r="51" spans="1:9" x14ac:dyDescent="0.3">
      <c r="A51" s="14"/>
      <c r="B51" s="14"/>
      <c r="C51" s="14"/>
    </row>
    <row r="52" spans="1:9" x14ac:dyDescent="0.3">
      <c r="A52" s="14"/>
      <c r="B52" s="14"/>
      <c r="C52" s="14"/>
    </row>
    <row r="53" spans="1:9" x14ac:dyDescent="0.3">
      <c r="A53" s="10" t="s">
        <v>1641</v>
      </c>
      <c r="B53" s="44"/>
      <c r="C53" s="44"/>
      <c r="D53" s="10"/>
      <c r="E53" s="10"/>
      <c r="F53" s="10"/>
      <c r="G53" s="10"/>
      <c r="H53" s="10"/>
      <c r="I53" s="10"/>
    </row>
    <row r="54" spans="1:9" x14ac:dyDescent="0.3">
      <c r="A54" t="s">
        <v>3</v>
      </c>
      <c r="B54" t="s">
        <v>2</v>
      </c>
      <c r="C54" t="s">
        <v>1</v>
      </c>
    </row>
    <row r="55" spans="1:9" x14ac:dyDescent="0.3">
      <c r="A55" t="s">
        <v>1304</v>
      </c>
      <c r="B55" t="s">
        <v>51</v>
      </c>
    </row>
    <row r="56" spans="1:9" x14ac:dyDescent="0.3">
      <c r="A56" t="s">
        <v>202</v>
      </c>
      <c r="B56" t="s">
        <v>201</v>
      </c>
      <c r="C56" t="s">
        <v>200</v>
      </c>
      <c r="D56" t="s">
        <v>199</v>
      </c>
    </row>
    <row r="57" spans="1:9" x14ac:dyDescent="0.3">
      <c r="A57" t="s">
        <v>202</v>
      </c>
      <c r="B57" t="s">
        <v>201</v>
      </c>
      <c r="C57" t="s">
        <v>200</v>
      </c>
      <c r="D57" t="s">
        <v>204</v>
      </c>
    </row>
    <row r="58" spans="1:9" x14ac:dyDescent="0.3">
      <c r="A58" t="s">
        <v>202</v>
      </c>
      <c r="B58" t="s">
        <v>201</v>
      </c>
      <c r="C58" t="s">
        <v>260</v>
      </c>
      <c r="D58" t="s">
        <v>259</v>
      </c>
    </row>
    <row r="59" spans="1:9" x14ac:dyDescent="0.3">
      <c r="A59" t="s">
        <v>202</v>
      </c>
      <c r="B59" t="s">
        <v>201</v>
      </c>
      <c r="C59" t="s">
        <v>260</v>
      </c>
      <c r="D59" t="s">
        <v>262</v>
      </c>
    </row>
    <row r="60" spans="1:9" x14ac:dyDescent="0.3">
      <c r="A60" t="s">
        <v>202</v>
      </c>
      <c r="B60" t="s">
        <v>201</v>
      </c>
      <c r="C60" t="s">
        <v>303</v>
      </c>
      <c r="D60" t="s">
        <v>302</v>
      </c>
    </row>
    <row r="61" spans="1:9" x14ac:dyDescent="0.3">
      <c r="A61" t="s">
        <v>202</v>
      </c>
      <c r="B61" t="s">
        <v>201</v>
      </c>
      <c r="C61" t="s">
        <v>303</v>
      </c>
      <c r="D61" t="s">
        <v>305</v>
      </c>
    </row>
    <row r="62" spans="1:9" x14ac:dyDescent="0.3">
      <c r="A62" t="s">
        <v>202</v>
      </c>
      <c r="B62" t="s">
        <v>201</v>
      </c>
      <c r="C62" t="s">
        <v>405</v>
      </c>
      <c r="D62" t="s">
        <v>404</v>
      </c>
    </row>
    <row r="63" spans="1:9" x14ac:dyDescent="0.3">
      <c r="A63" t="s">
        <v>202</v>
      </c>
      <c r="B63" t="s">
        <v>201</v>
      </c>
      <c r="C63" t="s">
        <v>405</v>
      </c>
      <c r="D63" t="s">
        <v>407</v>
      </c>
    </row>
    <row r="64" spans="1:9" x14ac:dyDescent="0.3">
      <c r="A64" t="s">
        <v>202</v>
      </c>
      <c r="B64" t="s">
        <v>201</v>
      </c>
      <c r="C64" t="s">
        <v>448</v>
      </c>
      <c r="D64" t="s">
        <v>447</v>
      </c>
    </row>
    <row r="65" spans="1:5" x14ac:dyDescent="0.3">
      <c r="A65" t="s">
        <v>202</v>
      </c>
      <c r="B65" t="s">
        <v>201</v>
      </c>
      <c r="C65" t="s">
        <v>448</v>
      </c>
      <c r="D65" t="s">
        <v>450</v>
      </c>
    </row>
    <row r="66" spans="1:5" x14ac:dyDescent="0.3">
      <c r="A66" t="s">
        <v>202</v>
      </c>
      <c r="B66" t="s">
        <v>201</v>
      </c>
      <c r="C66" t="s">
        <v>491</v>
      </c>
      <c r="D66" t="s">
        <v>490</v>
      </c>
    </row>
    <row r="67" spans="1:5" x14ac:dyDescent="0.3">
      <c r="A67" t="s">
        <v>202</v>
      </c>
      <c r="B67" t="s">
        <v>201</v>
      </c>
      <c r="C67" t="s">
        <v>491</v>
      </c>
      <c r="D67" t="s">
        <v>493</v>
      </c>
    </row>
    <row r="73" spans="1:5" x14ac:dyDescent="0.3">
      <c r="A73" t="s">
        <v>1098</v>
      </c>
      <c r="B73" t="s">
        <v>531</v>
      </c>
    </row>
    <row r="74" spans="1:5" x14ac:dyDescent="0.3">
      <c r="A74" t="s">
        <v>1305</v>
      </c>
      <c r="B74" t="s">
        <v>1121</v>
      </c>
      <c r="C74" t="s">
        <v>1101</v>
      </c>
      <c r="D74" s="29">
        <v>41535.59375</v>
      </c>
      <c r="E74" t="s">
        <v>1306</v>
      </c>
    </row>
    <row r="75" spans="1:5" x14ac:dyDescent="0.3">
      <c r="A75" t="s">
        <v>1307</v>
      </c>
      <c r="B75" t="s">
        <v>1121</v>
      </c>
      <c r="C75" t="s">
        <v>1101</v>
      </c>
      <c r="D75" s="29">
        <v>41535.59375</v>
      </c>
      <c r="E75" t="s">
        <v>1306</v>
      </c>
    </row>
    <row r="76" spans="1:5" x14ac:dyDescent="0.3">
      <c r="A76" t="s">
        <v>1308</v>
      </c>
      <c r="B76" t="s">
        <v>1121</v>
      </c>
      <c r="C76" t="s">
        <v>1101</v>
      </c>
      <c r="D76" s="29">
        <v>41535.59375</v>
      </c>
      <c r="E76" t="s">
        <v>1306</v>
      </c>
    </row>
    <row r="77" spans="1:5" x14ac:dyDescent="0.3">
      <c r="A77" t="s">
        <v>1309</v>
      </c>
      <c r="B77" t="s">
        <v>1121</v>
      </c>
      <c r="C77" t="s">
        <v>1101</v>
      </c>
      <c r="D77" s="29">
        <v>41535.59375</v>
      </c>
      <c r="E77" t="s">
        <v>1306</v>
      </c>
    </row>
    <row r="78" spans="1:5" x14ac:dyDescent="0.3">
      <c r="A78" t="s">
        <v>1310</v>
      </c>
      <c r="B78" t="s">
        <v>1121</v>
      </c>
      <c r="C78" t="s">
        <v>1101</v>
      </c>
      <c r="D78" s="29">
        <v>41535.59375</v>
      </c>
      <c r="E78" t="s">
        <v>1306</v>
      </c>
    </row>
    <row r="79" spans="1:5" x14ac:dyDescent="0.3">
      <c r="A79" t="s">
        <v>1311</v>
      </c>
      <c r="B79" t="s">
        <v>1121</v>
      </c>
      <c r="C79" t="s">
        <v>1101</v>
      </c>
      <c r="D79" s="29">
        <v>41535.59375</v>
      </c>
      <c r="E79" t="s">
        <v>1306</v>
      </c>
    </row>
    <row r="80" spans="1:5" x14ac:dyDescent="0.3">
      <c r="A80" t="s">
        <v>1312</v>
      </c>
      <c r="B80" t="s">
        <v>1100</v>
      </c>
      <c r="C80" t="s">
        <v>1101</v>
      </c>
      <c r="D80" s="29">
        <v>41535.548611111109</v>
      </c>
      <c r="E80" t="s">
        <v>1119</v>
      </c>
    </row>
    <row r="81" spans="1:5" x14ac:dyDescent="0.3">
      <c r="A81" t="s">
        <v>1313</v>
      </c>
      <c r="B81" t="s">
        <v>1100</v>
      </c>
      <c r="C81" t="s">
        <v>1101</v>
      </c>
      <c r="D81" s="29">
        <v>41535.548611111109</v>
      </c>
      <c r="E81" t="s">
        <v>1119</v>
      </c>
    </row>
    <row r="82" spans="1:5" x14ac:dyDescent="0.3">
      <c r="A82" t="s">
        <v>1314</v>
      </c>
      <c r="B82" t="s">
        <v>1100</v>
      </c>
      <c r="C82" t="s">
        <v>1101</v>
      </c>
      <c r="D82" s="29">
        <v>41548.656944444447</v>
      </c>
      <c r="E82" t="s">
        <v>1315</v>
      </c>
    </row>
    <row r="83" spans="1:5" x14ac:dyDescent="0.3">
      <c r="A83" t="s">
        <v>1316</v>
      </c>
      <c r="B83" t="s">
        <v>1100</v>
      </c>
      <c r="C83" t="s">
        <v>1101</v>
      </c>
      <c r="D83" s="29">
        <v>41548.65625</v>
      </c>
      <c r="E83" t="s">
        <v>1317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8C800"/>
    <pageSetUpPr fitToPage="1"/>
  </sheetPr>
  <dimension ref="A1:I61"/>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38</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D35</f>
        <v>34130.493239163749</v>
      </c>
      <c r="E3" s="33">
        <f t="shared" si="0"/>
        <v>6493.2191999999995</v>
      </c>
      <c r="F3" s="33">
        <f t="shared" si="0"/>
        <v>6655.5496799999992</v>
      </c>
      <c r="G3" s="33">
        <f t="shared" si="0"/>
        <v>6821.9384219999993</v>
      </c>
      <c r="H3" s="33">
        <f t="shared" si="0"/>
        <v>6992.4868825499989</v>
      </c>
      <c r="I3" s="33">
        <f t="shared" si="0"/>
        <v>7167.299054613748</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93849.324731750879</v>
      </c>
      <c r="E5" s="33">
        <f t="shared" si="0"/>
        <v>17854.539428571428</v>
      </c>
      <c r="F5" s="33">
        <f t="shared" si="0"/>
        <v>18300.902914285714</v>
      </c>
      <c r="G5" s="33">
        <f t="shared" si="0"/>
        <v>18758.425487142857</v>
      </c>
      <c r="H5" s="33">
        <f t="shared" si="0"/>
        <v>19227.386124321423</v>
      </c>
      <c r="I5" s="33">
        <f t="shared" si="0"/>
        <v>19708.070777429457</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3" spans="1:9" ht="15" x14ac:dyDescent="0.25">
      <c r="A13" t="s">
        <v>3497</v>
      </c>
    </row>
    <row r="14" spans="1:9" ht="15" x14ac:dyDescent="0.25">
      <c r="B14" s="39" t="s">
        <v>2012</v>
      </c>
      <c r="C14" s="39">
        <v>2</v>
      </c>
    </row>
    <row r="15" spans="1:9" ht="15" x14ac:dyDescent="0.25">
      <c r="A15" s="12" t="s">
        <v>1640</v>
      </c>
      <c r="B15" s="12"/>
      <c r="C15" s="12">
        <f>C14</f>
        <v>2</v>
      </c>
    </row>
    <row r="17" spans="1:9" ht="15" x14ac:dyDescent="0.25">
      <c r="A17" t="s">
        <v>1992</v>
      </c>
    </row>
    <row r="18" spans="1:9" ht="15" x14ac:dyDescent="0.25">
      <c r="A18" t="s">
        <v>2183</v>
      </c>
    </row>
    <row r="19" spans="1:9" ht="15" x14ac:dyDescent="0.25">
      <c r="A19" t="str">
        <f>CONCATENATE("Have therefore assigned ",100*VegetationManagementYardPercentage,"% of the total cost from Byron Bay Trees (the contractor) to Yard Maintenance")</f>
        <v>Have therefore assigned 10% of the total cost from Byron Bay Trees (the contractor) to Yard Maintenance</v>
      </c>
    </row>
    <row r="20" spans="1:9" ht="15" x14ac:dyDescent="0.25">
      <c r="A20" t="s">
        <v>3468</v>
      </c>
    </row>
    <row r="21" spans="1:9" ht="15" x14ac:dyDescent="0.25">
      <c r="B21" s="39"/>
      <c r="C21" s="39"/>
      <c r="E21" s="30" t="str">
        <f>Summary!C4</f>
        <v>2015/16</v>
      </c>
      <c r="F21" s="30" t="str">
        <f>Summary!D4</f>
        <v>2016/17</v>
      </c>
      <c r="G21" s="30" t="str">
        <f>Summary!E4</f>
        <v>2017/18</v>
      </c>
      <c r="H21" s="30" t="str">
        <f>Summary!F4</f>
        <v>2018/19</v>
      </c>
      <c r="I21" s="30" t="str">
        <f>Summary!G4</f>
        <v>2019/20</v>
      </c>
    </row>
    <row r="22" spans="1:9" x14ac:dyDescent="0.3">
      <c r="A22" s="16" t="s">
        <v>1287</v>
      </c>
      <c r="B22" s="16" t="s">
        <v>40</v>
      </c>
      <c r="C22" s="43"/>
      <c r="D22" s="16"/>
      <c r="E22" s="16">
        <v>12</v>
      </c>
      <c r="F22" s="16">
        <v>12</v>
      </c>
      <c r="G22" s="16">
        <v>12</v>
      </c>
      <c r="H22" s="16">
        <v>12</v>
      </c>
      <c r="I22" s="16">
        <v>12</v>
      </c>
    </row>
    <row r="23" spans="1:9" ht="15" x14ac:dyDescent="0.25">
      <c r="A23" s="8" t="s">
        <v>1646</v>
      </c>
      <c r="C23" s="39"/>
    </row>
    <row r="24" spans="1:9" ht="15" x14ac:dyDescent="0.25">
      <c r="A24" s="14" t="s">
        <v>1658</v>
      </c>
      <c r="B24" s="15">
        <v>2</v>
      </c>
      <c r="C24" s="14" t="s">
        <v>2019</v>
      </c>
    </row>
    <row r="25" spans="1:9" ht="15" x14ac:dyDescent="0.25">
      <c r="A25" s="14" t="s">
        <v>1997</v>
      </c>
      <c r="B25" s="15">
        <f>1/C15</f>
        <v>0.5</v>
      </c>
      <c r="C25" s="14" t="s">
        <v>2011</v>
      </c>
    </row>
    <row r="26" spans="1:9" ht="15" x14ac:dyDescent="0.25">
      <c r="A26" s="14" t="s">
        <v>1643</v>
      </c>
      <c r="B26" s="55">
        <v>0</v>
      </c>
      <c r="C26" s="14"/>
    </row>
    <row r="27" spans="1:9" ht="15" x14ac:dyDescent="0.25">
      <c r="A27" s="14"/>
      <c r="B27" s="55"/>
      <c r="C27" s="14"/>
    </row>
    <row r="28" spans="1:9" ht="15" x14ac:dyDescent="0.25">
      <c r="A28" s="42" t="s">
        <v>1647</v>
      </c>
      <c r="B28" s="15"/>
      <c r="C28" s="14"/>
    </row>
    <row r="29" spans="1:9" ht="15" x14ac:dyDescent="0.25">
      <c r="A29" s="14" t="s">
        <v>1656</v>
      </c>
      <c r="B29" s="15"/>
      <c r="C29" s="14" t="s">
        <v>1681</v>
      </c>
    </row>
    <row r="30" spans="1:9" ht="15" x14ac:dyDescent="0.25">
      <c r="A30" s="14" t="s">
        <v>1651</v>
      </c>
      <c r="B30" s="55"/>
      <c r="C30" t="s">
        <v>1673</v>
      </c>
    </row>
    <row r="31" spans="1:9" x14ac:dyDescent="0.3">
      <c r="A31" s="14" t="s">
        <v>1649</v>
      </c>
      <c r="B31" s="55">
        <f>VegetationManagement*VegetationManagementYardPercentage/12</f>
        <v>725.79428571428571</v>
      </c>
      <c r="C31" s="14" t="s">
        <v>2076</v>
      </c>
    </row>
    <row r="32" spans="1:9" x14ac:dyDescent="0.3">
      <c r="A32" s="14" t="s">
        <v>1650</v>
      </c>
      <c r="B32" s="55">
        <v>0</v>
      </c>
      <c r="C32" s="7"/>
    </row>
    <row r="33" spans="1:9" x14ac:dyDescent="0.3">
      <c r="A33" s="14"/>
      <c r="B33" s="14"/>
      <c r="C33" s="14"/>
    </row>
    <row r="34" spans="1:9" x14ac:dyDescent="0.3">
      <c r="A34" s="14"/>
      <c r="B34" s="46" t="s">
        <v>2712</v>
      </c>
      <c r="C34" s="46" t="s">
        <v>2718</v>
      </c>
      <c r="D34" s="30"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263.952</v>
      </c>
      <c r="C35" s="40">
        <f>B35*$C$15</f>
        <v>527.904</v>
      </c>
      <c r="D35" s="33">
        <f>C35*SUMPRODUCT(LabourAdjustmentFactor,E$22:I$22)</f>
        <v>34130.493239163749</v>
      </c>
      <c r="E35" s="33">
        <f>$C35*E$22*'Modelling Assumptions'!E$101</f>
        <v>6493.2191999999995</v>
      </c>
      <c r="F35" s="33">
        <f>$C35*F$22*'Modelling Assumptions'!F$101</f>
        <v>6655.5496799999992</v>
      </c>
      <c r="G35" s="33">
        <f>$C35*G$22*'Modelling Assumptions'!G$101</f>
        <v>6821.9384219999993</v>
      </c>
      <c r="H35" s="33">
        <f>$C35*H$22*'Modelling Assumptions'!H$101</f>
        <v>6992.4868825499989</v>
      </c>
      <c r="I35" s="33">
        <f>$C35*I$22*'Modelling Assumptions'!I$101</f>
        <v>7167.299054613748</v>
      </c>
    </row>
    <row r="36" spans="1:9" x14ac:dyDescent="0.3">
      <c r="A36" s="14" t="s">
        <v>1643</v>
      </c>
      <c r="B36" s="40">
        <f>B26</f>
        <v>0</v>
      </c>
      <c r="C36" s="40">
        <f>B36*$C$15</f>
        <v>0</v>
      </c>
      <c r="D36" s="33">
        <f>C36*SUMPRODUCT(MaterialsAdjustmentFactor,E$22:I$22)</f>
        <v>0</v>
      </c>
      <c r="E36" s="33">
        <f>$C36*E$22*'Modelling Assumptions'!E$102</f>
        <v>0</v>
      </c>
      <c r="F36" s="33">
        <f>$C36*F$22*'Modelling Assumptions'!F$102</f>
        <v>0</v>
      </c>
      <c r="G36" s="33">
        <f>$C36*G$22*'Modelling Assumptions'!G$102</f>
        <v>0</v>
      </c>
      <c r="H36" s="33">
        <f>$C36*H$22*'Modelling Assumptions'!H$102</f>
        <v>0</v>
      </c>
      <c r="I36" s="33">
        <f>$C36*I$22*'Modelling Assumptions'!I$102</f>
        <v>0</v>
      </c>
    </row>
    <row r="37" spans="1:9" x14ac:dyDescent="0.3">
      <c r="A37" s="14" t="s">
        <v>1649</v>
      </c>
      <c r="B37" s="40">
        <f>B31</f>
        <v>725.79428571428571</v>
      </c>
      <c r="C37" s="40">
        <f>B37*$C$15</f>
        <v>1451.5885714285714</v>
      </c>
      <c r="D37" s="33">
        <f>C37*SUMPRODUCT(LabourAdjustmentFactor,E$22:I$22)</f>
        <v>93849.324731750879</v>
      </c>
      <c r="E37" s="33">
        <f>$C37*E$22*'Modelling Assumptions'!E$101</f>
        <v>17854.539428571428</v>
      </c>
      <c r="F37" s="33">
        <f>$C37*F$22*'Modelling Assumptions'!F$101</f>
        <v>18300.902914285714</v>
      </c>
      <c r="G37" s="33">
        <f>$C37*G$22*'Modelling Assumptions'!G$101</f>
        <v>18758.425487142857</v>
      </c>
      <c r="H37" s="33">
        <f>$C37*H$22*'Modelling Assumptions'!H$101</f>
        <v>19227.386124321423</v>
      </c>
      <c r="I37" s="33">
        <f>$C37*I$22*'Modelling Assumptions'!I$101</f>
        <v>19708.070777429457</v>
      </c>
    </row>
    <row r="38" spans="1:9" x14ac:dyDescent="0.3">
      <c r="A38" s="14" t="s">
        <v>1650</v>
      </c>
      <c r="B38" s="40">
        <f>B32</f>
        <v>0</v>
      </c>
      <c r="C38" s="40">
        <f>B38*$C$15</f>
        <v>0</v>
      </c>
      <c r="D38" s="33">
        <f>C38*SUMPRODUCT(MaterialsAdjustmentFactor,E$22:I$22)</f>
        <v>0</v>
      </c>
      <c r="E38" s="33">
        <f>$C38*E$22*'Modelling Assumptions'!E$102</f>
        <v>0</v>
      </c>
      <c r="F38" s="33">
        <f>$C38*F$22*'Modelling Assumptions'!F$102</f>
        <v>0</v>
      </c>
      <c r="G38" s="33">
        <f>$C38*G$22*'Modelling Assumptions'!G$102</f>
        <v>0</v>
      </c>
      <c r="H38" s="33">
        <f>$C38*H$22*'Modelling Assumptions'!H$102</f>
        <v>0</v>
      </c>
      <c r="I38" s="33">
        <f>$C38*I$22*'Modelling Assumptions'!I$102</f>
        <v>0</v>
      </c>
    </row>
    <row r="39" spans="1:9" x14ac:dyDescent="0.3">
      <c r="A39" s="14"/>
      <c r="B39" s="14"/>
      <c r="C39" s="14"/>
    </row>
    <row r="40" spans="1:9" x14ac:dyDescent="0.3">
      <c r="A40" s="14"/>
      <c r="B40" s="14"/>
      <c r="C40" s="14"/>
    </row>
    <row r="41" spans="1:9" x14ac:dyDescent="0.3">
      <c r="A41" s="14"/>
      <c r="B41" s="14"/>
      <c r="C41" s="14"/>
    </row>
    <row r="42" spans="1:9" x14ac:dyDescent="0.3">
      <c r="A42" s="10" t="s">
        <v>1641</v>
      </c>
      <c r="B42" s="44"/>
      <c r="C42" s="44"/>
      <c r="D42" s="10"/>
      <c r="E42" s="10"/>
      <c r="F42" s="10"/>
      <c r="G42" s="10"/>
      <c r="H42" s="10"/>
      <c r="I42" s="10"/>
    </row>
    <row r="43" spans="1:9" x14ac:dyDescent="0.3">
      <c r="A43" t="s">
        <v>3</v>
      </c>
      <c r="B43" t="s">
        <v>2</v>
      </c>
      <c r="C43" t="s">
        <v>1</v>
      </c>
    </row>
    <row r="44" spans="1:9" x14ac:dyDescent="0.3">
      <c r="A44" t="s">
        <v>1287</v>
      </c>
      <c r="B44" t="s">
        <v>40</v>
      </c>
    </row>
    <row r="45" spans="1:9" x14ac:dyDescent="0.3">
      <c r="A45" t="s">
        <v>39</v>
      </c>
      <c r="B45" t="s">
        <v>38</v>
      </c>
      <c r="C45" t="s">
        <v>8</v>
      </c>
      <c r="D45" t="s">
        <v>29</v>
      </c>
    </row>
    <row r="46" spans="1:9" x14ac:dyDescent="0.3">
      <c r="A46" t="s">
        <v>39</v>
      </c>
      <c r="B46" t="s">
        <v>38</v>
      </c>
      <c r="C46" t="s">
        <v>328</v>
      </c>
      <c r="D46" t="s">
        <v>331</v>
      </c>
    </row>
    <row r="50" spans="1:5" x14ac:dyDescent="0.3">
      <c r="A50" t="s">
        <v>1098</v>
      </c>
      <c r="B50" t="s">
        <v>1289</v>
      </c>
    </row>
    <row r="51" spans="1:5" x14ac:dyDescent="0.3">
      <c r="A51" t="s">
        <v>1290</v>
      </c>
      <c r="B51" t="s">
        <v>1100</v>
      </c>
      <c r="C51" t="s">
        <v>1101</v>
      </c>
      <c r="D51" s="29">
        <v>41564.745138888888</v>
      </c>
      <c r="E51" t="s">
        <v>1291</v>
      </c>
    </row>
    <row r="52" spans="1:5" x14ac:dyDescent="0.3">
      <c r="A52" t="s">
        <v>1292</v>
      </c>
      <c r="B52" t="s">
        <v>1121</v>
      </c>
      <c r="C52" t="s">
        <v>1101</v>
      </c>
      <c r="D52" s="29">
        <v>41533.734722222223</v>
      </c>
      <c r="E52" t="s">
        <v>1293</v>
      </c>
    </row>
    <row r="53" spans="1:5" x14ac:dyDescent="0.3">
      <c r="A53" t="s">
        <v>1294</v>
      </c>
      <c r="B53" t="s">
        <v>1121</v>
      </c>
      <c r="C53" t="s">
        <v>1101</v>
      </c>
      <c r="D53" s="29">
        <v>41533.745833333334</v>
      </c>
      <c r="E53" t="s">
        <v>1295</v>
      </c>
    </row>
    <row r="54" spans="1:5" x14ac:dyDescent="0.3">
      <c r="A54" t="s">
        <v>1296</v>
      </c>
      <c r="B54" t="s">
        <v>1121</v>
      </c>
      <c r="C54" t="s">
        <v>1101</v>
      </c>
      <c r="D54" s="29">
        <v>41507.633333333331</v>
      </c>
    </row>
    <row r="55" spans="1:5" x14ac:dyDescent="0.3">
      <c r="A55" t="s">
        <v>1297</v>
      </c>
      <c r="B55" t="s">
        <v>1100</v>
      </c>
      <c r="C55" t="s">
        <v>1101</v>
      </c>
      <c r="D55" s="29">
        <v>41452.423611111109</v>
      </c>
    </row>
    <row r="56" spans="1:5" x14ac:dyDescent="0.3">
      <c r="A56" t="s">
        <v>1298</v>
      </c>
      <c r="B56" t="s">
        <v>1100</v>
      </c>
      <c r="C56" t="s">
        <v>1101</v>
      </c>
      <c r="D56" s="29">
        <v>41564.745138888888</v>
      </c>
      <c r="E56" t="s">
        <v>1291</v>
      </c>
    </row>
    <row r="57" spans="1:5" x14ac:dyDescent="0.3">
      <c r="A57" t="s">
        <v>1299</v>
      </c>
      <c r="B57" t="s">
        <v>1121</v>
      </c>
      <c r="C57" t="s">
        <v>1101</v>
      </c>
      <c r="D57" s="29">
        <v>41533.734722222223</v>
      </c>
      <c r="E57" t="s">
        <v>1293</v>
      </c>
    </row>
    <row r="58" spans="1:5" x14ac:dyDescent="0.3">
      <c r="A58" t="s">
        <v>1300</v>
      </c>
      <c r="B58" t="s">
        <v>1121</v>
      </c>
      <c r="C58" t="s">
        <v>1101</v>
      </c>
      <c r="D58" s="29">
        <v>41533.745833333334</v>
      </c>
      <c r="E58" t="s">
        <v>1295</v>
      </c>
    </row>
    <row r="59" spans="1:5" x14ac:dyDescent="0.3">
      <c r="A59" t="s">
        <v>1301</v>
      </c>
      <c r="B59" t="s">
        <v>1114</v>
      </c>
      <c r="C59" t="s">
        <v>1101</v>
      </c>
      <c r="D59" s="29">
        <v>41473.459027777775</v>
      </c>
      <c r="E59" t="s">
        <v>1302</v>
      </c>
    </row>
    <row r="60" spans="1:5" x14ac:dyDescent="0.3">
      <c r="A60" t="s">
        <v>1301</v>
      </c>
      <c r="B60" t="s">
        <v>1121</v>
      </c>
      <c r="C60" t="s">
        <v>1101</v>
      </c>
      <c r="D60" s="29">
        <v>41473.459027777775</v>
      </c>
      <c r="E60" t="s">
        <v>1302</v>
      </c>
    </row>
    <row r="61" spans="1:5" x14ac:dyDescent="0.3">
      <c r="A61" t="s">
        <v>1303</v>
      </c>
      <c r="B61" t="s">
        <v>1100</v>
      </c>
      <c r="C61" t="s">
        <v>1101</v>
      </c>
      <c r="D61" s="29">
        <v>41452.423611111109</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8C800"/>
    <pageSetUpPr fitToPage="1"/>
  </sheetPr>
  <dimension ref="A1:I99"/>
  <sheetViews>
    <sheetView zoomScaleNormal="100"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ht="15" x14ac:dyDescent="0.25">
      <c r="A1" t="s">
        <v>1642</v>
      </c>
      <c r="B1" t="s">
        <v>1672</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D48+D80</f>
        <v>6545.2409532003512</v>
      </c>
      <c r="E3" s="33">
        <f t="shared" si="0"/>
        <v>1219.2129</v>
      </c>
      <c r="F3" s="33">
        <f t="shared" si="0"/>
        <v>1249.6932225</v>
      </c>
      <c r="G3" s="33">
        <f t="shared" si="0"/>
        <v>1417.5929733749999</v>
      </c>
      <c r="H3" s="33">
        <f t="shared" si="0"/>
        <v>1312.9589418890623</v>
      </c>
      <c r="I3" s="33">
        <f t="shared" si="0"/>
        <v>1345.7829154362887</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56395.418380371077</v>
      </c>
      <c r="E5" s="33">
        <f t="shared" si="0"/>
        <v>6303.7499999999982</v>
      </c>
      <c r="F5" s="33">
        <f t="shared" si="0"/>
        <v>6461.3437499999982</v>
      </c>
      <c r="G5" s="33">
        <f t="shared" si="0"/>
        <v>29883.714843749996</v>
      </c>
      <c r="H5" s="33">
        <f t="shared" si="0"/>
        <v>6788.4492773437478</v>
      </c>
      <c r="I5" s="33">
        <f t="shared" si="0"/>
        <v>6958.1605092773407</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t="s">
        <v>3519</v>
      </c>
    </row>
    <row r="12" spans="1:9" ht="15" x14ac:dyDescent="0.25">
      <c r="A12" t="s">
        <v>1510</v>
      </c>
    </row>
    <row r="13" spans="1:9" ht="15" x14ac:dyDescent="0.25">
      <c r="B13" s="39" t="s">
        <v>1631</v>
      </c>
      <c r="C13" s="39">
        <v>6</v>
      </c>
    </row>
    <row r="14" spans="1:9" ht="15" x14ac:dyDescent="0.25">
      <c r="B14" s="39" t="s">
        <v>1632</v>
      </c>
      <c r="C14" s="39">
        <v>6</v>
      </c>
    </row>
    <row r="15" spans="1:9" ht="15" x14ac:dyDescent="0.25">
      <c r="B15" s="39" t="s">
        <v>1587</v>
      </c>
      <c r="C15" s="39">
        <v>18</v>
      </c>
    </row>
    <row r="16" spans="1:9" ht="15" x14ac:dyDescent="0.25">
      <c r="B16" s="39" t="s">
        <v>1588</v>
      </c>
      <c r="C16" s="39">
        <v>18</v>
      </c>
    </row>
    <row r="17" spans="1:4" ht="15" x14ac:dyDescent="0.25">
      <c r="B17" s="39" t="s">
        <v>1592</v>
      </c>
      <c r="C17" s="39">
        <v>18</v>
      </c>
    </row>
    <row r="18" spans="1:4" ht="15" x14ac:dyDescent="0.25">
      <c r="B18" s="39" t="s">
        <v>1598</v>
      </c>
      <c r="C18" s="39">
        <v>18</v>
      </c>
    </row>
    <row r="20" spans="1:4" ht="15" x14ac:dyDescent="0.25">
      <c r="A20" t="s">
        <v>1522</v>
      </c>
    </row>
    <row r="21" spans="1:4" ht="15" x14ac:dyDescent="0.25">
      <c r="B21" s="39" t="s">
        <v>1539</v>
      </c>
      <c r="C21" s="39">
        <v>6</v>
      </c>
    </row>
    <row r="22" spans="1:4" ht="15" x14ac:dyDescent="0.25">
      <c r="B22" s="39" t="s">
        <v>1540</v>
      </c>
      <c r="C22" s="39">
        <v>6</v>
      </c>
    </row>
    <row r="23" spans="1:4" ht="15" x14ac:dyDescent="0.25">
      <c r="B23" s="39" t="s">
        <v>1606</v>
      </c>
      <c r="C23" s="39">
        <v>18</v>
      </c>
    </row>
    <row r="24" spans="1:4" ht="15" x14ac:dyDescent="0.25">
      <c r="B24" s="39" t="s">
        <v>1608</v>
      </c>
      <c r="C24" s="39">
        <v>18</v>
      </c>
    </row>
    <row r="25" spans="1:4" ht="15" x14ac:dyDescent="0.25">
      <c r="B25" s="39" t="s">
        <v>1623</v>
      </c>
      <c r="C25" s="39">
        <v>12</v>
      </c>
    </row>
    <row r="26" spans="1:4" ht="15" x14ac:dyDescent="0.25">
      <c r="A26" s="12" t="s">
        <v>1640</v>
      </c>
      <c r="B26" s="12"/>
      <c r="C26" s="12">
        <f>SUM(C13:C25)</f>
        <v>144</v>
      </c>
    </row>
    <row r="27" spans="1:4" ht="15" x14ac:dyDescent="0.25">
      <c r="D27" s="52"/>
    </row>
    <row r="28" spans="1:4" ht="15" x14ac:dyDescent="0.25">
      <c r="A28" t="s">
        <v>1992</v>
      </c>
      <c r="D28" s="52"/>
    </row>
    <row r="29" spans="1:4" ht="15" x14ac:dyDescent="0.25">
      <c r="A29" s="28" t="s">
        <v>2185</v>
      </c>
      <c r="D29" s="52"/>
    </row>
    <row r="30" spans="1:4" ht="15" x14ac:dyDescent="0.25">
      <c r="A30" s="28" t="s">
        <v>2186</v>
      </c>
      <c r="D30" s="52"/>
    </row>
    <row r="31" spans="1:4" x14ac:dyDescent="0.3">
      <c r="A31" s="28" t="s">
        <v>2187</v>
      </c>
    </row>
    <row r="32" spans="1:4" x14ac:dyDescent="0.3">
      <c r="A32" s="28" t="s">
        <v>2188</v>
      </c>
    </row>
    <row r="33" spans="1:9" s="301" customFormat="1" x14ac:dyDescent="0.3">
      <c r="A33" s="320" t="s">
        <v>3254</v>
      </c>
    </row>
    <row r="34" spans="1:9" x14ac:dyDescent="0.3">
      <c r="B34" s="39"/>
      <c r="C34" s="39"/>
      <c r="E34" s="30" t="str">
        <f>Summary!C4</f>
        <v>2015/16</v>
      </c>
      <c r="F34" s="30" t="str">
        <f>Summary!D4</f>
        <v>2016/17</v>
      </c>
      <c r="G34" s="30" t="str">
        <f>Summary!E4</f>
        <v>2017/18</v>
      </c>
      <c r="H34" s="30" t="str">
        <f>Summary!F4</f>
        <v>2018/19</v>
      </c>
      <c r="I34" s="30" t="str">
        <f>Summary!G4</f>
        <v>2019/20</v>
      </c>
    </row>
    <row r="35" spans="1:9" x14ac:dyDescent="0.3">
      <c r="A35" s="45" t="s">
        <v>1785</v>
      </c>
      <c r="B35" s="16" t="s">
        <v>56</v>
      </c>
      <c r="C35" s="43"/>
      <c r="D35" s="16"/>
      <c r="E35" s="16">
        <v>1</v>
      </c>
      <c r="F35" s="16">
        <v>1</v>
      </c>
      <c r="G35" s="16">
        <v>1</v>
      </c>
      <c r="H35" s="16">
        <v>1</v>
      </c>
      <c r="I35" s="16">
        <v>1</v>
      </c>
    </row>
    <row r="36" spans="1:9" x14ac:dyDescent="0.3">
      <c r="A36" s="8" t="s">
        <v>1646</v>
      </c>
      <c r="C36" s="39"/>
    </row>
    <row r="37" spans="1:9" x14ac:dyDescent="0.3">
      <c r="A37" s="14" t="s">
        <v>1658</v>
      </c>
      <c r="B37" s="74">
        <f>APATechnicianHours/C26</f>
        <v>6.9444444444444441E-3</v>
      </c>
      <c r="C37" s="14" t="s">
        <v>2013</v>
      </c>
    </row>
    <row r="38" spans="1:9" x14ac:dyDescent="0.3">
      <c r="A38" s="14" t="s">
        <v>1997</v>
      </c>
      <c r="B38" s="74">
        <f>APASupervisorHours/C26</f>
        <v>5.9606481481481483E-2</v>
      </c>
      <c r="C38" s="14" t="s">
        <v>2014</v>
      </c>
    </row>
    <row r="39" spans="1:9" x14ac:dyDescent="0.3">
      <c r="A39" s="14" t="s">
        <v>1643</v>
      </c>
      <c r="B39" s="55">
        <f>B65</f>
        <v>0</v>
      </c>
      <c r="C39" s="7"/>
    </row>
    <row r="40" spans="1:9" x14ac:dyDescent="0.3">
      <c r="A40" s="14"/>
      <c r="B40" s="55"/>
      <c r="C40" s="14"/>
    </row>
    <row r="41" spans="1:9" x14ac:dyDescent="0.3">
      <c r="A41" s="42" t="s">
        <v>1647</v>
      </c>
      <c r="B41" s="15"/>
      <c r="C41" s="14"/>
    </row>
    <row r="42" spans="1:9" x14ac:dyDescent="0.3">
      <c r="A42" s="14" t="s">
        <v>1656</v>
      </c>
      <c r="B42" s="74">
        <f>0.5+B59</f>
        <v>0.56944444444444442</v>
      </c>
      <c r="C42" s="14" t="s">
        <v>1674</v>
      </c>
    </row>
    <row r="43" spans="1:9" x14ac:dyDescent="0.3">
      <c r="A43" s="14" t="s">
        <v>1651</v>
      </c>
      <c r="B43" s="55">
        <f>ElectricalContractorHourlyRate</f>
        <v>75</v>
      </c>
      <c r="C43" s="14" t="s">
        <v>1721</v>
      </c>
    </row>
    <row r="44" spans="1:9" x14ac:dyDescent="0.3">
      <c r="A44" s="14" t="s">
        <v>1649</v>
      </c>
      <c r="B44" s="55">
        <f>B42*B43</f>
        <v>42.708333333333329</v>
      </c>
      <c r="C44" s="14"/>
    </row>
    <row r="45" spans="1:9" x14ac:dyDescent="0.3">
      <c r="A45" s="14" t="s">
        <v>1650</v>
      </c>
      <c r="B45" s="55">
        <v>0</v>
      </c>
      <c r="C45" s="7"/>
    </row>
    <row r="46" spans="1:9" x14ac:dyDescent="0.3">
      <c r="A46" s="14"/>
      <c r="B46" s="14"/>
      <c r="C46" s="14"/>
    </row>
    <row r="47" spans="1:9" x14ac:dyDescent="0.3">
      <c r="A47" s="14"/>
      <c r="B47" s="46" t="s">
        <v>2712</v>
      </c>
      <c r="C47" s="46" t="s">
        <v>2718</v>
      </c>
      <c r="D47" s="30" t="s">
        <v>1655</v>
      </c>
      <c r="E47" s="30" t="str">
        <f>Summary!C4</f>
        <v>2015/16</v>
      </c>
      <c r="F47" s="30" t="str">
        <f>Summary!D4</f>
        <v>2016/17</v>
      </c>
      <c r="G47" s="30" t="str">
        <f>Summary!E4</f>
        <v>2017/18</v>
      </c>
      <c r="H47" s="30" t="str">
        <f>Summary!F4</f>
        <v>2018/19</v>
      </c>
      <c r="I47" s="30" t="str">
        <f>Summary!G4</f>
        <v>2019/20</v>
      </c>
    </row>
    <row r="48" spans="1:9" x14ac:dyDescent="0.3">
      <c r="A48" s="14" t="s">
        <v>1648</v>
      </c>
      <c r="B48" s="40">
        <f>B37*HourlyRateAPAMaintenanceStaff+B38*HourlyRateAPAOMSupervisor</f>
        <v>8.260250000000001</v>
      </c>
      <c r="C48" s="40">
        <f>B48*$C$26</f>
        <v>1189.4760000000001</v>
      </c>
      <c r="D48" s="33">
        <f>C48*SUMPRODUCT(LabourAdjustmentFactor,E$35:I$35)</f>
        <v>6408.5835328878511</v>
      </c>
      <c r="E48" s="33">
        <f>$C48*E$35*'Modelling Assumptions'!E$101</f>
        <v>1219.2129</v>
      </c>
      <c r="F48" s="33">
        <f>$C48*F$35*'Modelling Assumptions'!F$101</f>
        <v>1249.6932225</v>
      </c>
      <c r="G48" s="33">
        <f>$C48*G$35*'Modelling Assumptions'!G$101</f>
        <v>1280.9355530625</v>
      </c>
      <c r="H48" s="33">
        <f>$C48*H$35*'Modelling Assumptions'!H$101</f>
        <v>1312.9589418890623</v>
      </c>
      <c r="I48" s="33">
        <f>$C48*I$35*'Modelling Assumptions'!I$101</f>
        <v>1345.7829154362887</v>
      </c>
    </row>
    <row r="49" spans="1:9" x14ac:dyDescent="0.3">
      <c r="A49" s="14" t="s">
        <v>1643</v>
      </c>
      <c r="B49" s="40">
        <f>B39</f>
        <v>0</v>
      </c>
      <c r="C49" s="40">
        <f>B49*$C$26</f>
        <v>0</v>
      </c>
      <c r="D49" s="33">
        <f>C49*SUMPRODUCT(MaterialsAdjustmentFactor,E$35:I$35)</f>
        <v>0</v>
      </c>
      <c r="E49" s="33">
        <f>$C49*E$35*'Modelling Assumptions'!E$102</f>
        <v>0</v>
      </c>
      <c r="F49" s="33">
        <f>$C49*F$35*'Modelling Assumptions'!F$102</f>
        <v>0</v>
      </c>
      <c r="G49" s="33">
        <f>$C49*G$35*'Modelling Assumptions'!G$102</f>
        <v>0</v>
      </c>
      <c r="H49" s="33">
        <f>$C49*H$35*'Modelling Assumptions'!H$102</f>
        <v>0</v>
      </c>
      <c r="I49" s="33">
        <f>$C49*I$35*'Modelling Assumptions'!I$102</f>
        <v>0</v>
      </c>
    </row>
    <row r="50" spans="1:9" x14ac:dyDescent="0.3">
      <c r="A50" s="14" t="s">
        <v>1649</v>
      </c>
      <c r="B50" s="40">
        <f>B44</f>
        <v>42.708333333333329</v>
      </c>
      <c r="C50" s="40">
        <f>B50*$C$26</f>
        <v>6149.9999999999991</v>
      </c>
      <c r="D50" s="33">
        <f>C50*SUMPRODUCT(LabourAdjustmentFactor,E$35:I$35)</f>
        <v>33134.580880371082</v>
      </c>
      <c r="E50" s="33">
        <f>$C50*E$35*'Modelling Assumptions'!E$101</f>
        <v>6303.7499999999982</v>
      </c>
      <c r="F50" s="33">
        <f>$C50*F$35*'Modelling Assumptions'!F$101</f>
        <v>6461.3437499999982</v>
      </c>
      <c r="G50" s="33">
        <f>$C50*G$35*'Modelling Assumptions'!G$101</f>
        <v>6622.8773437499985</v>
      </c>
      <c r="H50" s="33">
        <f>$C50*H$35*'Modelling Assumptions'!H$101</f>
        <v>6788.4492773437478</v>
      </c>
      <c r="I50" s="33">
        <f>$C50*I$35*'Modelling Assumptions'!I$101</f>
        <v>6958.1605092773407</v>
      </c>
    </row>
    <row r="51" spans="1:9" x14ac:dyDescent="0.3">
      <c r="A51" s="14" t="s">
        <v>1650</v>
      </c>
      <c r="B51" s="40">
        <f>B45</f>
        <v>0</v>
      </c>
      <c r="C51" s="40">
        <f>B51*$C$26</f>
        <v>0</v>
      </c>
      <c r="D51" s="33">
        <f>C51*SUMPRODUCT(MaterialsAdjustmentFactor,E$35:I$35)</f>
        <v>0</v>
      </c>
      <c r="E51" s="33">
        <f>$C51*E$35*'Modelling Assumptions'!E$102</f>
        <v>0</v>
      </c>
      <c r="F51" s="33">
        <f>$C51*F$35*'Modelling Assumptions'!F$102</f>
        <v>0</v>
      </c>
      <c r="G51" s="33">
        <f>$C51*G$35*'Modelling Assumptions'!G$102</f>
        <v>0</v>
      </c>
      <c r="H51" s="33">
        <f>$C51*H$35*'Modelling Assumptions'!H$102</f>
        <v>0</v>
      </c>
      <c r="I51" s="33">
        <f>$C51*I$35*'Modelling Assumptions'!I$102</f>
        <v>0</v>
      </c>
    </row>
    <row r="52" spans="1:9" x14ac:dyDescent="0.3">
      <c r="A52" s="14"/>
      <c r="B52" s="14"/>
      <c r="C52" s="14"/>
    </row>
    <row r="53" spans="1:9" x14ac:dyDescent="0.3">
      <c r="A53" s="59" t="s">
        <v>2262</v>
      </c>
      <c r="B53" s="59"/>
      <c r="C53" s="59"/>
    </row>
    <row r="54" spans="1:9" x14ac:dyDescent="0.3">
      <c r="A54" s="14" t="s">
        <v>2263</v>
      </c>
      <c r="B54" s="14">
        <v>5</v>
      </c>
      <c r="C54" s="14" t="s">
        <v>2260</v>
      </c>
    </row>
    <row r="55" spans="1:9" x14ac:dyDescent="0.3">
      <c r="A55" s="14" t="s">
        <v>2363</v>
      </c>
      <c r="B55" s="123">
        <v>5.0000000000000001E-3</v>
      </c>
      <c r="C55" s="14" t="s">
        <v>2362</v>
      </c>
    </row>
    <row r="56" spans="1:9" x14ac:dyDescent="0.3">
      <c r="A56" s="14" t="s">
        <v>2364</v>
      </c>
      <c r="B56" s="71">
        <v>702</v>
      </c>
      <c r="C56" s="14"/>
    </row>
    <row r="57" spans="1:9" x14ac:dyDescent="0.3">
      <c r="A57" s="14" t="s">
        <v>2261</v>
      </c>
      <c r="B57" s="14">
        <f>B55*B56</f>
        <v>3.5100000000000002</v>
      </c>
      <c r="C57" t="s">
        <v>2365</v>
      </c>
    </row>
    <row r="58" spans="1:9" x14ac:dyDescent="0.3">
      <c r="A58" s="14" t="s">
        <v>2264</v>
      </c>
      <c r="B58" s="14">
        <f>B54*2</f>
        <v>10</v>
      </c>
      <c r="C58" s="14" t="s">
        <v>2266</v>
      </c>
    </row>
    <row r="59" spans="1:9" x14ac:dyDescent="0.3">
      <c r="A59" s="14" t="s">
        <v>2265</v>
      </c>
      <c r="B59" s="122">
        <f>B58/C26</f>
        <v>6.9444444444444448E-2</v>
      </c>
      <c r="C59" s="14" t="s">
        <v>2267</v>
      </c>
    </row>
    <row r="60" spans="1:9" x14ac:dyDescent="0.3">
      <c r="A60" s="14"/>
      <c r="B60" s="14"/>
      <c r="C60" s="14"/>
    </row>
    <row r="61" spans="1:9" x14ac:dyDescent="0.3">
      <c r="A61" s="14" t="s">
        <v>2358</v>
      </c>
      <c r="B61" s="14"/>
      <c r="C61" s="14" t="s">
        <v>2360</v>
      </c>
    </row>
    <row r="62" spans="1:9" x14ac:dyDescent="0.3">
      <c r="A62" s="14" t="s">
        <v>2359</v>
      </c>
      <c r="B62" s="113">
        <f>31700/5</f>
        <v>6340</v>
      </c>
      <c r="C62" s="14" t="s">
        <v>3300</v>
      </c>
    </row>
    <row r="63" spans="1:9" x14ac:dyDescent="0.3">
      <c r="A63" s="14" t="s">
        <v>2719</v>
      </c>
      <c r="B63" s="121">
        <f>B62*'Modelling Assumptions'!$E$102</f>
        <v>6530.2</v>
      </c>
      <c r="C63" s="14"/>
    </row>
    <row r="64" spans="1:9" x14ac:dyDescent="0.3">
      <c r="A64" s="14" t="s">
        <v>2361</v>
      </c>
      <c r="B64" s="120">
        <f>B63*B57/C26</f>
        <v>159.17362500000002</v>
      </c>
      <c r="C64" s="14" t="s">
        <v>2366</v>
      </c>
    </row>
    <row r="65" spans="1:9" x14ac:dyDescent="0.3">
      <c r="A65" s="14" t="s">
        <v>2367</v>
      </c>
      <c r="B65" s="120">
        <f>IF(CapitaliseThisItem= TRUE,0,B63*B57/C26)</f>
        <v>0</v>
      </c>
      <c r="C65" s="14" t="s">
        <v>2694</v>
      </c>
    </row>
    <row r="66" spans="1:9" x14ac:dyDescent="0.3">
      <c r="B66" s="39"/>
      <c r="C66" s="39"/>
      <c r="E66" s="30" t="str">
        <f>Summary!C4</f>
        <v>2015/16</v>
      </c>
      <c r="F66" s="30" t="str">
        <f>Summary!D4</f>
        <v>2016/17</v>
      </c>
      <c r="G66" s="30" t="str">
        <f>Summary!E4</f>
        <v>2017/18</v>
      </c>
      <c r="H66" s="30" t="str">
        <f>Summary!F4</f>
        <v>2018/19</v>
      </c>
      <c r="I66" s="30" t="str">
        <f>Summary!G4</f>
        <v>2019/20</v>
      </c>
    </row>
    <row r="67" spans="1:9" x14ac:dyDescent="0.3">
      <c r="A67" s="16" t="s">
        <v>1288</v>
      </c>
      <c r="B67" s="16" t="s">
        <v>12</v>
      </c>
      <c r="C67" s="43"/>
      <c r="D67" s="16"/>
      <c r="E67" s="16">
        <v>0</v>
      </c>
      <c r="F67" s="16">
        <v>0</v>
      </c>
      <c r="G67" s="16">
        <v>1</v>
      </c>
      <c r="H67" s="16">
        <v>0</v>
      </c>
      <c r="I67" s="16">
        <v>0</v>
      </c>
    </row>
    <row r="68" spans="1:9" x14ac:dyDescent="0.3">
      <c r="A68" s="8" t="s">
        <v>1646</v>
      </c>
      <c r="C68" s="39"/>
    </row>
    <row r="69" spans="1:9" x14ac:dyDescent="0.3">
      <c r="A69" s="14" t="s">
        <v>1658</v>
      </c>
      <c r="B69" s="15">
        <v>0</v>
      </c>
      <c r="C69" s="14" t="s">
        <v>2015</v>
      </c>
    </row>
    <row r="70" spans="1:9" x14ac:dyDescent="0.3">
      <c r="A70" s="14" t="s">
        <v>1997</v>
      </c>
      <c r="B70" s="74">
        <f>1/C26</f>
        <v>6.9444444444444441E-3</v>
      </c>
      <c r="C70" s="14" t="s">
        <v>3390</v>
      </c>
    </row>
    <row r="71" spans="1:9" x14ac:dyDescent="0.3">
      <c r="A71" s="14" t="s">
        <v>1643</v>
      </c>
      <c r="B71" s="55">
        <v>0</v>
      </c>
      <c r="C71" s="7"/>
    </row>
    <row r="72" spans="1:9" x14ac:dyDescent="0.3">
      <c r="A72" s="14"/>
      <c r="B72" s="41"/>
      <c r="C72" s="14"/>
    </row>
    <row r="73" spans="1:9" x14ac:dyDescent="0.3">
      <c r="A73" s="42" t="s">
        <v>1647</v>
      </c>
      <c r="B73" s="7"/>
      <c r="C73" s="14"/>
    </row>
    <row r="74" spans="1:9" x14ac:dyDescent="0.3">
      <c r="A74" s="14" t="s">
        <v>1656</v>
      </c>
      <c r="B74" s="15">
        <v>2</v>
      </c>
      <c r="C74" s="14" t="s">
        <v>2053</v>
      </c>
    </row>
    <row r="75" spans="1:9" x14ac:dyDescent="0.3">
      <c r="A75" s="14" t="s">
        <v>1651</v>
      </c>
      <c r="B75" s="55">
        <f>ElectricalContractorHourlyRate</f>
        <v>75</v>
      </c>
      <c r="C75" s="14" t="s">
        <v>1721</v>
      </c>
    </row>
    <row r="76" spans="1:9" x14ac:dyDescent="0.3">
      <c r="A76" s="14" t="s">
        <v>1649</v>
      </c>
      <c r="B76" s="55">
        <f>B74*B75</f>
        <v>150</v>
      </c>
      <c r="C76" s="14"/>
    </row>
    <row r="77" spans="1:9" x14ac:dyDescent="0.3">
      <c r="A77" s="14" t="s">
        <v>1650</v>
      </c>
      <c r="B77" s="55">
        <v>0</v>
      </c>
      <c r="C77" s="7"/>
    </row>
    <row r="78" spans="1:9" x14ac:dyDescent="0.3">
      <c r="A78" s="14"/>
      <c r="B78" s="14"/>
      <c r="C78" s="14"/>
    </row>
    <row r="79" spans="1:9" x14ac:dyDescent="0.3">
      <c r="A79" s="14"/>
      <c r="B79" s="46" t="s">
        <v>2712</v>
      </c>
      <c r="C79" s="46" t="s">
        <v>2718</v>
      </c>
      <c r="D79" s="30" t="s">
        <v>1655</v>
      </c>
      <c r="E79" s="30" t="str">
        <f>Summary!C4</f>
        <v>2015/16</v>
      </c>
      <c r="F79" s="30" t="str">
        <f>Summary!D4</f>
        <v>2016/17</v>
      </c>
      <c r="G79" s="30" t="str">
        <f>Summary!E4</f>
        <v>2017/18</v>
      </c>
      <c r="H79" s="30" t="str">
        <f>Summary!F4</f>
        <v>2018/19</v>
      </c>
      <c r="I79" s="30" t="str">
        <f>Summary!G4</f>
        <v>2019/20</v>
      </c>
    </row>
    <row r="80" spans="1:9" x14ac:dyDescent="0.3">
      <c r="A80" s="14" t="s">
        <v>1648</v>
      </c>
      <c r="B80" s="40">
        <f>B69*HourlyRateAPAMaintenanceStaff+B70*HourlyRateAPAOMSupervisor</f>
        <v>0.88124999999999998</v>
      </c>
      <c r="C80" s="40">
        <f>B80*$C$26</f>
        <v>126.89999999999999</v>
      </c>
      <c r="D80" s="69">
        <f>C80*SUMPRODUCT(LabourAdjustmentFactor,E$67:I$67)</f>
        <v>136.65742031249997</v>
      </c>
      <c r="E80" s="33">
        <f>$C80*E$67*'Modelling Assumptions'!E$101</f>
        <v>0</v>
      </c>
      <c r="F80" s="33">
        <f>$C80*F$67*'Modelling Assumptions'!F$101</f>
        <v>0</v>
      </c>
      <c r="G80" s="33">
        <f>$C80*G$67*'Modelling Assumptions'!G$101</f>
        <v>136.65742031249997</v>
      </c>
      <c r="H80" s="33">
        <f>$C80*H$67*'Modelling Assumptions'!H$101</f>
        <v>0</v>
      </c>
      <c r="I80" s="33">
        <f>$C80*I$67*'Modelling Assumptions'!I$101</f>
        <v>0</v>
      </c>
    </row>
    <row r="81" spans="1:9" x14ac:dyDescent="0.3">
      <c r="A81" s="14" t="s">
        <v>1643</v>
      </c>
      <c r="B81" s="40">
        <f>B71</f>
        <v>0</v>
      </c>
      <c r="C81" s="40">
        <f>B81*$C$26</f>
        <v>0</v>
      </c>
      <c r="D81" s="33">
        <f>C81*SUMPRODUCT(MaterialsAdjustmentFactor,E$67:I$67)</f>
        <v>0</v>
      </c>
      <c r="E81" s="33">
        <f>$C81*E$67*'Modelling Assumptions'!E$102</f>
        <v>0</v>
      </c>
      <c r="F81" s="33">
        <f>$C81*F$67*'Modelling Assumptions'!F$102</f>
        <v>0</v>
      </c>
      <c r="G81" s="33">
        <f>$C81*G$67*'Modelling Assumptions'!G$102</f>
        <v>0</v>
      </c>
      <c r="H81" s="33">
        <f>$C81*H$67*'Modelling Assumptions'!H$102</f>
        <v>0</v>
      </c>
      <c r="I81" s="33">
        <f>$C81*I$67*'Modelling Assumptions'!I$102</f>
        <v>0</v>
      </c>
    </row>
    <row r="82" spans="1:9" x14ac:dyDescent="0.3">
      <c r="A82" s="14" t="s">
        <v>1649</v>
      </c>
      <c r="B82" s="40">
        <f>B76</f>
        <v>150</v>
      </c>
      <c r="C82" s="40">
        <f>B82*$C$26</f>
        <v>21600</v>
      </c>
      <c r="D82" s="69">
        <f>C82*SUMPRODUCT(LabourAdjustmentFactor,E$67:I$67)</f>
        <v>23260.837499999998</v>
      </c>
      <c r="E82" s="33">
        <f>$C82*E$67*'Modelling Assumptions'!E$101</f>
        <v>0</v>
      </c>
      <c r="F82" s="33">
        <f>$C82*F$67*'Modelling Assumptions'!F$101</f>
        <v>0</v>
      </c>
      <c r="G82" s="33">
        <f>$C82*G$67*'Modelling Assumptions'!G$101</f>
        <v>23260.837499999998</v>
      </c>
      <c r="H82" s="33">
        <f>$C82*H$67*'Modelling Assumptions'!H$101</f>
        <v>0</v>
      </c>
      <c r="I82" s="33">
        <f>$C82*I$67*'Modelling Assumptions'!I$101</f>
        <v>0</v>
      </c>
    </row>
    <row r="83" spans="1:9" x14ac:dyDescent="0.3">
      <c r="A83" s="14" t="s">
        <v>1650</v>
      </c>
      <c r="B83" s="40">
        <f>B77</f>
        <v>0</v>
      </c>
      <c r="C83" s="40">
        <f>B83*$C$26</f>
        <v>0</v>
      </c>
      <c r="D83" s="33">
        <f>C83*SUMPRODUCT(MaterialsAdjustmentFactor,E$67:I$67)</f>
        <v>0</v>
      </c>
      <c r="E83" s="33">
        <f>$C83*E$67*'Modelling Assumptions'!E$102</f>
        <v>0</v>
      </c>
      <c r="F83" s="33">
        <f>$C83*F$67*'Modelling Assumptions'!F$102</f>
        <v>0</v>
      </c>
      <c r="G83" s="33">
        <f>$C83*G$67*'Modelling Assumptions'!G$102</f>
        <v>0</v>
      </c>
      <c r="H83" s="33">
        <f>$C83*H$67*'Modelling Assumptions'!H$102</f>
        <v>0</v>
      </c>
      <c r="I83" s="33">
        <f>$C83*I$67*'Modelling Assumptions'!I$102</f>
        <v>0</v>
      </c>
    </row>
    <row r="84" spans="1:9" x14ac:dyDescent="0.3">
      <c r="A84" s="14"/>
      <c r="B84" s="14"/>
      <c r="C84" s="14"/>
    </row>
    <row r="85" spans="1:9" x14ac:dyDescent="0.3">
      <c r="A85" s="14"/>
      <c r="B85" s="14"/>
      <c r="C85" s="14"/>
    </row>
    <row r="86" spans="1:9" x14ac:dyDescent="0.3">
      <c r="A86" s="14"/>
      <c r="B86" s="14"/>
      <c r="C86" s="14"/>
    </row>
    <row r="87" spans="1:9" x14ac:dyDescent="0.3">
      <c r="A87" s="14"/>
      <c r="B87" s="14"/>
      <c r="C87" s="14"/>
    </row>
    <row r="88" spans="1:9" x14ac:dyDescent="0.3">
      <c r="A88" s="14"/>
      <c r="B88" s="14"/>
      <c r="C88" s="14"/>
    </row>
    <row r="89" spans="1:9" x14ac:dyDescent="0.3">
      <c r="A89" s="10" t="s">
        <v>1641</v>
      </c>
      <c r="B89" s="44"/>
      <c r="C89" s="44"/>
      <c r="D89" s="10"/>
      <c r="E89" s="10"/>
      <c r="F89" s="10"/>
      <c r="G89" s="10"/>
      <c r="H89" s="10"/>
      <c r="I89" s="10"/>
    </row>
    <row r="90" spans="1:9" x14ac:dyDescent="0.3">
      <c r="A90" t="s">
        <v>3</v>
      </c>
      <c r="B90" t="s">
        <v>2</v>
      </c>
      <c r="C90" t="s">
        <v>1</v>
      </c>
    </row>
    <row r="91" spans="1:9" x14ac:dyDescent="0.3">
      <c r="A91" t="s">
        <v>1288</v>
      </c>
      <c r="B91" t="s">
        <v>12</v>
      </c>
    </row>
    <row r="92" spans="1:9" x14ac:dyDescent="0.3">
      <c r="A92" t="s">
        <v>35</v>
      </c>
      <c r="B92" t="s">
        <v>34</v>
      </c>
      <c r="C92" t="s">
        <v>8</v>
      </c>
      <c r="D92" t="s">
        <v>29</v>
      </c>
    </row>
    <row r="93" spans="1:9" x14ac:dyDescent="0.3">
      <c r="A93" t="s">
        <v>68</v>
      </c>
      <c r="B93" t="s">
        <v>34</v>
      </c>
      <c r="C93" t="s">
        <v>8</v>
      </c>
      <c r="D93" t="s">
        <v>44</v>
      </c>
    </row>
    <row r="94" spans="1:9" x14ac:dyDescent="0.3">
      <c r="A94" t="s">
        <v>100</v>
      </c>
      <c r="B94" t="s">
        <v>34</v>
      </c>
      <c r="C94" t="s">
        <v>8</v>
      </c>
      <c r="D94" t="s">
        <v>93</v>
      </c>
    </row>
    <row r="95" spans="1:9" x14ac:dyDescent="0.3">
      <c r="A95" t="s">
        <v>114</v>
      </c>
      <c r="B95" t="s">
        <v>34</v>
      </c>
      <c r="C95" t="s">
        <v>8</v>
      </c>
      <c r="D95" t="s">
        <v>108</v>
      </c>
    </row>
    <row r="96" spans="1:9" x14ac:dyDescent="0.3">
      <c r="A96" t="s">
        <v>333</v>
      </c>
      <c r="B96" t="s">
        <v>34</v>
      </c>
      <c r="C96" t="s">
        <v>328</v>
      </c>
      <c r="D96" t="s">
        <v>331</v>
      </c>
    </row>
    <row r="97" spans="1:4" x14ac:dyDescent="0.3">
      <c r="A97" t="s">
        <v>341</v>
      </c>
      <c r="B97" t="s">
        <v>34</v>
      </c>
      <c r="C97" t="s">
        <v>328</v>
      </c>
      <c r="D97" t="s">
        <v>335</v>
      </c>
    </row>
    <row r="98" spans="1:4" x14ac:dyDescent="0.3">
      <c r="A98" t="s">
        <v>352</v>
      </c>
      <c r="B98" t="s">
        <v>34</v>
      </c>
      <c r="C98" t="s">
        <v>328</v>
      </c>
      <c r="D98" t="s">
        <v>346</v>
      </c>
    </row>
    <row r="99" spans="1:4" x14ac:dyDescent="0.3">
      <c r="A99" t="s">
        <v>364</v>
      </c>
      <c r="B99" t="s">
        <v>34</v>
      </c>
      <c r="C99" t="s">
        <v>328</v>
      </c>
      <c r="D99" t="s">
        <v>358</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8C800"/>
    <pageSetUpPr fitToPage="1"/>
  </sheetPr>
  <dimension ref="A1:I54"/>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195</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D35</f>
        <v>12817.167065775702</v>
      </c>
      <c r="E3" s="33">
        <f t="shared" si="0"/>
        <v>2438.4258</v>
      </c>
      <c r="F3" s="33">
        <f t="shared" si="0"/>
        <v>2499.3864450000001</v>
      </c>
      <c r="G3" s="33">
        <f t="shared" si="0"/>
        <v>2561.8711061250001</v>
      </c>
      <c r="H3" s="33">
        <f t="shared" si="0"/>
        <v>2625.9178837781246</v>
      </c>
      <c r="I3" s="33">
        <f t="shared" si="0"/>
        <v>2691.5658308725774</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2155.0946914062497</v>
      </c>
      <c r="E5" s="33">
        <f t="shared" si="0"/>
        <v>409.99999999999994</v>
      </c>
      <c r="F5" s="33">
        <f t="shared" si="0"/>
        <v>420.24999999999994</v>
      </c>
      <c r="G5" s="33">
        <f t="shared" si="0"/>
        <v>430.75624999999997</v>
      </c>
      <c r="H5" s="33">
        <f t="shared" si="0"/>
        <v>441.5251562499999</v>
      </c>
      <c r="I5" s="33">
        <f t="shared" si="0"/>
        <v>452.56328515624989</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3" spans="1:9" ht="15" x14ac:dyDescent="0.25">
      <c r="A13" t="s">
        <v>1675</v>
      </c>
    </row>
    <row r="14" spans="1:9" ht="15" x14ac:dyDescent="0.25">
      <c r="B14" s="39" t="s">
        <v>1675</v>
      </c>
      <c r="C14" s="39">
        <v>2</v>
      </c>
    </row>
    <row r="15" spans="1:9" ht="15" x14ac:dyDescent="0.25">
      <c r="A15" s="12" t="s">
        <v>1640</v>
      </c>
      <c r="B15" s="12"/>
      <c r="C15" s="12">
        <f>C14</f>
        <v>2</v>
      </c>
    </row>
    <row r="17" spans="1:9" s="301" customFormat="1" ht="15" x14ac:dyDescent="0.25">
      <c r="A17" s="301" t="s">
        <v>1992</v>
      </c>
    </row>
    <row r="18" spans="1:9" s="301" customFormat="1" ht="15" x14ac:dyDescent="0.25">
      <c r="A18" s="301" t="s">
        <v>3258</v>
      </c>
    </row>
    <row r="19" spans="1:9" s="301" customFormat="1" ht="15" x14ac:dyDescent="0.25">
      <c r="A19" s="301" t="s">
        <v>3254</v>
      </c>
    </row>
    <row r="20" spans="1:9" s="301" customFormat="1" ht="15" x14ac:dyDescent="0.25"/>
    <row r="21" spans="1:9" ht="15" x14ac:dyDescent="0.25">
      <c r="B21" s="39"/>
      <c r="C21" s="39"/>
      <c r="E21" s="30" t="str">
        <f>Summary!C4</f>
        <v>2015/16</v>
      </c>
      <c r="F21" s="30" t="str">
        <f>Summary!D4</f>
        <v>2016/17</v>
      </c>
      <c r="G21" s="30" t="str">
        <f>Summary!E4</f>
        <v>2017/18</v>
      </c>
      <c r="H21" s="30" t="str">
        <f>Summary!F4</f>
        <v>2018/19</v>
      </c>
      <c r="I21" s="30" t="str">
        <f>Summary!G4</f>
        <v>2019/20</v>
      </c>
    </row>
    <row r="22" spans="1:9" x14ac:dyDescent="0.3">
      <c r="A22" s="16" t="s">
        <v>1282</v>
      </c>
      <c r="B22" s="16" t="s">
        <v>51</v>
      </c>
      <c r="C22" s="43"/>
      <c r="D22" s="16"/>
      <c r="E22" s="16">
        <v>2</v>
      </c>
      <c r="F22" s="16">
        <v>2</v>
      </c>
      <c r="G22" s="16">
        <v>2</v>
      </c>
      <c r="H22" s="16">
        <v>2</v>
      </c>
      <c r="I22" s="16">
        <v>2</v>
      </c>
    </row>
    <row r="23" spans="1:9" ht="15" x14ac:dyDescent="0.25">
      <c r="A23" s="8" t="s">
        <v>1646</v>
      </c>
      <c r="C23" s="39"/>
    </row>
    <row r="24" spans="1:9" ht="15" x14ac:dyDescent="0.25">
      <c r="A24" s="14" t="s">
        <v>1658</v>
      </c>
      <c r="B24" s="15">
        <f>APATechnicianHours/C15</f>
        <v>0.5</v>
      </c>
      <c r="C24" s="14" t="s">
        <v>1676</v>
      </c>
    </row>
    <row r="25" spans="1:9" ht="15" x14ac:dyDescent="0.25">
      <c r="A25" s="14" t="s">
        <v>1997</v>
      </c>
      <c r="B25" s="74">
        <f>APASupervisorHours/C15</f>
        <v>4.291666666666667</v>
      </c>
      <c r="C25" s="14" t="s">
        <v>1676</v>
      </c>
    </row>
    <row r="26" spans="1:9" ht="15" x14ac:dyDescent="0.25">
      <c r="A26" s="14" t="s">
        <v>1643</v>
      </c>
      <c r="B26" s="55">
        <v>0</v>
      </c>
      <c r="C26" s="14"/>
    </row>
    <row r="27" spans="1:9" ht="15" x14ac:dyDescent="0.25">
      <c r="A27" s="14"/>
      <c r="B27" s="41"/>
      <c r="C27" s="14"/>
    </row>
    <row r="28" spans="1:9" ht="15" x14ac:dyDescent="0.25">
      <c r="A28" s="42" t="s">
        <v>1647</v>
      </c>
      <c r="B28" s="7"/>
      <c r="C28" s="14"/>
    </row>
    <row r="29" spans="1:9" ht="15" x14ac:dyDescent="0.25">
      <c r="A29" s="14" t="s">
        <v>1656</v>
      </c>
      <c r="B29" s="7"/>
      <c r="C29" s="14"/>
    </row>
    <row r="30" spans="1:9" ht="15" x14ac:dyDescent="0.25">
      <c r="A30" s="14" t="s">
        <v>1651</v>
      </c>
      <c r="B30" s="41"/>
    </row>
    <row r="31" spans="1:9" x14ac:dyDescent="0.3">
      <c r="A31" s="14" t="s">
        <v>1649</v>
      </c>
      <c r="B31" s="55">
        <v>100</v>
      </c>
      <c r="C31" s="14" t="s">
        <v>3469</v>
      </c>
    </row>
    <row r="32" spans="1:9" x14ac:dyDescent="0.3">
      <c r="A32" s="14" t="s">
        <v>1650</v>
      </c>
      <c r="B32" s="41">
        <v>0</v>
      </c>
      <c r="C32" s="7"/>
    </row>
    <row r="33" spans="1:9" x14ac:dyDescent="0.3">
      <c r="A33" s="14"/>
      <c r="B33" s="14"/>
      <c r="C33" s="14"/>
    </row>
    <row r="34" spans="1:9" x14ac:dyDescent="0.3">
      <c r="A34" s="14"/>
      <c r="B34" s="46" t="s">
        <v>2712</v>
      </c>
      <c r="C34" s="46" t="s">
        <v>2718</v>
      </c>
      <c r="D34" s="30"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594.73800000000006</v>
      </c>
      <c r="C35" s="40">
        <f>B35*$C$15</f>
        <v>1189.4760000000001</v>
      </c>
      <c r="D35" s="33">
        <f>C35*SUMPRODUCT(LabourAdjustmentFactor,E$22:I$22)</f>
        <v>12817.167065775702</v>
      </c>
      <c r="E35" s="33">
        <f>$C35*E$22*'Modelling Assumptions'!E$101</f>
        <v>2438.4258</v>
      </c>
      <c r="F35" s="33">
        <f>$C35*F$22*'Modelling Assumptions'!F$101</f>
        <v>2499.3864450000001</v>
      </c>
      <c r="G35" s="33">
        <f>$C35*G$22*'Modelling Assumptions'!G$101</f>
        <v>2561.8711061250001</v>
      </c>
      <c r="H35" s="33">
        <f>$C35*H$22*'Modelling Assumptions'!H$101</f>
        <v>2625.9178837781246</v>
      </c>
      <c r="I35" s="33">
        <f>$C35*I$22*'Modelling Assumptions'!I$101</f>
        <v>2691.5658308725774</v>
      </c>
    </row>
    <row r="36" spans="1:9" x14ac:dyDescent="0.3">
      <c r="A36" s="14" t="s">
        <v>1643</v>
      </c>
      <c r="B36" s="40">
        <f>B26</f>
        <v>0</v>
      </c>
      <c r="C36" s="40">
        <f>B36*$C$15</f>
        <v>0</v>
      </c>
      <c r="D36" s="33">
        <f>C36*SUMPRODUCT(MaterialsAdjustmentFactor,E$22:I$22)</f>
        <v>0</v>
      </c>
      <c r="E36" s="33">
        <f>$C36*E$22*'Modelling Assumptions'!E$102</f>
        <v>0</v>
      </c>
      <c r="F36" s="33">
        <f>$C36*F$22*'Modelling Assumptions'!F$102</f>
        <v>0</v>
      </c>
      <c r="G36" s="33">
        <f>$C36*G$22*'Modelling Assumptions'!G$102</f>
        <v>0</v>
      </c>
      <c r="H36" s="33">
        <f>$C36*H$22*'Modelling Assumptions'!H$102</f>
        <v>0</v>
      </c>
      <c r="I36" s="33">
        <f>$C36*I$22*'Modelling Assumptions'!I$102</f>
        <v>0</v>
      </c>
    </row>
    <row r="37" spans="1:9" x14ac:dyDescent="0.3">
      <c r="A37" s="14" t="s">
        <v>1649</v>
      </c>
      <c r="B37" s="40">
        <f>B31</f>
        <v>100</v>
      </c>
      <c r="C37" s="40">
        <f>B37*$C$15</f>
        <v>200</v>
      </c>
      <c r="D37" s="33">
        <f>C37*SUMPRODUCT(LabourAdjustmentFactor,E$22:I$22)</f>
        <v>2155.0946914062497</v>
      </c>
      <c r="E37" s="33">
        <f>$C37*E$22*'Modelling Assumptions'!E$101</f>
        <v>409.99999999999994</v>
      </c>
      <c r="F37" s="33">
        <f>$C37*F$22*'Modelling Assumptions'!F$101</f>
        <v>420.24999999999994</v>
      </c>
      <c r="G37" s="33">
        <f>$C37*G$22*'Modelling Assumptions'!G$101</f>
        <v>430.75624999999997</v>
      </c>
      <c r="H37" s="33">
        <f>$C37*H$22*'Modelling Assumptions'!H$101</f>
        <v>441.5251562499999</v>
      </c>
      <c r="I37" s="33">
        <f>$C37*I$22*'Modelling Assumptions'!I$101</f>
        <v>452.56328515624989</v>
      </c>
    </row>
    <row r="38" spans="1:9" x14ac:dyDescent="0.3">
      <c r="A38" s="14" t="s">
        <v>1650</v>
      </c>
      <c r="B38" s="40">
        <f>B32</f>
        <v>0</v>
      </c>
      <c r="C38" s="40">
        <f>B38*$C$15</f>
        <v>0</v>
      </c>
      <c r="D38" s="33">
        <f>C38*SUMPRODUCT(MaterialsAdjustmentFactor,E$22:I$22)</f>
        <v>0</v>
      </c>
      <c r="E38" s="33">
        <f>$C38*E$22*'Modelling Assumptions'!E$102</f>
        <v>0</v>
      </c>
      <c r="F38" s="33">
        <f>$C38*F$22*'Modelling Assumptions'!F$102</f>
        <v>0</v>
      </c>
      <c r="G38" s="33">
        <f>$C38*G$22*'Modelling Assumptions'!G$102</f>
        <v>0</v>
      </c>
      <c r="H38" s="33">
        <f>$C38*H$22*'Modelling Assumptions'!H$102</f>
        <v>0</v>
      </c>
      <c r="I38" s="33">
        <f>$C38*I$22*'Modelling Assumptions'!I$102</f>
        <v>0</v>
      </c>
    </row>
    <row r="39" spans="1:9" x14ac:dyDescent="0.3">
      <c r="A39" s="14"/>
      <c r="B39" s="14"/>
      <c r="C39" s="14"/>
    </row>
    <row r="40" spans="1:9" x14ac:dyDescent="0.3">
      <c r="A40" s="14"/>
      <c r="B40" s="14"/>
      <c r="C40" s="14"/>
    </row>
    <row r="41" spans="1:9" x14ac:dyDescent="0.3">
      <c r="A41" s="14"/>
      <c r="B41" s="14"/>
      <c r="C41" s="14"/>
    </row>
    <row r="42" spans="1:9" x14ac:dyDescent="0.3">
      <c r="A42" s="10" t="s">
        <v>1641</v>
      </c>
      <c r="B42" s="44"/>
      <c r="C42" s="44"/>
      <c r="D42" s="10"/>
      <c r="E42" s="10"/>
      <c r="F42" s="10"/>
      <c r="G42" s="10"/>
      <c r="H42" s="10"/>
      <c r="I42" s="10"/>
    </row>
    <row r="43" spans="1:9" x14ac:dyDescent="0.3">
      <c r="A43" t="s">
        <v>3</v>
      </c>
      <c r="B43" t="s">
        <v>2</v>
      </c>
      <c r="C43" t="s">
        <v>1</v>
      </c>
    </row>
    <row r="44" spans="1:9" x14ac:dyDescent="0.3">
      <c r="A44" t="s">
        <v>1282</v>
      </c>
      <c r="B44" t="s">
        <v>51</v>
      </c>
    </row>
    <row r="45" spans="1:9" x14ac:dyDescent="0.3">
      <c r="A45" t="s">
        <v>196</v>
      </c>
      <c r="B45" t="s">
        <v>195</v>
      </c>
      <c r="C45" t="s">
        <v>145</v>
      </c>
      <c r="D45" t="s">
        <v>194</v>
      </c>
    </row>
    <row r="46" spans="1:9" x14ac:dyDescent="0.3">
      <c r="A46" t="s">
        <v>196</v>
      </c>
      <c r="B46" t="s">
        <v>195</v>
      </c>
      <c r="C46" t="s">
        <v>385</v>
      </c>
      <c r="D46" t="s">
        <v>402</v>
      </c>
    </row>
    <row r="52" spans="1:5" x14ac:dyDescent="0.3">
      <c r="A52" t="s">
        <v>1098</v>
      </c>
      <c r="B52" t="s">
        <v>525</v>
      </c>
    </row>
    <row r="53" spans="1:5" x14ac:dyDescent="0.3">
      <c r="A53" t="s">
        <v>1283</v>
      </c>
      <c r="B53" t="s">
        <v>1121</v>
      </c>
      <c r="C53" t="s">
        <v>1101</v>
      </c>
      <c r="D53" s="29">
        <v>41536.416666666664</v>
      </c>
      <c r="E53" t="s">
        <v>1284</v>
      </c>
    </row>
    <row r="54" spans="1:5" x14ac:dyDescent="0.3">
      <c r="A54" t="s">
        <v>1285</v>
      </c>
      <c r="B54" t="s">
        <v>1100</v>
      </c>
      <c r="C54" t="s">
        <v>1101</v>
      </c>
      <c r="D54" s="29">
        <v>41565.489583333336</v>
      </c>
      <c r="E54" t="s">
        <v>1286</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8C800"/>
    <pageSetUpPr fitToPage="1"/>
  </sheetPr>
  <dimension ref="A1:I46"/>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317</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D37</f>
        <v>4068.0375555493647</v>
      </c>
      <c r="E3" s="33">
        <f t="shared" si="0"/>
        <v>773.931375</v>
      </c>
      <c r="F3" s="33">
        <f t="shared" si="0"/>
        <v>793.27965937500005</v>
      </c>
      <c r="G3" s="33">
        <f t="shared" si="0"/>
        <v>813.111650859375</v>
      </c>
      <c r="H3" s="33">
        <f t="shared" si="0"/>
        <v>833.43944213085922</v>
      </c>
      <c r="I3" s="33">
        <f t="shared" si="0"/>
        <v>854.27542818413065</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3" spans="1:9" ht="15" x14ac:dyDescent="0.25">
      <c r="A13" t="s">
        <v>3498</v>
      </c>
    </row>
    <row r="14" spans="1:9" ht="15" x14ac:dyDescent="0.25">
      <c r="B14" s="39" t="s">
        <v>1926</v>
      </c>
      <c r="C14" s="39">
        <v>1</v>
      </c>
      <c r="D14" t="s">
        <v>1927</v>
      </c>
    </row>
    <row r="15" spans="1:9" ht="15" x14ac:dyDescent="0.25">
      <c r="A15" s="12" t="s">
        <v>1640</v>
      </c>
      <c r="B15" s="12"/>
      <c r="C15" s="12">
        <f>C14</f>
        <v>1</v>
      </c>
    </row>
    <row r="17" spans="1:9" ht="15" x14ac:dyDescent="0.25">
      <c r="A17" t="s">
        <v>1992</v>
      </c>
    </row>
    <row r="18" spans="1:9" ht="15" x14ac:dyDescent="0.25">
      <c r="A18" t="s">
        <v>2395</v>
      </c>
    </row>
    <row r="19" spans="1:9" ht="15" x14ac:dyDescent="0.25">
      <c r="A19" t="s">
        <v>2021</v>
      </c>
      <c r="B19" t="s">
        <v>2022</v>
      </c>
    </row>
    <row r="20" spans="1:9" ht="15" x14ac:dyDescent="0.25">
      <c r="A20" t="s">
        <v>2023</v>
      </c>
      <c r="B20" t="s">
        <v>2024</v>
      </c>
    </row>
    <row r="21" spans="1:9" s="301" customFormat="1" ht="15" x14ac:dyDescent="0.25">
      <c r="A21" s="301" t="s">
        <v>3254</v>
      </c>
    </row>
    <row r="23" spans="1:9" ht="15" x14ac:dyDescent="0.25">
      <c r="B23" s="39"/>
      <c r="C23" s="39"/>
      <c r="E23" s="30" t="str">
        <f>Summary!C4</f>
        <v>2015/16</v>
      </c>
      <c r="F23" s="30" t="str">
        <f>Summary!D4</f>
        <v>2016/17</v>
      </c>
      <c r="G23" s="30" t="str">
        <f>Summary!E4</f>
        <v>2017/18</v>
      </c>
      <c r="H23" s="30" t="str">
        <f>Summary!F4</f>
        <v>2018/19</v>
      </c>
      <c r="I23" s="30" t="str">
        <f>Summary!G4</f>
        <v>2019/20</v>
      </c>
    </row>
    <row r="24" spans="1:9" x14ac:dyDescent="0.3">
      <c r="A24" s="16" t="s">
        <v>1281</v>
      </c>
      <c r="B24" s="16" t="s">
        <v>51</v>
      </c>
      <c r="C24" s="43"/>
      <c r="D24" s="16"/>
      <c r="E24" s="16">
        <v>2</v>
      </c>
      <c r="F24" s="16">
        <v>2</v>
      </c>
      <c r="G24" s="16">
        <v>2</v>
      </c>
      <c r="H24" s="16">
        <v>2</v>
      </c>
      <c r="I24" s="16">
        <v>2</v>
      </c>
    </row>
    <row r="25" spans="1:9" ht="15" x14ac:dyDescent="0.25">
      <c r="A25" s="8" t="s">
        <v>1646</v>
      </c>
      <c r="C25" s="39"/>
    </row>
    <row r="26" spans="1:9" ht="15" x14ac:dyDescent="0.25">
      <c r="A26" s="14" t="s">
        <v>1658</v>
      </c>
      <c r="B26" s="15">
        <v>2.5</v>
      </c>
      <c r="C26" s="79" t="s">
        <v>2025</v>
      </c>
    </row>
    <row r="27" spans="1:9" ht="15" x14ac:dyDescent="0.25">
      <c r="A27" s="14" t="s">
        <v>1997</v>
      </c>
      <c r="B27" s="15">
        <v>1</v>
      </c>
      <c r="C27" s="14" t="s">
        <v>2189</v>
      </c>
    </row>
    <row r="28" spans="1:9" ht="15" x14ac:dyDescent="0.25">
      <c r="A28" s="14" t="s">
        <v>1643</v>
      </c>
      <c r="B28" s="55">
        <v>0</v>
      </c>
      <c r="C28" s="14"/>
    </row>
    <row r="29" spans="1:9" ht="15" x14ac:dyDescent="0.25">
      <c r="A29" s="14"/>
      <c r="B29" s="55"/>
      <c r="C29" s="14"/>
    </row>
    <row r="30" spans="1:9" ht="15" x14ac:dyDescent="0.25">
      <c r="A30" s="42" t="s">
        <v>1647</v>
      </c>
      <c r="B30" s="15"/>
      <c r="C30" s="14"/>
    </row>
    <row r="31" spans="1:9" x14ac:dyDescent="0.3">
      <c r="A31" s="14" t="s">
        <v>1656</v>
      </c>
      <c r="B31" s="15"/>
      <c r="C31" s="14"/>
    </row>
    <row r="32" spans="1:9" x14ac:dyDescent="0.3">
      <c r="A32" s="14" t="s">
        <v>1651</v>
      </c>
      <c r="B32" s="55"/>
    </row>
    <row r="33" spans="1:9" x14ac:dyDescent="0.3">
      <c r="A33" s="14" t="s">
        <v>1649</v>
      </c>
      <c r="B33" s="55">
        <v>0</v>
      </c>
      <c r="C33" s="14"/>
    </row>
    <row r="34" spans="1:9" x14ac:dyDescent="0.3">
      <c r="A34" s="14" t="s">
        <v>1650</v>
      </c>
      <c r="B34" s="55">
        <v>0</v>
      </c>
      <c r="C34" s="7"/>
    </row>
    <row r="35" spans="1:9" x14ac:dyDescent="0.3">
      <c r="A35" s="14"/>
      <c r="B35" s="14"/>
      <c r="C35" s="14"/>
    </row>
    <row r="36" spans="1:9" x14ac:dyDescent="0.3">
      <c r="A36" s="14"/>
      <c r="B36" s="46" t="s">
        <v>2712</v>
      </c>
      <c r="C36" s="46" t="s">
        <v>2720</v>
      </c>
      <c r="D36" s="30" t="s">
        <v>1655</v>
      </c>
      <c r="E36" s="30" t="str">
        <f>Summary!C4</f>
        <v>2015/16</v>
      </c>
      <c r="F36" s="30" t="str">
        <f>Summary!D4</f>
        <v>2016/17</v>
      </c>
      <c r="G36" s="30" t="str">
        <f>Summary!E4</f>
        <v>2017/18</v>
      </c>
      <c r="H36" s="30" t="str">
        <f>Summary!F4</f>
        <v>2018/19</v>
      </c>
      <c r="I36" s="30" t="str">
        <f>Summary!G4</f>
        <v>2019/20</v>
      </c>
    </row>
    <row r="37" spans="1:9" x14ac:dyDescent="0.3">
      <c r="A37" s="14" t="s">
        <v>1648</v>
      </c>
      <c r="B37" s="40">
        <f>B26*HourlyRateAPAMaintenanceStaff+B27*HourlyRateAPAOMSupervisor</f>
        <v>377.52750000000003</v>
      </c>
      <c r="C37" s="40">
        <f>B37*$C$15</f>
        <v>377.52750000000003</v>
      </c>
      <c r="D37" s="33">
        <f>C37*SUMPRODUCT(LabourAdjustmentFactor,E$24:I$24)</f>
        <v>4068.0375555493647</v>
      </c>
      <c r="E37" s="33">
        <f>$C37*E$24*'Modelling Assumptions'!E$101</f>
        <v>773.931375</v>
      </c>
      <c r="F37" s="33">
        <f>$C37*F$24*'Modelling Assumptions'!F$101</f>
        <v>793.27965937500005</v>
      </c>
      <c r="G37" s="33">
        <f>$C37*G$24*'Modelling Assumptions'!G$101</f>
        <v>813.111650859375</v>
      </c>
      <c r="H37" s="33">
        <f>$C37*H$24*'Modelling Assumptions'!H$101</f>
        <v>833.43944213085922</v>
      </c>
      <c r="I37" s="33">
        <f>$C37*I$24*'Modelling Assumptions'!I$101</f>
        <v>854.27542818413065</v>
      </c>
    </row>
    <row r="38" spans="1:9" x14ac:dyDescent="0.3">
      <c r="A38" s="14" t="s">
        <v>1643</v>
      </c>
      <c r="B38" s="40">
        <f>B28</f>
        <v>0</v>
      </c>
      <c r="C38" s="40">
        <f>B38*$C$15</f>
        <v>0</v>
      </c>
      <c r="D38" s="33">
        <f>C38*SUMPRODUCT(MaterialsAdjustmentFactor,E$24:I$24)</f>
        <v>0</v>
      </c>
      <c r="E38" s="33">
        <f>$C38*E$24*'Modelling Assumptions'!E$102</f>
        <v>0</v>
      </c>
      <c r="F38" s="33">
        <f>$C38*F$24*'Modelling Assumptions'!F$102</f>
        <v>0</v>
      </c>
      <c r="G38" s="33">
        <f>$C38*G$24*'Modelling Assumptions'!G$102</f>
        <v>0</v>
      </c>
      <c r="H38" s="33">
        <f>$C38*H$24*'Modelling Assumptions'!H$102</f>
        <v>0</v>
      </c>
      <c r="I38" s="33">
        <f>$C38*I$24*'Modelling Assumptions'!I$102</f>
        <v>0</v>
      </c>
    </row>
    <row r="39" spans="1:9" x14ac:dyDescent="0.3">
      <c r="A39" s="14" t="s">
        <v>1649</v>
      </c>
      <c r="B39" s="40">
        <f>B33</f>
        <v>0</v>
      </c>
      <c r="C39" s="40">
        <f>B39*$C$15</f>
        <v>0</v>
      </c>
      <c r="D39" s="33">
        <f>C39*SUMPRODUCT(LabourAdjustmentFactor,E$24:I$24)</f>
        <v>0</v>
      </c>
      <c r="E39" s="33">
        <f>$C39*E$24*'Modelling Assumptions'!E$101</f>
        <v>0</v>
      </c>
      <c r="F39" s="33">
        <f>$C39*F$24*'Modelling Assumptions'!F$101</f>
        <v>0</v>
      </c>
      <c r="G39" s="33">
        <f>$C39*G$24*'Modelling Assumptions'!G$101</f>
        <v>0</v>
      </c>
      <c r="H39" s="33">
        <f>$C39*H$24*'Modelling Assumptions'!H$101</f>
        <v>0</v>
      </c>
      <c r="I39" s="33">
        <f>$C39*I$24*'Modelling Assumptions'!I$101</f>
        <v>0</v>
      </c>
    </row>
    <row r="40" spans="1:9" x14ac:dyDescent="0.3">
      <c r="A40" s="14" t="s">
        <v>1650</v>
      </c>
      <c r="B40" s="40">
        <f>B34</f>
        <v>0</v>
      </c>
      <c r="C40" s="40">
        <f>B40*$C$15</f>
        <v>0</v>
      </c>
      <c r="D40" s="33">
        <f>C40*SUMPRODUCT(MaterialsAdjustmentFactor,E$24:I$24)</f>
        <v>0</v>
      </c>
      <c r="E40" s="33">
        <f>$C40*E$24*'Modelling Assumptions'!E$102</f>
        <v>0</v>
      </c>
      <c r="F40" s="33">
        <f>$C40*F$24*'Modelling Assumptions'!F$102</f>
        <v>0</v>
      </c>
      <c r="G40" s="33">
        <f>$C40*G$24*'Modelling Assumptions'!G$102</f>
        <v>0</v>
      </c>
      <c r="H40" s="33">
        <f>$C40*H$24*'Modelling Assumptions'!H$102</f>
        <v>0</v>
      </c>
      <c r="I40" s="33">
        <f>$C40*I$24*'Modelling Assumptions'!I$102</f>
        <v>0</v>
      </c>
    </row>
    <row r="41" spans="1:9" x14ac:dyDescent="0.3">
      <c r="A41" s="14"/>
      <c r="B41" s="14"/>
      <c r="C41" s="14"/>
    </row>
    <row r="42" spans="1:9" x14ac:dyDescent="0.3">
      <c r="A42" s="14"/>
      <c r="B42" s="14"/>
      <c r="C42" s="14"/>
    </row>
    <row r="43" spans="1:9" x14ac:dyDescent="0.3">
      <c r="A43" s="14"/>
      <c r="B43" s="14"/>
      <c r="C43" s="14"/>
    </row>
    <row r="44" spans="1:9" x14ac:dyDescent="0.3">
      <c r="A44" s="10" t="s">
        <v>1641</v>
      </c>
      <c r="B44" s="44"/>
      <c r="C44" s="44"/>
      <c r="D44" s="10"/>
      <c r="E44" s="10"/>
      <c r="F44" s="10"/>
      <c r="G44" s="10"/>
      <c r="H44" s="10"/>
      <c r="I44" s="10"/>
    </row>
    <row r="45" spans="1:9" x14ac:dyDescent="0.3">
      <c r="A45" t="s">
        <v>3</v>
      </c>
      <c r="B45" t="s">
        <v>2</v>
      </c>
      <c r="C45" t="s">
        <v>1</v>
      </c>
    </row>
    <row r="46" spans="1:9" x14ac:dyDescent="0.3">
      <c r="A46" t="s">
        <v>318</v>
      </c>
      <c r="B46" t="s">
        <v>317</v>
      </c>
      <c r="C46" t="s">
        <v>9</v>
      </c>
      <c r="D46" t="s">
        <v>316</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rgb="FFC8C800"/>
    <pageSetUpPr fitToPage="1"/>
  </sheetPr>
  <dimension ref="A1:I66"/>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77</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3" si="0">D36</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C4" s="33"/>
      <c r="D4" s="33">
        <f t="shared" ref="D4:I4" si="1">D37</f>
        <v>0</v>
      </c>
      <c r="E4" s="33">
        <f t="shared" si="1"/>
        <v>0</v>
      </c>
      <c r="F4" s="33">
        <f t="shared" si="1"/>
        <v>0</v>
      </c>
      <c r="G4" s="33">
        <f t="shared" si="1"/>
        <v>0</v>
      </c>
      <c r="H4" s="33">
        <f t="shared" si="1"/>
        <v>0</v>
      </c>
      <c r="I4" s="33">
        <f t="shared" si="1"/>
        <v>0</v>
      </c>
    </row>
    <row r="5" spans="1:9" ht="15" x14ac:dyDescent="0.25">
      <c r="A5" t="s">
        <v>1649</v>
      </c>
      <c r="B5" s="33"/>
      <c r="C5" s="33"/>
      <c r="D5" s="33">
        <f t="shared" ref="D5:I5" si="2">D38</f>
        <v>6061.2038195800769</v>
      </c>
      <c r="E5" s="33">
        <f t="shared" si="2"/>
        <v>1153.125</v>
      </c>
      <c r="F5" s="33">
        <f t="shared" si="2"/>
        <v>1181.953125</v>
      </c>
      <c r="G5" s="33">
        <f t="shared" si="2"/>
        <v>1211.5019531249998</v>
      </c>
      <c r="H5" s="33">
        <f t="shared" si="2"/>
        <v>1241.7895019531247</v>
      </c>
      <c r="I5" s="33">
        <f t="shared" si="2"/>
        <v>1272.8342395019527</v>
      </c>
    </row>
    <row r="6" spans="1:9" ht="15" x14ac:dyDescent="0.25">
      <c r="A6" t="s">
        <v>1650</v>
      </c>
      <c r="B6" s="33"/>
      <c r="C6" s="33"/>
      <c r="D6" s="33">
        <f t="shared" ref="D6:I6" si="3">D39</f>
        <v>0</v>
      </c>
      <c r="E6" s="33">
        <f t="shared" si="3"/>
        <v>0</v>
      </c>
      <c r="F6" s="33">
        <f t="shared" si="3"/>
        <v>0</v>
      </c>
      <c r="G6" s="33">
        <f t="shared" si="3"/>
        <v>0</v>
      </c>
      <c r="H6" s="33">
        <f t="shared" si="3"/>
        <v>0</v>
      </c>
      <c r="I6" s="33">
        <f t="shared" si="3"/>
        <v>0</v>
      </c>
    </row>
    <row r="9" spans="1:9" ht="15" x14ac:dyDescent="0.25">
      <c r="A9" t="s">
        <v>1497</v>
      </c>
      <c r="B9" t="s">
        <v>1499</v>
      </c>
    </row>
    <row r="10" spans="1:9" ht="15" x14ac:dyDescent="0.25">
      <c r="A10" t="s">
        <v>1500</v>
      </c>
      <c r="B10" t="s">
        <v>1503</v>
      </c>
    </row>
    <row r="13" spans="1:9" ht="15" x14ac:dyDescent="0.25">
      <c r="A13" t="s">
        <v>3504</v>
      </c>
    </row>
    <row r="14" spans="1:9" ht="15" x14ac:dyDescent="0.25">
      <c r="B14" s="39" t="s">
        <v>1627</v>
      </c>
      <c r="C14" s="39">
        <v>12</v>
      </c>
    </row>
    <row r="15" spans="1:9" ht="15" x14ac:dyDescent="0.25">
      <c r="B15" s="39" t="s">
        <v>1628</v>
      </c>
      <c r="C15" s="39">
        <v>12</v>
      </c>
    </row>
    <row r="16" spans="1:9" ht="15" x14ac:dyDescent="0.25">
      <c r="B16" s="39" t="s">
        <v>1590</v>
      </c>
      <c r="C16" s="39">
        <v>18</v>
      </c>
    </row>
    <row r="17" spans="1:9" ht="15" x14ac:dyDescent="0.25">
      <c r="B17" s="39" t="s">
        <v>1591</v>
      </c>
      <c r="C17" s="39">
        <v>18</v>
      </c>
    </row>
    <row r="18" spans="1:9" ht="15" x14ac:dyDescent="0.25">
      <c r="A18" s="12" t="s">
        <v>1640</v>
      </c>
      <c r="B18" s="12"/>
      <c r="C18" s="12">
        <f>SUM(C14:C17)</f>
        <v>60</v>
      </c>
    </row>
    <row r="20" spans="1:9" s="301" customFormat="1" ht="15" x14ac:dyDescent="0.25">
      <c r="A20" s="301" t="s">
        <v>1992</v>
      </c>
    </row>
    <row r="21" spans="1:9" s="301" customFormat="1" ht="15" x14ac:dyDescent="0.25">
      <c r="A21" s="301" t="s">
        <v>3254</v>
      </c>
    </row>
    <row r="22" spans="1:9" ht="15" x14ac:dyDescent="0.25">
      <c r="B22" s="39"/>
      <c r="C22" s="39"/>
      <c r="E22" s="30" t="str">
        <f>Summary!C4</f>
        <v>2015/16</v>
      </c>
      <c r="F22" s="30" t="str">
        <f>Summary!D4</f>
        <v>2016/17</v>
      </c>
      <c r="G22" s="30" t="str">
        <f>Summary!E4</f>
        <v>2017/18</v>
      </c>
      <c r="H22" s="30" t="str">
        <f>Summary!F4</f>
        <v>2018/19</v>
      </c>
      <c r="I22" s="30" t="str">
        <f>Summary!G4</f>
        <v>2019/20</v>
      </c>
    </row>
    <row r="23" spans="1:9" x14ac:dyDescent="0.3">
      <c r="A23" s="16" t="s">
        <v>1271</v>
      </c>
      <c r="B23" s="16" t="s">
        <v>56</v>
      </c>
      <c r="C23" s="43"/>
      <c r="D23" s="16"/>
      <c r="E23" s="16">
        <v>1</v>
      </c>
      <c r="F23" s="16">
        <v>1</v>
      </c>
      <c r="G23" s="16">
        <v>1</v>
      </c>
      <c r="H23" s="16">
        <v>1</v>
      </c>
      <c r="I23" s="16">
        <v>1</v>
      </c>
    </row>
    <row r="24" spans="1:9" ht="15" x14ac:dyDescent="0.25">
      <c r="A24" s="8" t="s">
        <v>1646</v>
      </c>
      <c r="C24" s="39"/>
    </row>
    <row r="25" spans="1:9" ht="15" x14ac:dyDescent="0.25">
      <c r="A25" s="14" t="s">
        <v>1658</v>
      </c>
      <c r="B25" s="74">
        <f>APATechnicianHours/C18</f>
        <v>1.6666666666666666E-2</v>
      </c>
      <c r="C25" s="14" t="s">
        <v>1644</v>
      </c>
    </row>
    <row r="26" spans="1:9" ht="15" x14ac:dyDescent="0.25">
      <c r="A26" s="14" t="s">
        <v>1997</v>
      </c>
      <c r="B26" s="74">
        <f>APASupervisorHours/C18</f>
        <v>0.14305555555555557</v>
      </c>
      <c r="C26" s="14" t="s">
        <v>1645</v>
      </c>
    </row>
    <row r="27" spans="1:9" ht="15" x14ac:dyDescent="0.25">
      <c r="A27" s="14" t="s">
        <v>1643</v>
      </c>
      <c r="B27" s="55">
        <v>0</v>
      </c>
      <c r="C27" s="14"/>
    </row>
    <row r="28" spans="1:9" ht="15" x14ac:dyDescent="0.25">
      <c r="A28" s="14"/>
      <c r="B28" s="55"/>
      <c r="C28" s="14"/>
    </row>
    <row r="29" spans="1:9" ht="15" x14ac:dyDescent="0.25">
      <c r="A29" s="42" t="s">
        <v>1647</v>
      </c>
      <c r="B29" s="15"/>
      <c r="C29" s="14"/>
    </row>
    <row r="30" spans="1:9" ht="15" x14ac:dyDescent="0.25">
      <c r="A30" s="14" t="s">
        <v>1656</v>
      </c>
      <c r="B30" s="15">
        <v>0.25</v>
      </c>
      <c r="C30" s="14" t="s">
        <v>1644</v>
      </c>
    </row>
    <row r="31" spans="1:9" x14ac:dyDescent="0.3">
      <c r="A31" s="14" t="s">
        <v>1651</v>
      </c>
      <c r="B31" s="55">
        <f>ElectricalContractorHourlyRate</f>
        <v>75</v>
      </c>
      <c r="C31" s="14"/>
    </row>
    <row r="32" spans="1:9" x14ac:dyDescent="0.3">
      <c r="A32" s="14" t="s">
        <v>1649</v>
      </c>
      <c r="B32" s="56">
        <f>B30*B31</f>
        <v>18.75</v>
      </c>
      <c r="C32" s="14"/>
    </row>
    <row r="33" spans="1:9" x14ac:dyDescent="0.3">
      <c r="A33" s="14" t="s">
        <v>1650</v>
      </c>
      <c r="B33" s="55">
        <v>0</v>
      </c>
      <c r="C33" s="7"/>
    </row>
    <row r="34" spans="1:9" x14ac:dyDescent="0.3">
      <c r="A34" s="14"/>
      <c r="B34" s="14"/>
      <c r="C34" s="14"/>
    </row>
    <row r="35" spans="1:9" x14ac:dyDescent="0.3">
      <c r="A35" s="14"/>
      <c r="B35" s="46" t="s">
        <v>2712</v>
      </c>
      <c r="C35" s="46" t="s">
        <v>2720</v>
      </c>
      <c r="D35" s="30" t="s">
        <v>1655</v>
      </c>
      <c r="E35" s="30" t="str">
        <f>Summary!C4</f>
        <v>2015/16</v>
      </c>
      <c r="F35" s="30" t="str">
        <f>Summary!D4</f>
        <v>2016/17</v>
      </c>
      <c r="G35" s="30" t="str">
        <f>Summary!E4</f>
        <v>2017/18</v>
      </c>
      <c r="H35" s="30" t="str">
        <f>Summary!F4</f>
        <v>2018/19</v>
      </c>
      <c r="I35" s="30" t="str">
        <f>Summary!G4</f>
        <v>2019/20</v>
      </c>
    </row>
    <row r="36" spans="1:9" x14ac:dyDescent="0.3">
      <c r="A36" s="14" t="s">
        <v>1648</v>
      </c>
      <c r="B36" s="40">
        <f>B25*HourlyRateAPAMaintenanceStaff+B26*HourlyRateAPAOMSupervisor</f>
        <v>19.824600000000004</v>
      </c>
      <c r="C36" s="40">
        <f>B36*$C$18</f>
        <v>1189.4760000000001</v>
      </c>
      <c r="D36" s="33">
        <f>C36*SUMPRODUCT(LabourAdjustmentFactor,E$23:I$23)</f>
        <v>6408.5835328878511</v>
      </c>
      <c r="E36" s="33">
        <f>$C36*E$23*'Modelling Assumptions'!E$101</f>
        <v>1219.2129</v>
      </c>
      <c r="F36" s="33">
        <f>$C36*F$23*'Modelling Assumptions'!F$101</f>
        <v>1249.6932225</v>
      </c>
      <c r="G36" s="33">
        <f>$C36*G$23*'Modelling Assumptions'!G$101</f>
        <v>1280.9355530625</v>
      </c>
      <c r="H36" s="33">
        <f>$C36*H$23*'Modelling Assumptions'!H$101</f>
        <v>1312.9589418890623</v>
      </c>
      <c r="I36" s="33">
        <f>$C36*I$23*'Modelling Assumptions'!I$101</f>
        <v>1345.7829154362887</v>
      </c>
    </row>
    <row r="37" spans="1:9" x14ac:dyDescent="0.3">
      <c r="A37" s="14" t="s">
        <v>1643</v>
      </c>
      <c r="B37" s="40">
        <f>B27</f>
        <v>0</v>
      </c>
      <c r="C37" s="40">
        <f>B37*$C$18</f>
        <v>0</v>
      </c>
      <c r="D37" s="33">
        <f>C37*SUMPRODUCT(MaterialsAdjustmentFactor,E$23:I$23)</f>
        <v>0</v>
      </c>
      <c r="E37" s="33">
        <f>$C37*E$23*'Modelling Assumptions'!E$102</f>
        <v>0</v>
      </c>
      <c r="F37" s="33">
        <f>$C37*F$23*'Modelling Assumptions'!F$102</f>
        <v>0</v>
      </c>
      <c r="G37" s="33">
        <f>$C37*G$23*'Modelling Assumptions'!G$102</f>
        <v>0</v>
      </c>
      <c r="H37" s="33">
        <f>$C37*H$23*'Modelling Assumptions'!H$102</f>
        <v>0</v>
      </c>
      <c r="I37" s="33">
        <f>$C37*I$23*'Modelling Assumptions'!I$102</f>
        <v>0</v>
      </c>
    </row>
    <row r="38" spans="1:9" x14ac:dyDescent="0.3">
      <c r="A38" s="14" t="s">
        <v>1649</v>
      </c>
      <c r="B38" s="40">
        <f>B32</f>
        <v>18.75</v>
      </c>
      <c r="C38" s="40">
        <f>B38*$C$18</f>
        <v>1125</v>
      </c>
      <c r="D38" s="33">
        <f>C38*SUMPRODUCT(LabourAdjustmentFactor,E$23:I$23)</f>
        <v>6061.2038195800769</v>
      </c>
      <c r="E38" s="33">
        <f>$C38*E$23*'Modelling Assumptions'!E$101</f>
        <v>1153.125</v>
      </c>
      <c r="F38" s="33">
        <f>$C38*F$23*'Modelling Assumptions'!F$101</f>
        <v>1181.953125</v>
      </c>
      <c r="G38" s="33">
        <f>$C38*G$23*'Modelling Assumptions'!G$101</f>
        <v>1211.5019531249998</v>
      </c>
      <c r="H38" s="33">
        <f>$C38*H$23*'Modelling Assumptions'!H$101</f>
        <v>1241.7895019531247</v>
      </c>
      <c r="I38" s="33">
        <f>$C38*I$23*'Modelling Assumptions'!I$101</f>
        <v>1272.8342395019527</v>
      </c>
    </row>
    <row r="39" spans="1:9" x14ac:dyDescent="0.3">
      <c r="A39" s="14" t="s">
        <v>1650</v>
      </c>
      <c r="B39" s="40">
        <f>B33</f>
        <v>0</v>
      </c>
      <c r="C39" s="40">
        <f>B39*$C$18</f>
        <v>0</v>
      </c>
      <c r="D39" s="33">
        <f>C39*SUMPRODUCT(MaterialsAdjustmentFactor,E$23:I$23)</f>
        <v>0</v>
      </c>
      <c r="E39" s="33">
        <f>$C39*E$23*'Modelling Assumptions'!E$102</f>
        <v>0</v>
      </c>
      <c r="F39" s="33">
        <f>$C39*F$23*'Modelling Assumptions'!F$102</f>
        <v>0</v>
      </c>
      <c r="G39" s="33">
        <f>$C39*G$23*'Modelling Assumptions'!G$102</f>
        <v>0</v>
      </c>
      <c r="H39" s="33">
        <f>$C39*H$23*'Modelling Assumptions'!H$102</f>
        <v>0</v>
      </c>
      <c r="I39" s="33">
        <f>$C39*I$23*'Modelling Assumptions'!I$102</f>
        <v>0</v>
      </c>
    </row>
    <row r="40" spans="1:9" x14ac:dyDescent="0.3">
      <c r="A40" s="14"/>
      <c r="B40" s="14"/>
      <c r="C40" s="14"/>
    </row>
    <row r="41" spans="1:9" x14ac:dyDescent="0.3">
      <c r="A41" s="14"/>
      <c r="B41" s="14"/>
      <c r="C41" s="14"/>
    </row>
    <row r="42" spans="1:9" x14ac:dyDescent="0.3">
      <c r="A42" s="14"/>
      <c r="B42" s="14"/>
      <c r="C42" s="14"/>
    </row>
    <row r="43" spans="1:9" x14ac:dyDescent="0.3">
      <c r="A43" s="10" t="s">
        <v>1641</v>
      </c>
      <c r="B43" s="44"/>
      <c r="C43" s="44"/>
      <c r="D43" s="10"/>
      <c r="E43" s="10"/>
      <c r="F43" s="10"/>
      <c r="G43" s="10"/>
      <c r="H43" s="10"/>
      <c r="I43" s="10"/>
    </row>
    <row r="44" spans="1:9" x14ac:dyDescent="0.3">
      <c r="A44" t="s">
        <v>3</v>
      </c>
      <c r="B44" t="s">
        <v>2</v>
      </c>
      <c r="C44" t="s">
        <v>1</v>
      </c>
    </row>
    <row r="45" spans="1:9" x14ac:dyDescent="0.3">
      <c r="A45" t="s">
        <v>78</v>
      </c>
      <c r="B45" t="s">
        <v>77</v>
      </c>
      <c r="C45" t="s">
        <v>8</v>
      </c>
    </row>
    <row r="46" spans="1:9" x14ac:dyDescent="0.3">
      <c r="A46" t="s">
        <v>95</v>
      </c>
      <c r="B46" t="s">
        <v>77</v>
      </c>
      <c r="C46" t="s">
        <v>8</v>
      </c>
    </row>
    <row r="47" spans="1:9" x14ac:dyDescent="0.3">
      <c r="A47" t="s">
        <v>109</v>
      </c>
      <c r="B47" t="s">
        <v>77</v>
      </c>
      <c r="C47" t="s">
        <v>8</v>
      </c>
    </row>
    <row r="48" spans="1:9" x14ac:dyDescent="0.3">
      <c r="A48" t="s">
        <v>336</v>
      </c>
      <c r="B48" t="s">
        <v>77</v>
      </c>
      <c r="C48" t="s">
        <v>328</v>
      </c>
      <c r="D48" t="s">
        <v>0</v>
      </c>
    </row>
    <row r="49" spans="1:5" x14ac:dyDescent="0.3">
      <c r="A49" t="s">
        <v>347</v>
      </c>
      <c r="B49" t="s">
        <v>77</v>
      </c>
      <c r="C49" t="s">
        <v>328</v>
      </c>
      <c r="D49" t="s">
        <v>44</v>
      </c>
    </row>
    <row r="50" spans="1:5" x14ac:dyDescent="0.3">
      <c r="A50" t="s">
        <v>359</v>
      </c>
      <c r="B50" t="s">
        <v>77</v>
      </c>
      <c r="C50" t="s">
        <v>328</v>
      </c>
      <c r="D50" t="s">
        <v>93</v>
      </c>
    </row>
    <row r="51" spans="1:5" x14ac:dyDescent="0.3">
      <c r="D51" t="s">
        <v>108</v>
      </c>
    </row>
    <row r="52" spans="1:5" x14ac:dyDescent="0.3">
      <c r="D52" t="s">
        <v>335</v>
      </c>
    </row>
    <row r="53" spans="1:5" x14ac:dyDescent="0.3">
      <c r="D53" t="s">
        <v>346</v>
      </c>
    </row>
    <row r="54" spans="1:5" x14ac:dyDescent="0.3">
      <c r="D54" t="s">
        <v>358</v>
      </c>
    </row>
    <row r="56" spans="1:5" x14ac:dyDescent="0.3">
      <c r="A56" t="s">
        <v>1098</v>
      </c>
      <c r="B56" t="s">
        <v>523</v>
      </c>
    </row>
    <row r="57" spans="1:5" x14ac:dyDescent="0.3">
      <c r="A57" t="s">
        <v>1272</v>
      </c>
      <c r="B57" t="s">
        <v>1100</v>
      </c>
      <c r="C57" t="s">
        <v>1101</v>
      </c>
    </row>
    <row r="58" spans="1:5" x14ac:dyDescent="0.3">
      <c r="A58" t="s">
        <v>1274</v>
      </c>
      <c r="B58" t="s">
        <v>1179</v>
      </c>
      <c r="C58" t="s">
        <v>1101</v>
      </c>
    </row>
    <row r="59" spans="1:5" x14ac:dyDescent="0.3">
      <c r="A59" t="s">
        <v>1276</v>
      </c>
      <c r="B59" t="s">
        <v>1121</v>
      </c>
      <c r="C59" t="s">
        <v>1101</v>
      </c>
    </row>
    <row r="60" spans="1:5" x14ac:dyDescent="0.3">
      <c r="A60" t="s">
        <v>1277</v>
      </c>
      <c r="B60" t="s">
        <v>1100</v>
      </c>
      <c r="C60" t="s">
        <v>1101</v>
      </c>
    </row>
    <row r="61" spans="1:5" x14ac:dyDescent="0.3">
      <c r="A61" t="s">
        <v>1278</v>
      </c>
      <c r="B61" t="s">
        <v>1141</v>
      </c>
      <c r="C61" t="s">
        <v>1101</v>
      </c>
      <c r="D61" s="29">
        <v>41474.57708333333</v>
      </c>
      <c r="E61" t="s">
        <v>1273</v>
      </c>
    </row>
    <row r="62" spans="1:5" x14ac:dyDescent="0.3">
      <c r="A62" t="s">
        <v>1280</v>
      </c>
      <c r="B62" t="s">
        <v>1141</v>
      </c>
      <c r="C62" t="s">
        <v>1101</v>
      </c>
      <c r="D62" s="29">
        <v>41533.580555555556</v>
      </c>
      <c r="E62" t="s">
        <v>1275</v>
      </c>
    </row>
    <row r="63" spans="1:5" x14ac:dyDescent="0.3">
      <c r="D63" s="29">
        <v>41521.570833333331</v>
      </c>
    </row>
    <row r="64" spans="1:5" x14ac:dyDescent="0.3">
      <c r="D64" s="29">
        <v>41474.577777777777</v>
      </c>
      <c r="E64" t="s">
        <v>1273</v>
      </c>
    </row>
    <row r="65" spans="4:5" x14ac:dyDescent="0.3">
      <c r="D65" s="29">
        <v>41533.575694444444</v>
      </c>
      <c r="E65" t="s">
        <v>1279</v>
      </c>
    </row>
    <row r="66" spans="4:5" x14ac:dyDescent="0.3">
      <c r="D66" s="29">
        <v>41533.575694444444</v>
      </c>
      <c r="E66" t="s">
        <v>1279</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tabColor rgb="FFC8C800"/>
    <pageSetUpPr fitToPage="1"/>
  </sheetPr>
  <dimension ref="A1:I60"/>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173</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3" si="0">D36</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C4" s="33"/>
      <c r="D4" s="33">
        <f t="shared" ref="D4:I4" si="1">D37</f>
        <v>0</v>
      </c>
      <c r="E4" s="33">
        <f t="shared" si="1"/>
        <v>0</v>
      </c>
      <c r="F4" s="33">
        <f t="shared" si="1"/>
        <v>0</v>
      </c>
      <c r="G4" s="33">
        <f t="shared" si="1"/>
        <v>0</v>
      </c>
      <c r="H4" s="33">
        <f t="shared" si="1"/>
        <v>0</v>
      </c>
      <c r="I4" s="33">
        <f t="shared" si="1"/>
        <v>0</v>
      </c>
    </row>
    <row r="5" spans="1:9" ht="15" x14ac:dyDescent="0.25">
      <c r="A5" t="s">
        <v>1649</v>
      </c>
      <c r="B5" s="33"/>
      <c r="C5" s="33"/>
      <c r="D5" s="33">
        <f t="shared" ref="D5:I5" si="2">D38</f>
        <v>10910.166875244138</v>
      </c>
      <c r="E5" s="33">
        <f t="shared" si="2"/>
        <v>2075.625</v>
      </c>
      <c r="F5" s="33">
        <f t="shared" si="2"/>
        <v>2127.515625</v>
      </c>
      <c r="G5" s="33">
        <f t="shared" si="2"/>
        <v>2180.7035156249999</v>
      </c>
      <c r="H5" s="33">
        <f t="shared" si="2"/>
        <v>2235.2211035156247</v>
      </c>
      <c r="I5" s="33">
        <f t="shared" si="2"/>
        <v>2291.101631103515</v>
      </c>
    </row>
    <row r="6" spans="1:9" ht="15" x14ac:dyDescent="0.25">
      <c r="A6" t="s">
        <v>1650</v>
      </c>
      <c r="B6" s="33"/>
      <c r="C6" s="33"/>
      <c r="D6" s="33">
        <f t="shared" ref="D6:I6" si="3">D39</f>
        <v>0</v>
      </c>
      <c r="E6" s="33">
        <f t="shared" si="3"/>
        <v>0</v>
      </c>
      <c r="F6" s="33">
        <f t="shared" si="3"/>
        <v>0</v>
      </c>
      <c r="G6" s="33">
        <f t="shared" si="3"/>
        <v>0</v>
      </c>
      <c r="H6" s="33">
        <f t="shared" si="3"/>
        <v>0</v>
      </c>
      <c r="I6" s="33">
        <f t="shared" si="3"/>
        <v>0</v>
      </c>
    </row>
    <row r="9" spans="1:9" ht="15" x14ac:dyDescent="0.25">
      <c r="A9" t="s">
        <v>1497</v>
      </c>
      <c r="B9" t="s">
        <v>1499</v>
      </c>
    </row>
    <row r="10" spans="1:9" ht="15" x14ac:dyDescent="0.25">
      <c r="A10" t="s">
        <v>1500</v>
      </c>
      <c r="B10" t="s">
        <v>1652</v>
      </c>
    </row>
    <row r="14" spans="1:9" ht="15" x14ac:dyDescent="0.25">
      <c r="A14" t="s">
        <v>3503</v>
      </c>
    </row>
    <row r="15" spans="1:9" ht="15" x14ac:dyDescent="0.25">
      <c r="B15" s="39" t="s">
        <v>1609</v>
      </c>
      <c r="C15" s="39">
        <v>18</v>
      </c>
    </row>
    <row r="16" spans="1:9" ht="15" x14ac:dyDescent="0.25">
      <c r="B16" s="39" t="s">
        <v>1610</v>
      </c>
      <c r="C16" s="39">
        <v>18</v>
      </c>
    </row>
    <row r="17" spans="1:9" ht="15" x14ac:dyDescent="0.25">
      <c r="B17" s="39" t="s">
        <v>1611</v>
      </c>
      <c r="C17" s="39">
        <v>18</v>
      </c>
    </row>
    <row r="18" spans="1:9" ht="15" x14ac:dyDescent="0.25">
      <c r="A18" s="12" t="s">
        <v>1640</v>
      </c>
      <c r="B18" s="12"/>
      <c r="C18" s="12">
        <f>SUM(C15:C17)</f>
        <v>54</v>
      </c>
    </row>
    <row r="20" spans="1:9" s="301" customFormat="1" ht="15" x14ac:dyDescent="0.25">
      <c r="A20" s="301" t="s">
        <v>1992</v>
      </c>
    </row>
    <row r="21" spans="1:9" s="301" customFormat="1" ht="15" x14ac:dyDescent="0.25">
      <c r="A21" s="301" t="s">
        <v>3254</v>
      </c>
    </row>
    <row r="22" spans="1:9" ht="15" x14ac:dyDescent="0.25">
      <c r="E22" s="30" t="str">
        <f>Summary!C4</f>
        <v>2015/16</v>
      </c>
      <c r="F22" s="30" t="str">
        <f>Summary!D4</f>
        <v>2016/17</v>
      </c>
      <c r="G22" s="30" t="str">
        <f>Summary!E4</f>
        <v>2017/18</v>
      </c>
      <c r="H22" s="30" t="str">
        <f>Summary!F4</f>
        <v>2018/19</v>
      </c>
      <c r="I22" s="30" t="str">
        <f>Summary!G4</f>
        <v>2019/20</v>
      </c>
    </row>
    <row r="23" spans="1:9" x14ac:dyDescent="0.3">
      <c r="A23" s="45" t="s">
        <v>1264</v>
      </c>
      <c r="B23" s="16" t="s">
        <v>56</v>
      </c>
      <c r="C23" s="43"/>
      <c r="D23" s="16"/>
      <c r="E23" s="16">
        <v>1</v>
      </c>
      <c r="F23" s="16">
        <v>1</v>
      </c>
      <c r="G23" s="16">
        <v>1</v>
      </c>
      <c r="H23" s="16">
        <v>1</v>
      </c>
      <c r="I23" s="16">
        <v>1</v>
      </c>
    </row>
    <row r="24" spans="1:9" ht="15" x14ac:dyDescent="0.25">
      <c r="A24" s="8" t="s">
        <v>1646</v>
      </c>
      <c r="C24" s="39"/>
    </row>
    <row r="25" spans="1:9" ht="15" x14ac:dyDescent="0.25">
      <c r="A25" s="14" t="s">
        <v>1658</v>
      </c>
      <c r="B25" s="74">
        <f>APATechnicianHours/C18</f>
        <v>1.8518518518518517E-2</v>
      </c>
      <c r="C25" s="14" t="s">
        <v>1644</v>
      </c>
    </row>
    <row r="26" spans="1:9" ht="15" x14ac:dyDescent="0.25">
      <c r="A26" s="14" t="s">
        <v>1997</v>
      </c>
      <c r="B26" s="74">
        <f>APASupervisorHours/C18</f>
        <v>0.15895061728395063</v>
      </c>
      <c r="C26" s="14" t="s">
        <v>1645</v>
      </c>
    </row>
    <row r="27" spans="1:9" ht="15" x14ac:dyDescent="0.25">
      <c r="A27" s="14" t="s">
        <v>1643</v>
      </c>
      <c r="B27" s="55">
        <v>0</v>
      </c>
      <c r="C27" s="14"/>
    </row>
    <row r="28" spans="1:9" ht="15" x14ac:dyDescent="0.25">
      <c r="A28" s="14"/>
      <c r="B28" s="55"/>
      <c r="C28" s="14"/>
    </row>
    <row r="29" spans="1:9" ht="15" x14ac:dyDescent="0.25">
      <c r="A29" s="42" t="s">
        <v>1647</v>
      </c>
      <c r="B29" s="15"/>
      <c r="C29" s="14"/>
    </row>
    <row r="30" spans="1:9" ht="15" x14ac:dyDescent="0.25">
      <c r="A30" s="14" t="s">
        <v>1656</v>
      </c>
      <c r="B30" s="15">
        <v>0.5</v>
      </c>
      <c r="C30" s="14" t="s">
        <v>3268</v>
      </c>
    </row>
    <row r="31" spans="1:9" x14ac:dyDescent="0.3">
      <c r="A31" s="14" t="s">
        <v>1651</v>
      </c>
      <c r="B31" s="55">
        <v>75</v>
      </c>
      <c r="C31" s="14" t="s">
        <v>1721</v>
      </c>
    </row>
    <row r="32" spans="1:9" x14ac:dyDescent="0.3">
      <c r="A32" s="14" t="s">
        <v>1649</v>
      </c>
      <c r="B32" s="55">
        <f>B30*B31</f>
        <v>37.5</v>
      </c>
      <c r="C32" s="14"/>
    </row>
    <row r="33" spans="1:9" x14ac:dyDescent="0.3">
      <c r="A33" s="14" t="s">
        <v>1650</v>
      </c>
      <c r="B33" s="55">
        <v>0</v>
      </c>
      <c r="C33" s="7"/>
    </row>
    <row r="35" spans="1:9" x14ac:dyDescent="0.3">
      <c r="A35" s="14"/>
      <c r="B35" s="46" t="s">
        <v>2712</v>
      </c>
      <c r="C35" s="46" t="s">
        <v>2720</v>
      </c>
      <c r="D35" s="30" t="s">
        <v>1655</v>
      </c>
      <c r="E35" s="30" t="str">
        <f>Summary!C4</f>
        <v>2015/16</v>
      </c>
      <c r="F35" s="30" t="str">
        <f>Summary!D4</f>
        <v>2016/17</v>
      </c>
      <c r="G35" s="30" t="str">
        <f>Summary!E4</f>
        <v>2017/18</v>
      </c>
      <c r="H35" s="30" t="str">
        <f>Summary!F4</f>
        <v>2018/19</v>
      </c>
      <c r="I35" s="30" t="str">
        <f>Summary!G4</f>
        <v>2019/20</v>
      </c>
    </row>
    <row r="36" spans="1:9" x14ac:dyDescent="0.3">
      <c r="A36" s="14" t="s">
        <v>1648</v>
      </c>
      <c r="B36" s="40">
        <f>B25*HourlyRateAPAMaintenanceStaff+B26*HourlyRateAPAOMSupervisor</f>
        <v>22.027333333333335</v>
      </c>
      <c r="C36" s="40">
        <f>B36*$C$18</f>
        <v>1189.4760000000001</v>
      </c>
      <c r="D36" s="40">
        <f>C36*SUMPRODUCT(LabourAdjustmentFactor,E$23:I$23)</f>
        <v>6408.5835328878511</v>
      </c>
      <c r="E36" s="40">
        <f>$C36*E$23*'Modelling Assumptions'!E$101</f>
        <v>1219.2129</v>
      </c>
      <c r="F36" s="40">
        <f>$C36*F$23*'Modelling Assumptions'!F$101</f>
        <v>1249.6932225</v>
      </c>
      <c r="G36" s="40">
        <f>$C36*G$23*'Modelling Assumptions'!G$101</f>
        <v>1280.9355530625</v>
      </c>
      <c r="H36" s="40">
        <f>$C36*H$23*'Modelling Assumptions'!H$101</f>
        <v>1312.9589418890623</v>
      </c>
      <c r="I36" s="40">
        <f>$C36*I$23*'Modelling Assumptions'!I$101</f>
        <v>1345.7829154362887</v>
      </c>
    </row>
    <row r="37" spans="1:9" x14ac:dyDescent="0.3">
      <c r="A37" s="14" t="s">
        <v>1643</v>
      </c>
      <c r="B37" s="40">
        <f>B27</f>
        <v>0</v>
      </c>
      <c r="C37" s="40">
        <f t="shared" ref="C37:C39" si="4">B37*$C$18</f>
        <v>0</v>
      </c>
      <c r="D37" s="40">
        <f>C37*SUMPRODUCT(MaterialsAdjustmentFactor,E$23:I$23)</f>
        <v>0</v>
      </c>
      <c r="E37" s="47">
        <f>$C37*E$23*'Modelling Assumptions'!E$102</f>
        <v>0</v>
      </c>
      <c r="F37" s="47">
        <f>$C37*F$23*'Modelling Assumptions'!F$102</f>
        <v>0</v>
      </c>
      <c r="G37" s="47">
        <f>$C37*G$23*'Modelling Assumptions'!G$102</f>
        <v>0</v>
      </c>
      <c r="H37" s="47">
        <f>$C37*H$23*'Modelling Assumptions'!H$102</f>
        <v>0</v>
      </c>
      <c r="I37" s="47">
        <f>$C37*I$23*'Modelling Assumptions'!I$102</f>
        <v>0</v>
      </c>
    </row>
    <row r="38" spans="1:9" x14ac:dyDescent="0.3">
      <c r="A38" s="14" t="s">
        <v>1649</v>
      </c>
      <c r="B38" s="40">
        <f>B32</f>
        <v>37.5</v>
      </c>
      <c r="C38" s="40">
        <f t="shared" si="4"/>
        <v>2025</v>
      </c>
      <c r="D38" s="40">
        <f>C38*SUMPRODUCT(LabourAdjustmentFactor,E$23:I$23)</f>
        <v>10910.166875244138</v>
      </c>
      <c r="E38" s="40">
        <f>$C38*E$23*'Modelling Assumptions'!E$101</f>
        <v>2075.625</v>
      </c>
      <c r="F38" s="40">
        <f>$C38*F$23*'Modelling Assumptions'!F$101</f>
        <v>2127.515625</v>
      </c>
      <c r="G38" s="40">
        <f>$C38*G$23*'Modelling Assumptions'!G$101</f>
        <v>2180.7035156249999</v>
      </c>
      <c r="H38" s="40">
        <f>$C38*H$23*'Modelling Assumptions'!H$101</f>
        <v>2235.2211035156247</v>
      </c>
      <c r="I38" s="40">
        <f>$C38*I$23*'Modelling Assumptions'!I$101</f>
        <v>2291.101631103515</v>
      </c>
    </row>
    <row r="39" spans="1:9" x14ac:dyDescent="0.3">
      <c r="A39" s="14" t="s">
        <v>1650</v>
      </c>
      <c r="B39" s="40">
        <f>B33</f>
        <v>0</v>
      </c>
      <c r="C39" s="40">
        <f t="shared" si="4"/>
        <v>0</v>
      </c>
      <c r="D39" s="40">
        <f>C39*SUMPRODUCT(MaterialsAdjustmentFactor,E$23:I$23)</f>
        <v>0</v>
      </c>
      <c r="E39" s="40">
        <f>$C39*E$23*'Modelling Assumptions'!E$102</f>
        <v>0</v>
      </c>
      <c r="F39" s="40">
        <f>$C39*F$23*'Modelling Assumptions'!F$102</f>
        <v>0</v>
      </c>
      <c r="G39" s="40">
        <f>$C39*G$23*'Modelling Assumptions'!G$102</f>
        <v>0</v>
      </c>
      <c r="H39" s="40">
        <f>$C39*H$23*'Modelling Assumptions'!H$102</f>
        <v>0</v>
      </c>
      <c r="I39" s="40">
        <f>$C39*I$23*'Modelling Assumptions'!I$102</f>
        <v>0</v>
      </c>
    </row>
    <row r="43" spans="1:9" x14ac:dyDescent="0.3">
      <c r="A43" s="10" t="s">
        <v>1641</v>
      </c>
      <c r="B43" s="44"/>
      <c r="C43" s="44"/>
      <c r="D43" s="10"/>
      <c r="E43" s="10"/>
      <c r="F43" s="10"/>
      <c r="G43" s="10"/>
      <c r="H43" s="10"/>
      <c r="I43" s="10"/>
    </row>
    <row r="44" spans="1:9" x14ac:dyDescent="0.3">
      <c r="A44" t="s">
        <v>3</v>
      </c>
      <c r="B44" t="s">
        <v>2</v>
      </c>
      <c r="C44" t="s">
        <v>1</v>
      </c>
    </row>
    <row r="45" spans="1:9" x14ac:dyDescent="0.3">
      <c r="A45" t="s">
        <v>174</v>
      </c>
      <c r="B45" t="s">
        <v>173</v>
      </c>
      <c r="C45" t="s">
        <v>44</v>
      </c>
      <c r="D45" t="s">
        <v>172</v>
      </c>
    </row>
    <row r="46" spans="1:9" x14ac:dyDescent="0.3">
      <c r="A46" t="s">
        <v>174</v>
      </c>
      <c r="B46" t="s">
        <v>173</v>
      </c>
      <c r="C46" t="s">
        <v>93</v>
      </c>
      <c r="D46" t="s">
        <v>248</v>
      </c>
    </row>
    <row r="47" spans="1:9" x14ac:dyDescent="0.3">
      <c r="A47" t="s">
        <v>174</v>
      </c>
      <c r="B47" t="s">
        <v>173</v>
      </c>
      <c r="C47" t="s">
        <v>108</v>
      </c>
      <c r="D47" t="s">
        <v>292</v>
      </c>
    </row>
    <row r="48" spans="1:9" x14ac:dyDescent="0.3">
      <c r="A48" t="s">
        <v>174</v>
      </c>
      <c r="B48" t="s">
        <v>173</v>
      </c>
      <c r="C48" t="s">
        <v>335</v>
      </c>
      <c r="D48" t="s">
        <v>392</v>
      </c>
    </row>
    <row r="49" spans="1:5" x14ac:dyDescent="0.3">
      <c r="A49" t="s">
        <v>174</v>
      </c>
      <c r="B49" t="s">
        <v>173</v>
      </c>
      <c r="C49" t="s">
        <v>346</v>
      </c>
      <c r="D49" t="s">
        <v>437</v>
      </c>
    </row>
    <row r="50" spans="1:5" x14ac:dyDescent="0.3">
      <c r="A50" t="s">
        <v>174</v>
      </c>
      <c r="B50" t="s">
        <v>173</v>
      </c>
      <c r="C50" t="s">
        <v>358</v>
      </c>
      <c r="D50" t="s">
        <v>480</v>
      </c>
    </row>
    <row r="56" spans="1:5" x14ac:dyDescent="0.3">
      <c r="A56" t="s">
        <v>1098</v>
      </c>
      <c r="B56" t="s">
        <v>530</v>
      </c>
    </row>
    <row r="57" spans="1:5" x14ac:dyDescent="0.3">
      <c r="A57" t="s">
        <v>1265</v>
      </c>
      <c r="B57" t="s">
        <v>1100</v>
      </c>
      <c r="C57" t="s">
        <v>1101</v>
      </c>
      <c r="D57" s="29">
        <v>41521.564583333333</v>
      </c>
      <c r="E57" t="s">
        <v>1115</v>
      </c>
    </row>
    <row r="58" spans="1:5" x14ac:dyDescent="0.3">
      <c r="A58" t="s">
        <v>1266</v>
      </c>
      <c r="B58" t="s">
        <v>1100</v>
      </c>
      <c r="C58" t="s">
        <v>1101</v>
      </c>
      <c r="D58" s="29">
        <v>41535.541666666664</v>
      </c>
      <c r="E58" t="s">
        <v>1267</v>
      </c>
    </row>
    <row r="59" spans="1:5" x14ac:dyDescent="0.3">
      <c r="A59" t="s">
        <v>1268</v>
      </c>
      <c r="B59" t="s">
        <v>1114</v>
      </c>
      <c r="C59" t="s">
        <v>1101</v>
      </c>
      <c r="D59" s="29">
        <v>41533.572222222225</v>
      </c>
      <c r="E59" t="s">
        <v>1269</v>
      </c>
    </row>
    <row r="60" spans="1:5" x14ac:dyDescent="0.3">
      <c r="A60" t="s">
        <v>1270</v>
      </c>
      <c r="B60" t="s">
        <v>1114</v>
      </c>
      <c r="C60" t="s">
        <v>1101</v>
      </c>
      <c r="D60" s="29">
        <v>41533.572222222225</v>
      </c>
      <c r="E60" t="s">
        <v>1269</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B19"/>
  <sheetViews>
    <sheetView workbookViewId="0"/>
  </sheetViews>
  <sheetFormatPr defaultRowHeight="14.4" x14ac:dyDescent="0.3"/>
  <cols>
    <col min="1" max="1" width="77.44140625" customWidth="1"/>
  </cols>
  <sheetData>
    <row r="1" spans="1:2" ht="15" x14ac:dyDescent="0.25">
      <c r="B1" t="str">
        <f ca="1">UPPER(RIGHT(CELL("filename",A1),LEN(CELL("filename",A1))-FIND("]",CELL("filename",A1))))</f>
        <v>READ ME</v>
      </c>
    </row>
    <row r="2" spans="1:2" ht="15" x14ac:dyDescent="0.25">
      <c r="A2" s="167" t="s">
        <v>3454</v>
      </c>
    </row>
    <row r="4" spans="1:2" s="301" customFormat="1" ht="15" x14ac:dyDescent="0.25">
      <c r="A4" s="8" t="s">
        <v>3180</v>
      </c>
    </row>
    <row r="5" spans="1:2" s="301" customFormat="1" ht="15" x14ac:dyDescent="0.25">
      <c r="A5" s="34" t="s">
        <v>3479</v>
      </c>
    </row>
    <row r="6" spans="1:2" s="301" customFormat="1" ht="15" x14ac:dyDescent="0.25">
      <c r="A6" s="34" t="s">
        <v>3484</v>
      </c>
    </row>
    <row r="7" spans="1:2" s="301" customFormat="1" ht="15" x14ac:dyDescent="0.25">
      <c r="A7" s="301" t="s">
        <v>3485</v>
      </c>
    </row>
    <row r="8" spans="1:2" s="301" customFormat="1" ht="15" x14ac:dyDescent="0.25">
      <c r="A8" s="301" t="s">
        <v>3486</v>
      </c>
    </row>
    <row r="9" spans="1:2" s="301" customFormat="1" ht="15" x14ac:dyDescent="0.25">
      <c r="A9" s="301" t="s">
        <v>3487</v>
      </c>
    </row>
    <row r="10" spans="1:2" s="301" customFormat="1" ht="15" x14ac:dyDescent="0.25"/>
    <row r="11" spans="1:2" s="301" customFormat="1" ht="15" x14ac:dyDescent="0.25"/>
    <row r="12" spans="1:2" ht="15" x14ac:dyDescent="0.25">
      <c r="A12" s="8" t="s">
        <v>3480</v>
      </c>
      <c r="B12" s="301"/>
    </row>
    <row r="13" spans="1:2" ht="15" x14ac:dyDescent="0.25">
      <c r="A13" t="s">
        <v>3465</v>
      </c>
      <c r="B13" s="301"/>
    </row>
    <row r="14" spans="1:2" ht="15" x14ac:dyDescent="0.25">
      <c r="A14" t="s">
        <v>3466</v>
      </c>
      <c r="B14" s="301"/>
    </row>
    <row r="15" spans="1:2" ht="15" x14ac:dyDescent="0.25">
      <c r="A15" s="161" t="s">
        <v>2697</v>
      </c>
      <c r="B15" s="301"/>
    </row>
    <row r="18" spans="1:1" ht="15" x14ac:dyDescent="0.25">
      <c r="A18" s="8" t="s">
        <v>3461</v>
      </c>
    </row>
    <row r="19" spans="1:1" ht="152.25" customHeight="1" x14ac:dyDescent="0.3">
      <c r="A19" s="340" t="s">
        <v>3481</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8C800"/>
    <pageSetUpPr fitToPage="1"/>
  </sheetPr>
  <dimension ref="A1:M81"/>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ht="15" x14ac:dyDescent="0.25">
      <c r="A1" t="s">
        <v>1642</v>
      </c>
      <c r="B1" t="s">
        <v>1448</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D35</f>
        <v>34130.493239163749</v>
      </c>
      <c r="E3" s="33">
        <f t="shared" si="0"/>
        <v>6493.2191999999995</v>
      </c>
      <c r="F3" s="33">
        <f t="shared" si="0"/>
        <v>6655.5496799999992</v>
      </c>
      <c r="G3" s="33">
        <f t="shared" si="0"/>
        <v>6821.9384219999993</v>
      </c>
      <c r="H3" s="33">
        <f t="shared" si="0"/>
        <v>6992.4868825499989</v>
      </c>
      <c r="I3" s="33">
        <f t="shared" si="0"/>
        <v>7167.299054613748</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422321.96129287896</v>
      </c>
      <c r="E5" s="33">
        <f t="shared" si="0"/>
        <v>80345.42742857142</v>
      </c>
      <c r="F5" s="33">
        <f t="shared" si="0"/>
        <v>82354.063114285702</v>
      </c>
      <c r="G5" s="33">
        <f t="shared" si="0"/>
        <v>84412.914692142847</v>
      </c>
      <c r="H5" s="33">
        <f t="shared" si="0"/>
        <v>86523.23755944641</v>
      </c>
      <c r="I5" s="33">
        <f t="shared" si="0"/>
        <v>88686.318498432564</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2523</v>
      </c>
    </row>
    <row r="13" spans="1:9" ht="15" x14ac:dyDescent="0.25">
      <c r="A13" t="s">
        <v>1508</v>
      </c>
    </row>
    <row r="14" spans="1:9" ht="15" x14ac:dyDescent="0.25">
      <c r="B14" s="39" t="s">
        <v>1679</v>
      </c>
      <c r="C14" s="39">
        <v>1</v>
      </c>
      <c r="D14" t="s">
        <v>2190</v>
      </c>
    </row>
    <row r="15" spans="1:9" ht="15" x14ac:dyDescent="0.25">
      <c r="A15" s="12" t="s">
        <v>1640</v>
      </c>
      <c r="B15" s="12"/>
      <c r="C15" s="12">
        <f>C14</f>
        <v>1</v>
      </c>
    </row>
    <row r="17" spans="1:9" ht="15" x14ac:dyDescent="0.25">
      <c r="A17" t="s">
        <v>1992</v>
      </c>
    </row>
    <row r="18" spans="1:9" ht="15" x14ac:dyDescent="0.25">
      <c r="A18" t="s">
        <v>2191</v>
      </c>
    </row>
    <row r="19" spans="1:9" ht="15" x14ac:dyDescent="0.25">
      <c r="A19" t="str">
        <f>CONCATENATE("Have therefore assigned ",100*(1-VegetationManagementYardPercentage),"% of the total cost from Byron Bay Trees (the contractor) to Vegetation management along the cable route")</f>
        <v>Have therefore assigned 90% of the total cost from Byron Bay Trees (the contractor) to Vegetation management along the cable route</v>
      </c>
    </row>
    <row r="20" spans="1:9" ht="15" x14ac:dyDescent="0.25">
      <c r="A20" t="s">
        <v>2184</v>
      </c>
      <c r="C20" s="39"/>
    </row>
    <row r="21" spans="1:9" ht="15" x14ac:dyDescent="0.25">
      <c r="C21" s="39"/>
      <c r="E21" s="30" t="str">
        <f>Summary!C4</f>
        <v>2015/16</v>
      </c>
      <c r="F21" s="30" t="str">
        <f>Summary!D4</f>
        <v>2016/17</v>
      </c>
      <c r="G21" s="30" t="str">
        <f>Summary!E4</f>
        <v>2017/18</v>
      </c>
      <c r="H21" s="30" t="str">
        <f>Summary!F4</f>
        <v>2018/19</v>
      </c>
      <c r="I21" s="30" t="str">
        <f>Summary!G4</f>
        <v>2019/20</v>
      </c>
    </row>
    <row r="22" spans="1:9" x14ac:dyDescent="0.3">
      <c r="A22" s="16" t="s">
        <v>1254</v>
      </c>
      <c r="B22" s="16" t="s">
        <v>47</v>
      </c>
      <c r="C22" s="43"/>
      <c r="D22" s="16"/>
      <c r="E22" s="16">
        <v>12</v>
      </c>
      <c r="F22" s="16">
        <v>12</v>
      </c>
      <c r="G22" s="16">
        <v>12</v>
      </c>
      <c r="H22" s="16">
        <v>12</v>
      </c>
      <c r="I22" s="16">
        <v>12</v>
      </c>
    </row>
    <row r="23" spans="1:9" ht="15" x14ac:dyDescent="0.25">
      <c r="A23" s="8" t="s">
        <v>1646</v>
      </c>
      <c r="C23" s="39"/>
    </row>
    <row r="24" spans="1:9" ht="15" x14ac:dyDescent="0.25">
      <c r="A24" s="14" t="s">
        <v>1658</v>
      </c>
      <c r="B24" s="15">
        <v>4</v>
      </c>
      <c r="C24" s="14" t="s">
        <v>2026</v>
      </c>
    </row>
    <row r="25" spans="1:9" ht="15" x14ac:dyDescent="0.25">
      <c r="A25" s="14" t="s">
        <v>1997</v>
      </c>
      <c r="B25" s="15">
        <f>1/C15</f>
        <v>1</v>
      </c>
      <c r="C25" s="14" t="s">
        <v>3499</v>
      </c>
    </row>
    <row r="26" spans="1:9" ht="15" x14ac:dyDescent="0.25">
      <c r="A26" s="14" t="s">
        <v>1643</v>
      </c>
      <c r="B26" s="55">
        <v>0</v>
      </c>
      <c r="C26" s="14"/>
    </row>
    <row r="27" spans="1:9" ht="15" x14ac:dyDescent="0.25">
      <c r="A27" s="14"/>
      <c r="B27" s="41"/>
      <c r="C27" s="14"/>
    </row>
    <row r="28" spans="1:9" ht="15" x14ac:dyDescent="0.25">
      <c r="A28" s="42" t="s">
        <v>1647</v>
      </c>
      <c r="B28" s="7"/>
      <c r="C28" s="14"/>
    </row>
    <row r="29" spans="1:9" ht="15" x14ac:dyDescent="0.25">
      <c r="A29" s="14" t="s">
        <v>1656</v>
      </c>
      <c r="B29" s="7"/>
      <c r="C29" s="14"/>
    </row>
    <row r="30" spans="1:9" ht="15" x14ac:dyDescent="0.25">
      <c r="A30" s="14" t="s">
        <v>1651</v>
      </c>
      <c r="B30" s="41"/>
      <c r="C30" t="s">
        <v>1673</v>
      </c>
    </row>
    <row r="31" spans="1:9" x14ac:dyDescent="0.3">
      <c r="A31" s="14" t="s">
        <v>1649</v>
      </c>
      <c r="B31" s="55">
        <f>VegetationManagement*(1-VegetationManagementYardPercentage)/12</f>
        <v>6532.1485714285709</v>
      </c>
      <c r="C31" s="14" t="s">
        <v>2076</v>
      </c>
    </row>
    <row r="32" spans="1:9" x14ac:dyDescent="0.3">
      <c r="A32" s="14" t="s">
        <v>1650</v>
      </c>
      <c r="B32" s="55">
        <v>0</v>
      </c>
      <c r="C32" s="7"/>
    </row>
    <row r="33" spans="1:9" x14ac:dyDescent="0.3">
      <c r="A33" s="14"/>
      <c r="B33" s="14"/>
      <c r="C33" s="14"/>
    </row>
    <row r="34" spans="1:9" x14ac:dyDescent="0.3">
      <c r="A34" s="14"/>
      <c r="B34" s="46" t="s">
        <v>2712</v>
      </c>
      <c r="C34" s="46" t="s">
        <v>2718</v>
      </c>
      <c r="D34" s="30"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527.904</v>
      </c>
      <c r="C35" s="40">
        <f>B35*$C$15</f>
        <v>527.904</v>
      </c>
      <c r="D35" s="33">
        <f>C35*SUMPRODUCT(LabourAdjustmentFactor,E$22:I$22)</f>
        <v>34130.493239163749</v>
      </c>
      <c r="E35" s="33">
        <f>$C35*E$22*'Modelling Assumptions'!E$101</f>
        <v>6493.2191999999995</v>
      </c>
      <c r="F35" s="33">
        <f>$C35*F$22*'Modelling Assumptions'!F$101</f>
        <v>6655.5496799999992</v>
      </c>
      <c r="G35" s="33">
        <f>$C35*G$22*'Modelling Assumptions'!G$101</f>
        <v>6821.9384219999993</v>
      </c>
      <c r="H35" s="33">
        <f>$C35*H$22*'Modelling Assumptions'!H$101</f>
        <v>6992.4868825499989</v>
      </c>
      <c r="I35" s="33">
        <f>$C35*I$22*'Modelling Assumptions'!I$101</f>
        <v>7167.299054613748</v>
      </c>
    </row>
    <row r="36" spans="1:9" x14ac:dyDescent="0.3">
      <c r="A36" s="14" t="s">
        <v>1643</v>
      </c>
      <c r="B36" s="40">
        <f>B26</f>
        <v>0</v>
      </c>
      <c r="C36" s="40">
        <f>B36*$C$15</f>
        <v>0</v>
      </c>
      <c r="D36" s="33">
        <f>C36*SUMPRODUCT(MaterialsAdjustmentFactor,E$22:I$22)</f>
        <v>0</v>
      </c>
      <c r="E36" s="33">
        <f>$C36*E$22*'Modelling Assumptions'!E$102</f>
        <v>0</v>
      </c>
      <c r="F36" s="33">
        <f>$C36*F$22*'Modelling Assumptions'!F$102</f>
        <v>0</v>
      </c>
      <c r="G36" s="33">
        <f>$C36*G$22*'Modelling Assumptions'!G$102</f>
        <v>0</v>
      </c>
      <c r="H36" s="33">
        <f>$C36*H$22*'Modelling Assumptions'!H$102</f>
        <v>0</v>
      </c>
      <c r="I36" s="33">
        <f>$C36*I$22*'Modelling Assumptions'!I$102</f>
        <v>0</v>
      </c>
    </row>
    <row r="37" spans="1:9" x14ac:dyDescent="0.3">
      <c r="A37" s="14" t="s">
        <v>1649</v>
      </c>
      <c r="B37" s="40">
        <f>B31</f>
        <v>6532.1485714285709</v>
      </c>
      <c r="C37" s="40">
        <f>B37*$C$15</f>
        <v>6532.1485714285709</v>
      </c>
      <c r="D37" s="33">
        <f>C37*SUMPRODUCT(LabourAdjustmentFactor,E$22:I$22)</f>
        <v>422321.96129287896</v>
      </c>
      <c r="E37" s="33">
        <f>$C37*E$22*'Modelling Assumptions'!E$101</f>
        <v>80345.42742857142</v>
      </c>
      <c r="F37" s="33">
        <f>$C37*F$22*'Modelling Assumptions'!F$101</f>
        <v>82354.063114285702</v>
      </c>
      <c r="G37" s="33">
        <f>$C37*G$22*'Modelling Assumptions'!G$101</f>
        <v>84412.914692142847</v>
      </c>
      <c r="H37" s="33">
        <f>$C37*H$22*'Modelling Assumptions'!H$101</f>
        <v>86523.23755944641</v>
      </c>
      <c r="I37" s="33">
        <f>$C37*I$22*'Modelling Assumptions'!I$101</f>
        <v>88686.318498432564</v>
      </c>
    </row>
    <row r="38" spans="1:9" x14ac:dyDescent="0.3">
      <c r="A38" s="14" t="s">
        <v>1650</v>
      </c>
      <c r="B38" s="40">
        <f>B32</f>
        <v>0</v>
      </c>
      <c r="C38" s="40">
        <f>B38*$C$15</f>
        <v>0</v>
      </c>
      <c r="D38" s="33">
        <f>C38*SUMPRODUCT(MaterialsAdjustmentFactor,E$22:I$22)</f>
        <v>0</v>
      </c>
      <c r="E38" s="33">
        <f>$C38*E$22*'Modelling Assumptions'!E$102</f>
        <v>0</v>
      </c>
      <c r="F38" s="33">
        <f>$C38*F$22*'Modelling Assumptions'!F$102</f>
        <v>0</v>
      </c>
      <c r="G38" s="33">
        <f>$C38*G$22*'Modelling Assumptions'!G$102</f>
        <v>0</v>
      </c>
      <c r="H38" s="33">
        <f>$C38*H$22*'Modelling Assumptions'!H$102</f>
        <v>0</v>
      </c>
      <c r="I38" s="33">
        <f>$C38*I$22*'Modelling Assumptions'!I$102</f>
        <v>0</v>
      </c>
    </row>
    <row r="39" spans="1:9" x14ac:dyDescent="0.3">
      <c r="A39" s="14"/>
      <c r="B39" s="14"/>
      <c r="C39" s="14"/>
    </row>
    <row r="40" spans="1:9" x14ac:dyDescent="0.3">
      <c r="A40" s="14"/>
      <c r="B40" s="14"/>
      <c r="C40" s="14"/>
    </row>
    <row r="41" spans="1:9" x14ac:dyDescent="0.3">
      <c r="A41" s="14"/>
      <c r="B41" s="14"/>
      <c r="C41" s="14"/>
    </row>
    <row r="42" spans="1:9" x14ac:dyDescent="0.3">
      <c r="A42" s="10" t="s">
        <v>1641</v>
      </c>
      <c r="B42" s="44"/>
      <c r="C42" s="44"/>
      <c r="D42" s="10"/>
      <c r="E42" s="10"/>
      <c r="F42" s="10"/>
      <c r="G42" s="10"/>
      <c r="H42" s="10"/>
      <c r="I42" s="10"/>
    </row>
    <row r="43" spans="1:9" x14ac:dyDescent="0.3">
      <c r="A43" t="s">
        <v>3</v>
      </c>
      <c r="B43" t="s">
        <v>2</v>
      </c>
      <c r="C43" t="s">
        <v>1</v>
      </c>
    </row>
    <row r="44" spans="1:9" x14ac:dyDescent="0.3">
      <c r="A44" t="s">
        <v>1254</v>
      </c>
      <c r="B44" t="s">
        <v>47</v>
      </c>
    </row>
    <row r="45" spans="1:9" x14ac:dyDescent="0.3">
      <c r="A45" t="s">
        <v>322</v>
      </c>
      <c r="B45" t="s">
        <v>321</v>
      </c>
      <c r="C45" t="s">
        <v>9</v>
      </c>
      <c r="D45" t="s">
        <v>316</v>
      </c>
    </row>
    <row r="51" spans="1:13" x14ac:dyDescent="0.3">
      <c r="A51" t="s">
        <v>1098</v>
      </c>
      <c r="B51" t="s">
        <v>536</v>
      </c>
    </row>
    <row r="52" spans="1:13" x14ac:dyDescent="0.3">
      <c r="A52" t="s">
        <v>1255</v>
      </c>
      <c r="B52" t="s">
        <v>1121</v>
      </c>
      <c r="C52" t="s">
        <v>1101</v>
      </c>
      <c r="D52" s="29">
        <v>41662.609722222223</v>
      </c>
      <c r="E52" t="s">
        <v>1256</v>
      </c>
    </row>
    <row r="53" spans="1:13" x14ac:dyDescent="0.3">
      <c r="A53" t="s">
        <v>1257</v>
      </c>
      <c r="B53" t="s">
        <v>1121</v>
      </c>
      <c r="C53" t="s">
        <v>1101</v>
      </c>
      <c r="D53" s="29">
        <v>41662.609027777777</v>
      </c>
      <c r="E53" t="s">
        <v>1258</v>
      </c>
    </row>
    <row r="54" spans="1:13" x14ac:dyDescent="0.3">
      <c r="A54" t="s">
        <v>1259</v>
      </c>
      <c r="B54" t="s">
        <v>1121</v>
      </c>
      <c r="C54" t="s">
        <v>1101</v>
      </c>
      <c r="D54" s="29">
        <v>41617.671527777777</v>
      </c>
      <c r="E54" t="s">
        <v>1260</v>
      </c>
    </row>
    <row r="55" spans="1:13" x14ac:dyDescent="0.3">
      <c r="A55" t="s">
        <v>1261</v>
      </c>
      <c r="B55" t="s">
        <v>1121</v>
      </c>
      <c r="C55" t="s">
        <v>1101</v>
      </c>
      <c r="D55" s="29">
        <v>41617.449999999997</v>
      </c>
      <c r="E55" t="s">
        <v>1262</v>
      </c>
    </row>
    <row r="56" spans="1:13" x14ac:dyDescent="0.3">
      <c r="A56" t="s">
        <v>1263</v>
      </c>
      <c r="B56" t="s">
        <v>1100</v>
      </c>
      <c r="C56" t="s">
        <v>1101</v>
      </c>
      <c r="D56" s="29">
        <v>41617.418749999997</v>
      </c>
    </row>
    <row r="61" spans="1:13" ht="31.2" thickBot="1" x14ac:dyDescent="0.35">
      <c r="A61" s="19" t="s">
        <v>539</v>
      </c>
      <c r="B61" s="20" t="s">
        <v>541</v>
      </c>
      <c r="C61" s="20" t="s">
        <v>542</v>
      </c>
      <c r="D61" s="20" t="s">
        <v>543</v>
      </c>
      <c r="E61" s="20" t="s">
        <v>545</v>
      </c>
      <c r="F61" s="20" t="s">
        <v>546</v>
      </c>
      <c r="G61" s="20" t="s">
        <v>547</v>
      </c>
      <c r="H61" s="20" t="s">
        <v>548</v>
      </c>
      <c r="I61" s="20" t="s">
        <v>549</v>
      </c>
      <c r="J61" s="20" t="s">
        <v>551</v>
      </c>
      <c r="K61" s="20" t="s">
        <v>552</v>
      </c>
      <c r="L61" s="20" t="s">
        <v>553</v>
      </c>
      <c r="M61" s="20" t="s">
        <v>556</v>
      </c>
    </row>
    <row r="62" spans="1:13" ht="52.2" x14ac:dyDescent="0.3">
      <c r="A62" s="23">
        <v>41275</v>
      </c>
      <c r="B62" s="24">
        <v>30264</v>
      </c>
      <c r="C62" s="24" t="s">
        <v>625</v>
      </c>
      <c r="D62" s="24" t="s">
        <v>586</v>
      </c>
      <c r="E62" s="24">
        <v>2754117</v>
      </c>
      <c r="F62" s="25">
        <v>1134.55</v>
      </c>
      <c r="G62" s="26">
        <v>1134.55</v>
      </c>
      <c r="H62" s="24" t="s">
        <v>794</v>
      </c>
      <c r="I62" s="24" t="s">
        <v>627</v>
      </c>
      <c r="J62" s="24" t="s">
        <v>589</v>
      </c>
      <c r="K62" s="24" t="s">
        <v>628</v>
      </c>
      <c r="L62" s="24">
        <v>269473</v>
      </c>
      <c r="M62" s="24" t="s">
        <v>902</v>
      </c>
    </row>
    <row r="63" spans="1:13" ht="52.2" x14ac:dyDescent="0.3">
      <c r="A63" s="23">
        <v>41306</v>
      </c>
      <c r="B63" s="24">
        <v>30264</v>
      </c>
      <c r="C63" s="24" t="s">
        <v>625</v>
      </c>
      <c r="D63" s="24" t="s">
        <v>586</v>
      </c>
      <c r="E63" s="24">
        <v>2832680</v>
      </c>
      <c r="F63" s="25">
        <v>3085.5</v>
      </c>
      <c r="G63" s="26">
        <v>3085.5</v>
      </c>
      <c r="H63" s="24" t="s">
        <v>794</v>
      </c>
      <c r="I63" s="24" t="s">
        <v>627</v>
      </c>
      <c r="J63" s="24" t="s">
        <v>589</v>
      </c>
      <c r="K63" s="24" t="s">
        <v>628</v>
      </c>
      <c r="L63" s="24">
        <v>269473</v>
      </c>
      <c r="M63" s="24" t="s">
        <v>907</v>
      </c>
    </row>
    <row r="64" spans="1:13" ht="52.2" x14ac:dyDescent="0.3">
      <c r="A64" s="23">
        <v>41365</v>
      </c>
      <c r="B64" s="24">
        <v>30264</v>
      </c>
      <c r="C64" s="24" t="s">
        <v>625</v>
      </c>
      <c r="D64" s="24" t="s">
        <v>586</v>
      </c>
      <c r="E64" s="24">
        <v>3001175</v>
      </c>
      <c r="F64" s="25">
        <v>1200</v>
      </c>
      <c r="G64" s="26">
        <v>1200</v>
      </c>
      <c r="H64" s="24" t="s">
        <v>794</v>
      </c>
      <c r="I64" s="24" t="s">
        <v>627</v>
      </c>
      <c r="J64" s="24" t="s">
        <v>589</v>
      </c>
      <c r="K64" s="24" t="s">
        <v>628</v>
      </c>
      <c r="L64" s="24">
        <v>269473</v>
      </c>
      <c r="M64" s="24" t="s">
        <v>944</v>
      </c>
    </row>
    <row r="65" spans="1:13" ht="72.599999999999994" x14ac:dyDescent="0.3">
      <c r="A65" s="23">
        <v>41395</v>
      </c>
      <c r="B65" s="24">
        <v>30264</v>
      </c>
      <c r="C65" s="24" t="s">
        <v>625</v>
      </c>
      <c r="D65" s="24" t="s">
        <v>586</v>
      </c>
      <c r="E65" s="24">
        <v>3130562</v>
      </c>
      <c r="F65" s="25">
        <v>660</v>
      </c>
      <c r="G65" s="25">
        <v>660</v>
      </c>
      <c r="H65" s="24" t="s">
        <v>794</v>
      </c>
      <c r="I65" s="24" t="s">
        <v>627</v>
      </c>
      <c r="J65" s="24" t="s">
        <v>589</v>
      </c>
      <c r="K65" s="24" t="s">
        <v>628</v>
      </c>
      <c r="L65" s="24">
        <v>269473</v>
      </c>
      <c r="M65" s="24" t="s">
        <v>954</v>
      </c>
    </row>
    <row r="66" spans="1:13" ht="52.2" x14ac:dyDescent="0.3">
      <c r="A66" s="23">
        <v>41395</v>
      </c>
      <c r="B66" s="24">
        <v>30264</v>
      </c>
      <c r="C66" s="24" t="s">
        <v>625</v>
      </c>
      <c r="D66" s="24" t="s">
        <v>586</v>
      </c>
      <c r="E66" s="24">
        <v>3168661</v>
      </c>
      <c r="F66" s="25">
        <v>1440</v>
      </c>
      <c r="G66" s="26">
        <v>1440</v>
      </c>
      <c r="H66" s="24" t="s">
        <v>794</v>
      </c>
      <c r="I66" s="24" t="s">
        <v>627</v>
      </c>
      <c r="J66" s="24" t="s">
        <v>589</v>
      </c>
      <c r="K66" s="24" t="s">
        <v>628</v>
      </c>
      <c r="L66" s="24">
        <v>269473</v>
      </c>
      <c r="M66" s="24" t="s">
        <v>955</v>
      </c>
    </row>
    <row r="67" spans="1:13" ht="52.2" x14ac:dyDescent="0.3">
      <c r="A67" s="23">
        <v>41395</v>
      </c>
      <c r="B67" s="24">
        <v>30264</v>
      </c>
      <c r="C67" s="24" t="s">
        <v>625</v>
      </c>
      <c r="D67" s="24" t="s">
        <v>586</v>
      </c>
      <c r="E67" s="24">
        <v>3168661</v>
      </c>
      <c r="F67" s="25">
        <v>1120</v>
      </c>
      <c r="G67" s="26">
        <v>1120</v>
      </c>
      <c r="H67" s="24" t="s">
        <v>794</v>
      </c>
      <c r="I67" s="24" t="s">
        <v>627</v>
      </c>
      <c r="J67" s="24" t="s">
        <v>589</v>
      </c>
      <c r="K67" s="24" t="s">
        <v>628</v>
      </c>
      <c r="L67" s="24">
        <v>269473</v>
      </c>
      <c r="M67" s="24" t="s">
        <v>956</v>
      </c>
    </row>
    <row r="68" spans="1:13" ht="52.2" x14ac:dyDescent="0.3">
      <c r="A68" s="23">
        <v>41426</v>
      </c>
      <c r="B68" s="24">
        <v>30264</v>
      </c>
      <c r="C68" s="24" t="s">
        <v>625</v>
      </c>
      <c r="D68" s="24" t="s">
        <v>586</v>
      </c>
      <c r="E68" s="24">
        <v>3244904</v>
      </c>
      <c r="F68" s="25">
        <v>5754.25</v>
      </c>
      <c r="G68" s="26">
        <v>5754.25</v>
      </c>
      <c r="H68" s="24" t="s">
        <v>794</v>
      </c>
      <c r="I68" s="24" t="s">
        <v>627</v>
      </c>
      <c r="J68" s="24" t="s">
        <v>589</v>
      </c>
      <c r="K68" s="24" t="s">
        <v>628</v>
      </c>
      <c r="L68" s="24">
        <v>269473</v>
      </c>
      <c r="M68" s="24" t="s">
        <v>977</v>
      </c>
    </row>
    <row r="69" spans="1:13" ht="52.2" x14ac:dyDescent="0.3">
      <c r="A69" s="23">
        <v>41426</v>
      </c>
      <c r="B69" s="24">
        <v>30264</v>
      </c>
      <c r="C69" s="24" t="s">
        <v>625</v>
      </c>
      <c r="D69" s="24" t="s">
        <v>586</v>
      </c>
      <c r="E69" s="24">
        <v>3264219</v>
      </c>
      <c r="F69" s="25">
        <v>2888</v>
      </c>
      <c r="G69" s="26">
        <v>2888</v>
      </c>
      <c r="H69" s="24" t="s">
        <v>794</v>
      </c>
      <c r="I69" s="24" t="s">
        <v>627</v>
      </c>
      <c r="J69" s="24" t="s">
        <v>589</v>
      </c>
      <c r="K69" s="24" t="s">
        <v>628</v>
      </c>
      <c r="L69" s="24">
        <v>269473</v>
      </c>
      <c r="M69" s="24" t="s">
        <v>978</v>
      </c>
    </row>
    <row r="70" spans="1:13" ht="52.2" x14ac:dyDescent="0.3">
      <c r="A70" s="23">
        <v>41456</v>
      </c>
      <c r="B70" s="24">
        <v>30264</v>
      </c>
      <c r="C70" s="24" t="s">
        <v>625</v>
      </c>
      <c r="D70" s="24" t="s">
        <v>586</v>
      </c>
      <c r="E70" s="24">
        <v>3335804</v>
      </c>
      <c r="F70" s="25">
        <v>2024</v>
      </c>
      <c r="G70" s="26">
        <v>2024</v>
      </c>
      <c r="H70" s="24" t="s">
        <v>991</v>
      </c>
      <c r="I70" s="24" t="s">
        <v>627</v>
      </c>
      <c r="J70" s="24" t="s">
        <v>589</v>
      </c>
      <c r="K70" s="24" t="s">
        <v>628</v>
      </c>
      <c r="L70" s="24">
        <v>293836</v>
      </c>
      <c r="M70" s="24" t="s">
        <v>992</v>
      </c>
    </row>
    <row r="71" spans="1:13" ht="52.2" x14ac:dyDescent="0.3">
      <c r="A71" s="23">
        <v>41487</v>
      </c>
      <c r="B71" s="24">
        <v>30264</v>
      </c>
      <c r="C71" s="24" t="s">
        <v>625</v>
      </c>
      <c r="D71" s="24" t="s">
        <v>586</v>
      </c>
      <c r="E71" s="24">
        <v>3465031</v>
      </c>
      <c r="F71" s="25">
        <v>320</v>
      </c>
      <c r="G71" s="25">
        <v>320</v>
      </c>
      <c r="H71" s="24" t="s">
        <v>991</v>
      </c>
      <c r="I71" s="24" t="s">
        <v>627</v>
      </c>
      <c r="J71" s="24" t="s">
        <v>589</v>
      </c>
      <c r="K71" s="24" t="s">
        <v>628</v>
      </c>
      <c r="L71" s="24">
        <v>293836</v>
      </c>
      <c r="M71" s="24" t="s">
        <v>1006</v>
      </c>
    </row>
    <row r="72" spans="1:13" ht="82.8" x14ac:dyDescent="0.3">
      <c r="A72" s="23">
        <v>41518</v>
      </c>
      <c r="B72" s="24">
        <v>30264</v>
      </c>
      <c r="C72" s="24" t="s">
        <v>625</v>
      </c>
      <c r="D72" s="24" t="s">
        <v>586</v>
      </c>
      <c r="E72" s="24">
        <v>3598803</v>
      </c>
      <c r="F72" s="25">
        <v>1160</v>
      </c>
      <c r="G72" s="26">
        <v>1160</v>
      </c>
      <c r="H72" s="24" t="s">
        <v>991</v>
      </c>
      <c r="I72" s="24" t="s">
        <v>627</v>
      </c>
      <c r="J72" s="24" t="s">
        <v>589</v>
      </c>
      <c r="K72" s="24" t="s">
        <v>628</v>
      </c>
      <c r="L72" s="24">
        <v>293836</v>
      </c>
      <c r="M72" s="24" t="s">
        <v>1018</v>
      </c>
    </row>
    <row r="73" spans="1:13" ht="52.2" x14ac:dyDescent="0.3">
      <c r="A73" s="23">
        <v>41548</v>
      </c>
      <c r="B73" s="24">
        <v>30264</v>
      </c>
      <c r="C73" s="24" t="s">
        <v>625</v>
      </c>
      <c r="D73" s="24" t="s">
        <v>586</v>
      </c>
      <c r="E73" s="24">
        <v>3690557</v>
      </c>
      <c r="F73" s="25">
        <v>5323.5</v>
      </c>
      <c r="G73" s="26">
        <v>5323.5</v>
      </c>
      <c r="H73" s="24" t="s">
        <v>991</v>
      </c>
      <c r="I73" s="24" t="s">
        <v>627</v>
      </c>
      <c r="J73" s="24" t="s">
        <v>589</v>
      </c>
      <c r="K73" s="24" t="s">
        <v>628</v>
      </c>
      <c r="L73" s="24">
        <v>293836</v>
      </c>
      <c r="M73" s="24" t="s">
        <v>1027</v>
      </c>
    </row>
    <row r="74" spans="1:13" ht="103.2" x14ac:dyDescent="0.3">
      <c r="A74" s="23">
        <v>41579</v>
      </c>
      <c r="B74" s="24">
        <v>30264</v>
      </c>
      <c r="C74" s="24" t="s">
        <v>625</v>
      </c>
      <c r="D74" s="24" t="s">
        <v>586</v>
      </c>
      <c r="E74" s="24">
        <v>4414726</v>
      </c>
      <c r="F74" s="25">
        <v>15190.5</v>
      </c>
      <c r="G74" s="26">
        <v>15190.5</v>
      </c>
      <c r="H74" s="24" t="s">
        <v>991</v>
      </c>
      <c r="I74" s="24" t="s">
        <v>627</v>
      </c>
      <c r="J74" s="24" t="s">
        <v>589</v>
      </c>
      <c r="K74" s="24" t="s">
        <v>628</v>
      </c>
      <c r="L74" s="24">
        <v>293836</v>
      </c>
      <c r="M74" s="24" t="s">
        <v>1043</v>
      </c>
    </row>
    <row r="75" spans="1:13" ht="103.2" x14ac:dyDescent="0.3">
      <c r="A75" s="23">
        <v>41609</v>
      </c>
      <c r="B75" s="24">
        <v>30264</v>
      </c>
      <c r="C75" s="24" t="s">
        <v>625</v>
      </c>
      <c r="D75" s="24" t="s">
        <v>586</v>
      </c>
      <c r="E75" s="24">
        <v>5126743</v>
      </c>
      <c r="F75" s="25">
        <v>440</v>
      </c>
      <c r="G75" s="25">
        <v>440</v>
      </c>
      <c r="H75" s="24" t="s">
        <v>991</v>
      </c>
      <c r="I75" s="24" t="s">
        <v>627</v>
      </c>
      <c r="J75" s="24" t="s">
        <v>589</v>
      </c>
      <c r="K75" s="24" t="s">
        <v>628</v>
      </c>
      <c r="L75" s="24">
        <v>293836</v>
      </c>
      <c r="M75" s="24" t="s">
        <v>1059</v>
      </c>
    </row>
    <row r="76" spans="1:13" ht="52.2" x14ac:dyDescent="0.3">
      <c r="A76" s="23">
        <v>41609</v>
      </c>
      <c r="B76" s="24">
        <v>30264</v>
      </c>
      <c r="C76" s="24" t="s">
        <v>625</v>
      </c>
      <c r="D76" s="24" t="s">
        <v>586</v>
      </c>
      <c r="E76" s="24">
        <v>5701408</v>
      </c>
      <c r="F76" s="25">
        <v>15190.5</v>
      </c>
      <c r="G76" s="26">
        <v>15190.5</v>
      </c>
      <c r="H76" s="24" t="s">
        <v>991</v>
      </c>
      <c r="I76" s="24" t="s">
        <v>627</v>
      </c>
      <c r="J76" s="24" t="s">
        <v>589</v>
      </c>
      <c r="K76" s="24" t="s">
        <v>628</v>
      </c>
      <c r="L76" s="24">
        <v>293836</v>
      </c>
      <c r="M76" s="24" t="s">
        <v>1060</v>
      </c>
    </row>
    <row r="77" spans="1:13" ht="52.2" x14ac:dyDescent="0.3">
      <c r="A77" s="23">
        <v>41609</v>
      </c>
      <c r="B77" s="24">
        <v>30264</v>
      </c>
      <c r="C77" s="24" t="s">
        <v>625</v>
      </c>
      <c r="D77" s="24" t="s">
        <v>586</v>
      </c>
      <c r="E77" s="24">
        <v>5701408</v>
      </c>
      <c r="F77" s="25">
        <v>440</v>
      </c>
      <c r="G77" s="25">
        <v>440</v>
      </c>
      <c r="H77" s="24" t="s">
        <v>991</v>
      </c>
      <c r="I77" s="24" t="s">
        <v>627</v>
      </c>
      <c r="J77" s="24" t="s">
        <v>589</v>
      </c>
      <c r="K77" s="24" t="s">
        <v>628</v>
      </c>
      <c r="L77" s="24">
        <v>293836</v>
      </c>
      <c r="M77" s="24" t="s">
        <v>1061</v>
      </c>
    </row>
    <row r="78" spans="1:13" ht="52.2" x14ac:dyDescent="0.3">
      <c r="A78" s="23">
        <v>41609</v>
      </c>
      <c r="B78" s="24">
        <v>30264</v>
      </c>
      <c r="C78" s="24" t="s">
        <v>625</v>
      </c>
      <c r="D78" s="24" t="s">
        <v>586</v>
      </c>
      <c r="E78" s="24">
        <v>6163935</v>
      </c>
      <c r="F78" s="25">
        <v>1684</v>
      </c>
      <c r="G78" s="26">
        <v>1684</v>
      </c>
      <c r="H78" s="24" t="s">
        <v>991</v>
      </c>
      <c r="I78" s="24" t="s">
        <v>627</v>
      </c>
      <c r="J78" s="24" t="s">
        <v>589</v>
      </c>
      <c r="K78" s="24" t="s">
        <v>628</v>
      </c>
      <c r="L78" s="24">
        <v>293836</v>
      </c>
      <c r="M78" s="24" t="s">
        <v>1062</v>
      </c>
    </row>
    <row r="79" spans="1:13" ht="52.2" x14ac:dyDescent="0.3">
      <c r="A79" s="23">
        <v>41640</v>
      </c>
      <c r="B79" s="24">
        <v>30264</v>
      </c>
      <c r="C79" s="24" t="s">
        <v>625</v>
      </c>
      <c r="D79" s="24" t="s">
        <v>586</v>
      </c>
      <c r="E79" s="24">
        <v>6350551</v>
      </c>
      <c r="F79" s="25">
        <v>440</v>
      </c>
      <c r="G79" s="25">
        <v>440</v>
      </c>
      <c r="H79" s="24" t="s">
        <v>991</v>
      </c>
      <c r="I79" s="24" t="s">
        <v>627</v>
      </c>
      <c r="J79" s="24" t="s">
        <v>589</v>
      </c>
      <c r="K79" s="24" t="s">
        <v>628</v>
      </c>
      <c r="L79" s="24">
        <v>293836</v>
      </c>
      <c r="M79" s="24" t="s">
        <v>1067</v>
      </c>
    </row>
    <row r="80" spans="1:13" ht="52.2" x14ac:dyDescent="0.3">
      <c r="A80" s="23">
        <v>41671</v>
      </c>
      <c r="B80" s="24">
        <v>30264</v>
      </c>
      <c r="C80" s="24" t="s">
        <v>625</v>
      </c>
      <c r="D80" s="24" t="s">
        <v>586</v>
      </c>
      <c r="E80" s="24">
        <v>6379779</v>
      </c>
      <c r="F80" s="25">
        <v>484</v>
      </c>
      <c r="G80" s="25">
        <v>484</v>
      </c>
      <c r="H80" s="24" t="s">
        <v>991</v>
      </c>
      <c r="I80" s="24" t="s">
        <v>627</v>
      </c>
      <c r="J80" s="24" t="s">
        <v>589</v>
      </c>
      <c r="K80" s="24" t="s">
        <v>628</v>
      </c>
      <c r="L80" s="24">
        <v>293836</v>
      </c>
      <c r="M80" s="24" t="s">
        <v>1086</v>
      </c>
    </row>
    <row r="81" spans="1:13" ht="52.2" x14ac:dyDescent="0.3">
      <c r="A81" s="23">
        <v>41671</v>
      </c>
      <c r="B81" s="24">
        <v>30264</v>
      </c>
      <c r="C81" s="24" t="s">
        <v>625</v>
      </c>
      <c r="D81" s="24" t="s">
        <v>586</v>
      </c>
      <c r="E81" s="24">
        <v>6379779</v>
      </c>
      <c r="F81" s="25">
        <v>9596</v>
      </c>
      <c r="G81" s="26">
        <v>9596</v>
      </c>
      <c r="H81" s="24" t="s">
        <v>991</v>
      </c>
      <c r="I81" s="24" t="s">
        <v>627</v>
      </c>
      <c r="J81" s="24" t="s">
        <v>589</v>
      </c>
      <c r="K81" s="24" t="s">
        <v>628</v>
      </c>
      <c r="L81" s="24">
        <v>293836</v>
      </c>
      <c r="M81" s="24" t="s">
        <v>1087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8C800"/>
    <pageSetUpPr fitToPage="1"/>
  </sheetPr>
  <dimension ref="A1:I53"/>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ht="15" x14ac:dyDescent="0.25">
      <c r="A1" t="s">
        <v>1642</v>
      </c>
      <c r="B1" t="s">
        <v>1450</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D36</f>
        <v>120769.43761550249</v>
      </c>
      <c r="E3" s="33">
        <f t="shared" si="0"/>
        <v>22976.006399999998</v>
      </c>
      <c r="F3" s="33">
        <f t="shared" si="0"/>
        <v>23550.406559999999</v>
      </c>
      <c r="G3" s="33">
        <f t="shared" si="0"/>
        <v>24139.166723999999</v>
      </c>
      <c r="H3" s="33">
        <f t="shared" si="0"/>
        <v>24742.645892099998</v>
      </c>
      <c r="I3" s="33">
        <f t="shared" si="0"/>
        <v>25361.212039402493</v>
      </c>
    </row>
    <row r="4" spans="1:9" ht="15" x14ac:dyDescent="0.25">
      <c r="A4" t="s">
        <v>1643</v>
      </c>
      <c r="B4" s="33"/>
      <c r="C4" s="33"/>
      <c r="D4" s="33">
        <f t="shared" si="0"/>
        <v>6562.09186116</v>
      </c>
      <c r="E4" s="33">
        <f t="shared" si="0"/>
        <v>1236</v>
      </c>
      <c r="F4" s="33">
        <f t="shared" si="0"/>
        <v>1273.08</v>
      </c>
      <c r="G4" s="33">
        <f t="shared" si="0"/>
        <v>1311.2724000000001</v>
      </c>
      <c r="H4" s="33">
        <f t="shared" si="0"/>
        <v>1350.6105719999998</v>
      </c>
      <c r="I4" s="33">
        <f t="shared" si="0"/>
        <v>1391.1288891599997</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3" spans="1:9" ht="15" x14ac:dyDescent="0.25">
      <c r="A13" t="s">
        <v>1713</v>
      </c>
    </row>
    <row r="14" spans="1:9" ht="15" x14ac:dyDescent="0.25">
      <c r="B14" s="39" t="s">
        <v>1679</v>
      </c>
      <c r="C14" s="39">
        <v>1</v>
      </c>
    </row>
    <row r="15" spans="1:9" ht="15" x14ac:dyDescent="0.25">
      <c r="A15" s="12" t="s">
        <v>1640</v>
      </c>
      <c r="B15" s="12"/>
      <c r="C15" s="12">
        <f>C14</f>
        <v>1</v>
      </c>
    </row>
    <row r="17" spans="1:9" ht="15" x14ac:dyDescent="0.25">
      <c r="A17" t="s">
        <v>1992</v>
      </c>
    </row>
    <row r="18" spans="1:9" ht="15" x14ac:dyDescent="0.25">
      <c r="A18" t="s">
        <v>2078</v>
      </c>
    </row>
    <row r="19" spans="1:9" ht="15" x14ac:dyDescent="0.25">
      <c r="A19" t="s">
        <v>2192</v>
      </c>
    </row>
    <row r="20" spans="1:9" ht="15" x14ac:dyDescent="0.25">
      <c r="A20" t="s">
        <v>2079</v>
      </c>
    </row>
    <row r="21" spans="1:9" ht="15" x14ac:dyDescent="0.25">
      <c r="A21" t="s">
        <v>2193</v>
      </c>
    </row>
    <row r="22" spans="1:9" ht="15" x14ac:dyDescent="0.25">
      <c r="B22" s="39"/>
      <c r="C22" s="39"/>
      <c r="E22" s="30" t="str">
        <f>Summary!C4</f>
        <v>2015/16</v>
      </c>
      <c r="F22" s="30" t="str">
        <f>Summary!D4</f>
        <v>2016/17</v>
      </c>
      <c r="G22" s="30" t="str">
        <f>Summary!E4</f>
        <v>2017/18</v>
      </c>
      <c r="H22" s="30" t="str">
        <f>Summary!F4</f>
        <v>2018/19</v>
      </c>
      <c r="I22" s="30" t="str">
        <f>Summary!G4</f>
        <v>2019/20</v>
      </c>
    </row>
    <row r="23" spans="1:9" x14ac:dyDescent="0.3">
      <c r="A23" s="16" t="s">
        <v>1253</v>
      </c>
      <c r="B23" s="16" t="s">
        <v>47</v>
      </c>
      <c r="C23" s="43"/>
      <c r="D23" s="16"/>
      <c r="E23" s="16">
        <v>12</v>
      </c>
      <c r="F23" s="16">
        <v>12</v>
      </c>
      <c r="G23" s="16">
        <v>12</v>
      </c>
      <c r="H23" s="16">
        <v>12</v>
      </c>
      <c r="I23" s="16">
        <v>12</v>
      </c>
    </row>
    <row r="24" spans="1:9" ht="15" x14ac:dyDescent="0.25">
      <c r="A24" s="8" t="s">
        <v>1646</v>
      </c>
      <c r="C24" s="39"/>
    </row>
    <row r="25" spans="1:9" ht="30" x14ac:dyDescent="0.25">
      <c r="A25" s="14" t="s">
        <v>1658</v>
      </c>
      <c r="B25" s="15">
        <v>18</v>
      </c>
      <c r="C25" s="58" t="s">
        <v>2077</v>
      </c>
    </row>
    <row r="26" spans="1:9" ht="15" x14ac:dyDescent="0.25">
      <c r="A26" s="14" t="s">
        <v>1997</v>
      </c>
      <c r="B26" s="15">
        <f>0.5</f>
        <v>0.5</v>
      </c>
      <c r="C26" s="14" t="s">
        <v>1680</v>
      </c>
    </row>
    <row r="27" spans="1:9" ht="15" x14ac:dyDescent="0.25">
      <c r="A27" s="14" t="s">
        <v>1643</v>
      </c>
      <c r="B27" s="55">
        <v>100</v>
      </c>
      <c r="C27" s="15" t="s">
        <v>3309</v>
      </c>
    </row>
    <row r="28" spans="1:9" ht="15" x14ac:dyDescent="0.25">
      <c r="A28" s="14"/>
      <c r="B28" s="41"/>
      <c r="C28" s="14"/>
    </row>
    <row r="29" spans="1:9" ht="15" x14ac:dyDescent="0.25">
      <c r="A29" s="42" t="s">
        <v>1647</v>
      </c>
      <c r="B29" s="7"/>
      <c r="C29" s="14"/>
    </row>
    <row r="30" spans="1:9" x14ac:dyDescent="0.3">
      <c r="A30" s="14" t="s">
        <v>1656</v>
      </c>
      <c r="B30" s="7"/>
      <c r="C30" s="14"/>
    </row>
    <row r="31" spans="1:9" x14ac:dyDescent="0.3">
      <c r="A31" s="14" t="s">
        <v>1651</v>
      </c>
      <c r="B31" s="41"/>
    </row>
    <row r="32" spans="1:9" x14ac:dyDescent="0.3">
      <c r="A32" s="14" t="s">
        <v>1649</v>
      </c>
      <c r="B32" s="55"/>
      <c r="C32" s="14"/>
    </row>
    <row r="33" spans="1:9" x14ac:dyDescent="0.3">
      <c r="A33" s="14" t="s">
        <v>1650</v>
      </c>
      <c r="B33" s="55"/>
      <c r="C33" s="7"/>
    </row>
    <row r="34" spans="1:9" x14ac:dyDescent="0.3">
      <c r="A34" s="14"/>
      <c r="B34" s="14"/>
      <c r="C34" s="14"/>
    </row>
    <row r="35" spans="1:9" x14ac:dyDescent="0.3">
      <c r="A35" s="14"/>
      <c r="B35" s="46" t="s">
        <v>2712</v>
      </c>
      <c r="C35" s="46" t="s">
        <v>2718</v>
      </c>
      <c r="D35" s="30" t="s">
        <v>1655</v>
      </c>
      <c r="E35" s="30" t="str">
        <f>Summary!C4</f>
        <v>2015/16</v>
      </c>
      <c r="F35" s="30" t="str">
        <f>Summary!D4</f>
        <v>2016/17</v>
      </c>
      <c r="G35" s="30" t="str">
        <f>Summary!E4</f>
        <v>2017/18</v>
      </c>
      <c r="H35" s="30" t="str">
        <f>Summary!F4</f>
        <v>2018/19</v>
      </c>
      <c r="I35" s="30" t="str">
        <f>Summary!G4</f>
        <v>2019/20</v>
      </c>
    </row>
    <row r="36" spans="1:9" x14ac:dyDescent="0.3">
      <c r="A36" s="14" t="s">
        <v>1648</v>
      </c>
      <c r="B36" s="40">
        <f>B25*HourlyRateAPAMaintenanceStaff+B26*HourlyRateAPAOMSupervisor</f>
        <v>1867.9680000000001</v>
      </c>
      <c r="C36" s="40">
        <f>B36*$C$15</f>
        <v>1867.9680000000001</v>
      </c>
      <c r="D36" s="33">
        <f>C36*SUMPRODUCT(LabourAdjustmentFactor,E$23:I$23)</f>
        <v>120769.43761550249</v>
      </c>
      <c r="E36" s="33">
        <f>$C36*E$23*'Modelling Assumptions'!E$101</f>
        <v>22976.006399999998</v>
      </c>
      <c r="F36" s="33">
        <f>$C36*F$23*'Modelling Assumptions'!F$101</f>
        <v>23550.406559999999</v>
      </c>
      <c r="G36" s="33">
        <f>$C36*G$23*'Modelling Assumptions'!G$101</f>
        <v>24139.166723999999</v>
      </c>
      <c r="H36" s="33">
        <f>$C36*H$23*'Modelling Assumptions'!H$101</f>
        <v>24742.645892099998</v>
      </c>
      <c r="I36" s="33">
        <f>$C36*I$23*'Modelling Assumptions'!I$101</f>
        <v>25361.212039402493</v>
      </c>
    </row>
    <row r="37" spans="1:9" x14ac:dyDescent="0.3">
      <c r="A37" s="14" t="s">
        <v>1643</v>
      </c>
      <c r="B37" s="40">
        <f>B27</f>
        <v>100</v>
      </c>
      <c r="C37" s="40">
        <f>B37*$C$15</f>
        <v>100</v>
      </c>
      <c r="D37" s="33">
        <f>C37*SUMPRODUCT(MaterialsAdjustmentFactor,E$23:I$23)</f>
        <v>6562.09186116</v>
      </c>
      <c r="E37" s="33">
        <f>$C37*E$23*'Modelling Assumptions'!E$102</f>
        <v>1236</v>
      </c>
      <c r="F37" s="33">
        <f>$C37*F$23*'Modelling Assumptions'!F$102</f>
        <v>1273.08</v>
      </c>
      <c r="G37" s="33">
        <f>$C37*G$23*'Modelling Assumptions'!G$102</f>
        <v>1311.2724000000001</v>
      </c>
      <c r="H37" s="33">
        <f>$C37*H$23*'Modelling Assumptions'!H$102</f>
        <v>1350.6105719999998</v>
      </c>
      <c r="I37" s="33">
        <f>$C37*I$23*'Modelling Assumptions'!I$102</f>
        <v>1391.1288891599997</v>
      </c>
    </row>
    <row r="38" spans="1:9" x14ac:dyDescent="0.3">
      <c r="A38" s="14" t="s">
        <v>1649</v>
      </c>
      <c r="B38" s="40">
        <f>B32</f>
        <v>0</v>
      </c>
      <c r="C38" s="40">
        <f>B38*$C$15</f>
        <v>0</v>
      </c>
      <c r="D38" s="33">
        <f>C38*SUMPRODUCT(LabourAdjustmentFactor,E$23:I$23)</f>
        <v>0</v>
      </c>
      <c r="E38" s="33">
        <f>$C38*E$23*'Modelling Assumptions'!E$101</f>
        <v>0</v>
      </c>
      <c r="F38" s="33">
        <f>$C38*F$23*'Modelling Assumptions'!F$101</f>
        <v>0</v>
      </c>
      <c r="G38" s="33">
        <f>$C38*G$23*'Modelling Assumptions'!G$101</f>
        <v>0</v>
      </c>
      <c r="H38" s="33">
        <f>$C38*H$23*'Modelling Assumptions'!H$101</f>
        <v>0</v>
      </c>
      <c r="I38" s="33">
        <f>$C38*I$23*'Modelling Assumptions'!I$101</f>
        <v>0</v>
      </c>
    </row>
    <row r="39" spans="1:9" x14ac:dyDescent="0.3">
      <c r="A39" s="14" t="s">
        <v>1650</v>
      </c>
      <c r="B39" s="40">
        <f>B33</f>
        <v>0</v>
      </c>
      <c r="C39" s="40">
        <f>B39*$C$15</f>
        <v>0</v>
      </c>
      <c r="D39" s="33">
        <f>C39*SUMPRODUCT(MaterialsAdjustmentFactor,E$23:I$23)</f>
        <v>0</v>
      </c>
      <c r="E39" s="33">
        <f>$C39*E$23*'Modelling Assumptions'!E$102</f>
        <v>0</v>
      </c>
      <c r="F39" s="33">
        <f>$C39*F$23*'Modelling Assumptions'!F$102</f>
        <v>0</v>
      </c>
      <c r="G39" s="33">
        <f>$C39*G$23*'Modelling Assumptions'!G$102</f>
        <v>0</v>
      </c>
      <c r="H39" s="33">
        <f>$C39*H$23*'Modelling Assumptions'!H$102</f>
        <v>0</v>
      </c>
      <c r="I39" s="33">
        <f>$C39*I$23*'Modelling Assumptions'!I$102</f>
        <v>0</v>
      </c>
    </row>
    <row r="40" spans="1:9" x14ac:dyDescent="0.3">
      <c r="A40" s="14"/>
      <c r="B40" s="14"/>
      <c r="C40" s="14"/>
    </row>
    <row r="41" spans="1:9" x14ac:dyDescent="0.3">
      <c r="A41" s="14"/>
      <c r="B41" s="14"/>
      <c r="C41" s="14"/>
    </row>
    <row r="42" spans="1:9" x14ac:dyDescent="0.3">
      <c r="A42" s="14"/>
      <c r="B42" s="14"/>
      <c r="C42" s="14"/>
    </row>
    <row r="43" spans="1:9" x14ac:dyDescent="0.3">
      <c r="A43" s="10" t="s">
        <v>1641</v>
      </c>
      <c r="B43" s="44"/>
      <c r="C43" s="44"/>
      <c r="D43" s="10"/>
      <c r="E43" s="10"/>
      <c r="F43" s="10"/>
      <c r="G43" s="10"/>
      <c r="H43" s="10"/>
      <c r="I43" s="10"/>
    </row>
    <row r="44" spans="1:9" x14ac:dyDescent="0.3">
      <c r="A44" t="s">
        <v>3</v>
      </c>
      <c r="B44" t="s">
        <v>2</v>
      </c>
      <c r="C44" t="s">
        <v>1</v>
      </c>
    </row>
    <row r="45" spans="1:9" x14ac:dyDescent="0.3">
      <c r="A45" t="s">
        <v>1253</v>
      </c>
      <c r="B45" t="s">
        <v>47</v>
      </c>
    </row>
    <row r="46" spans="1:9" x14ac:dyDescent="0.3">
      <c r="A46" t="s">
        <v>326</v>
      </c>
      <c r="B46" t="s">
        <v>325</v>
      </c>
      <c r="C46" t="s">
        <v>9</v>
      </c>
      <c r="D46" t="s">
        <v>316</v>
      </c>
    </row>
    <row r="50" spans="1:5" x14ac:dyDescent="0.3">
      <c r="A50" t="s">
        <v>1098</v>
      </c>
      <c r="B50" t="s">
        <v>510</v>
      </c>
    </row>
    <row r="51" spans="1:5" x14ac:dyDescent="0.3">
      <c r="A51" t="s">
        <v>1432</v>
      </c>
      <c r="B51" t="s">
        <v>1121</v>
      </c>
      <c r="C51" t="s">
        <v>1101</v>
      </c>
      <c r="D51" s="5">
        <v>41604.399305555555</v>
      </c>
      <c r="E51" t="s">
        <v>1710</v>
      </c>
    </row>
    <row r="52" spans="1:5" x14ac:dyDescent="0.3">
      <c r="A52" t="s">
        <v>1433</v>
      </c>
      <c r="B52" t="s">
        <v>1121</v>
      </c>
      <c r="C52" t="s">
        <v>1101</v>
      </c>
      <c r="D52" s="5">
        <v>41617.460416666669</v>
      </c>
      <c r="E52" t="s">
        <v>1711</v>
      </c>
    </row>
    <row r="53" spans="1:5" x14ac:dyDescent="0.3">
      <c r="A53" t="s">
        <v>1434</v>
      </c>
      <c r="B53" t="s">
        <v>1121</v>
      </c>
      <c r="C53" t="s">
        <v>1101</v>
      </c>
      <c r="D53" s="5">
        <v>41617.419444444444</v>
      </c>
      <c r="E53" t="s">
        <v>1712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C8C800"/>
    <pageSetUpPr fitToPage="1"/>
  </sheetPr>
  <dimension ref="A1:I92"/>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1452</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D35+D55</f>
        <v>7627.7964328878525</v>
      </c>
      <c r="E3" s="33">
        <f t="shared" ref="E3:I3" si="0">E35+E55</f>
        <v>2438.4258000000004</v>
      </c>
      <c r="F3" s="33">
        <f t="shared" si="0"/>
        <v>1249.6932225000003</v>
      </c>
      <c r="G3" s="33">
        <f t="shared" si="0"/>
        <v>1280.9355530625003</v>
      </c>
      <c r="H3" s="33">
        <f t="shared" si="0"/>
        <v>1312.9589418890625</v>
      </c>
      <c r="I3" s="33">
        <f t="shared" si="0"/>
        <v>1345.7829154362889</v>
      </c>
    </row>
    <row r="4" spans="1:9" ht="15" x14ac:dyDescent="0.25">
      <c r="A4" t="s">
        <v>1643</v>
      </c>
      <c r="B4" s="33"/>
      <c r="C4" s="33"/>
      <c r="D4" s="33">
        <f t="shared" ref="D4:I4" si="1">D36+D56</f>
        <v>0</v>
      </c>
      <c r="E4" s="33">
        <f t="shared" si="1"/>
        <v>0</v>
      </c>
      <c r="F4" s="33">
        <f t="shared" si="1"/>
        <v>0</v>
      </c>
      <c r="G4" s="33">
        <f t="shared" si="1"/>
        <v>0</v>
      </c>
      <c r="H4" s="33">
        <f t="shared" si="1"/>
        <v>0</v>
      </c>
      <c r="I4" s="33">
        <f t="shared" si="1"/>
        <v>0</v>
      </c>
    </row>
    <row r="5" spans="1:9" ht="15" x14ac:dyDescent="0.25">
      <c r="A5" t="s">
        <v>1649</v>
      </c>
      <c r="B5" s="33"/>
      <c r="C5" s="33"/>
      <c r="D5" s="33">
        <f t="shared" ref="D5:I5" si="2">D37+D57</f>
        <v>20200.120694824214</v>
      </c>
      <c r="E5" s="33">
        <f t="shared" si="2"/>
        <v>6457.4999999999991</v>
      </c>
      <c r="F5" s="33">
        <f t="shared" si="2"/>
        <v>3309.4687499999995</v>
      </c>
      <c r="G5" s="33">
        <f t="shared" si="2"/>
        <v>3392.2054687499995</v>
      </c>
      <c r="H5" s="33">
        <f t="shared" si="2"/>
        <v>3477.0106054687494</v>
      </c>
      <c r="I5" s="33">
        <f t="shared" si="2"/>
        <v>3563.9358706054677</v>
      </c>
    </row>
    <row r="6" spans="1:9" ht="15" x14ac:dyDescent="0.25">
      <c r="A6" t="s">
        <v>1650</v>
      </c>
      <c r="B6" s="33"/>
      <c r="C6" s="33"/>
      <c r="D6" s="33">
        <f t="shared" ref="D6:I6" si="3">D38+D58</f>
        <v>432.6</v>
      </c>
      <c r="E6" s="33">
        <f t="shared" si="3"/>
        <v>432.6</v>
      </c>
      <c r="F6" s="33">
        <f t="shared" si="3"/>
        <v>0</v>
      </c>
      <c r="G6" s="33">
        <f t="shared" si="3"/>
        <v>0</v>
      </c>
      <c r="H6" s="33">
        <f t="shared" si="3"/>
        <v>0</v>
      </c>
      <c r="I6" s="33">
        <f t="shared" si="3"/>
        <v>0</v>
      </c>
    </row>
    <row r="9" spans="1:9" ht="15" x14ac:dyDescent="0.25">
      <c r="A9" t="s">
        <v>1497</v>
      </c>
      <c r="B9" t="s">
        <v>1499</v>
      </c>
    </row>
    <row r="10" spans="1:9" ht="15" x14ac:dyDescent="0.25">
      <c r="A10" t="s">
        <v>1500</v>
      </c>
      <c r="B10" t="s">
        <v>1502</v>
      </c>
    </row>
    <row r="13" spans="1:9" ht="15" x14ac:dyDescent="0.25">
      <c r="A13" t="s">
        <v>1452</v>
      </c>
    </row>
    <row r="14" spans="1:9" ht="15" x14ac:dyDescent="0.25">
      <c r="B14" s="39" t="s">
        <v>1595</v>
      </c>
      <c r="C14" s="39">
        <v>18</v>
      </c>
    </row>
    <row r="15" spans="1:9" ht="15" x14ac:dyDescent="0.25">
      <c r="B15" s="39" t="s">
        <v>1601</v>
      </c>
      <c r="C15" s="39">
        <v>18</v>
      </c>
    </row>
    <row r="16" spans="1:9" ht="15" x14ac:dyDescent="0.25">
      <c r="B16" s="39" t="s">
        <v>1572</v>
      </c>
      <c r="C16" s="39">
        <v>6</v>
      </c>
    </row>
    <row r="17" spans="1:9" ht="15" x14ac:dyDescent="0.25">
      <c r="A17" s="12" t="s">
        <v>1640</v>
      </c>
      <c r="B17" s="12"/>
      <c r="C17" s="12">
        <f>SUM(C14:C16)</f>
        <v>42</v>
      </c>
    </row>
    <row r="18" spans="1:9" s="301" customFormat="1" ht="15" x14ac:dyDescent="0.25"/>
    <row r="19" spans="1:9" ht="15" x14ac:dyDescent="0.25">
      <c r="A19" s="301" t="s">
        <v>1992</v>
      </c>
      <c r="B19" s="39"/>
      <c r="C19" s="39"/>
    </row>
    <row r="20" spans="1:9" ht="15" x14ac:dyDescent="0.25">
      <c r="A20" s="301" t="s">
        <v>3254</v>
      </c>
      <c r="B20" s="39"/>
      <c r="C20" s="39"/>
    </row>
    <row r="21" spans="1:9" s="301" customFormat="1" ht="15" x14ac:dyDescent="0.25">
      <c r="B21" s="39"/>
      <c r="C21" s="39"/>
      <c r="E21" s="30" t="str">
        <f>Summary!C4</f>
        <v>2015/16</v>
      </c>
      <c r="F21" s="30" t="str">
        <f>Summary!D4</f>
        <v>2016/17</v>
      </c>
      <c r="G21" s="30" t="str">
        <f>Summary!E4</f>
        <v>2017/18</v>
      </c>
      <c r="H21" s="30" t="str">
        <f>Summary!F4</f>
        <v>2018/19</v>
      </c>
      <c r="I21" s="30" t="str">
        <f>Summary!G4</f>
        <v>2019/20</v>
      </c>
    </row>
    <row r="22" spans="1:9" x14ac:dyDescent="0.3">
      <c r="A22" s="45" t="s">
        <v>1244</v>
      </c>
      <c r="B22" s="45" t="s">
        <v>56</v>
      </c>
      <c r="C22" s="45"/>
      <c r="D22" s="45"/>
      <c r="E22" s="45">
        <v>1</v>
      </c>
      <c r="F22" s="45">
        <v>1</v>
      </c>
      <c r="G22" s="45">
        <v>1</v>
      </c>
      <c r="H22" s="45">
        <v>1</v>
      </c>
      <c r="I22" s="45">
        <v>1</v>
      </c>
    </row>
    <row r="23" spans="1:9" ht="15" x14ac:dyDescent="0.25">
      <c r="A23" s="8" t="s">
        <v>1646</v>
      </c>
      <c r="C23" s="39"/>
    </row>
    <row r="24" spans="1:9" ht="15" x14ac:dyDescent="0.25">
      <c r="A24" s="14" t="s">
        <v>1658</v>
      </c>
      <c r="B24" s="74">
        <f>APATechnicianHours/C17</f>
        <v>2.3809523809523808E-2</v>
      </c>
      <c r="C24" s="14" t="s">
        <v>1644</v>
      </c>
    </row>
    <row r="25" spans="1:9" ht="15" x14ac:dyDescent="0.25">
      <c r="A25" s="14" t="s">
        <v>1997</v>
      </c>
      <c r="B25" s="74">
        <f>APASupervisorHours/$C$17</f>
        <v>0.20436507936507939</v>
      </c>
      <c r="C25" s="14" t="s">
        <v>1645</v>
      </c>
    </row>
    <row r="26" spans="1:9" ht="15" x14ac:dyDescent="0.25">
      <c r="A26" s="14" t="s">
        <v>1643</v>
      </c>
      <c r="B26" s="55">
        <v>0</v>
      </c>
      <c r="C26" s="14"/>
    </row>
    <row r="27" spans="1:9" ht="15" x14ac:dyDescent="0.25">
      <c r="A27" s="14"/>
      <c r="B27" s="55"/>
      <c r="C27" s="14"/>
    </row>
    <row r="28" spans="1:9" ht="15" x14ac:dyDescent="0.25">
      <c r="A28" s="42" t="s">
        <v>1647</v>
      </c>
      <c r="B28" s="15"/>
      <c r="C28" s="14"/>
    </row>
    <row r="29" spans="1:9" ht="15" x14ac:dyDescent="0.25">
      <c r="A29" s="14" t="s">
        <v>1656</v>
      </c>
      <c r="B29" s="15">
        <v>1</v>
      </c>
      <c r="C29" s="14" t="s">
        <v>3269</v>
      </c>
    </row>
    <row r="30" spans="1:9" ht="15" x14ac:dyDescent="0.25">
      <c r="A30" s="14" t="s">
        <v>1651</v>
      </c>
      <c r="B30" s="55">
        <f>ElectricalContractorHourlyRate</f>
        <v>75</v>
      </c>
      <c r="C30" s="14" t="s">
        <v>1721</v>
      </c>
    </row>
    <row r="31" spans="1:9" x14ac:dyDescent="0.3">
      <c r="A31" s="14" t="s">
        <v>1649</v>
      </c>
      <c r="B31" s="55">
        <f>B29*B30</f>
        <v>75</v>
      </c>
      <c r="C31" s="14"/>
    </row>
    <row r="32" spans="1:9" x14ac:dyDescent="0.3">
      <c r="A32" s="14" t="s">
        <v>1650</v>
      </c>
      <c r="B32" s="55">
        <v>0</v>
      </c>
      <c r="C32" s="14"/>
    </row>
    <row r="33" spans="1:9" x14ac:dyDescent="0.3">
      <c r="A33" s="14"/>
      <c r="B33" s="41"/>
      <c r="C33" s="14"/>
    </row>
    <row r="34" spans="1:9" x14ac:dyDescent="0.3">
      <c r="A34" s="14"/>
      <c r="B34" s="46" t="s">
        <v>2712</v>
      </c>
      <c r="C34" s="46" t="s">
        <v>2720</v>
      </c>
      <c r="D34" s="30"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28.32085714285715</v>
      </c>
      <c r="C35" s="40">
        <f>B35*$C$17</f>
        <v>1189.4760000000003</v>
      </c>
      <c r="D35" s="40">
        <f>C35*SUMPRODUCT(LabourAdjustmentFactor,E$22:I$22)</f>
        <v>6408.583532887852</v>
      </c>
      <c r="E35" s="40">
        <f>$C35*E$22*'Modelling Assumptions'!E$101</f>
        <v>1219.2129000000002</v>
      </c>
      <c r="F35" s="40">
        <f>$C35*F$22*'Modelling Assumptions'!F$101</f>
        <v>1249.6932225000003</v>
      </c>
      <c r="G35" s="40">
        <f>$C35*G$22*'Modelling Assumptions'!G$101</f>
        <v>1280.9355530625003</v>
      </c>
      <c r="H35" s="40">
        <f>$C35*H$22*'Modelling Assumptions'!H$101</f>
        <v>1312.9589418890625</v>
      </c>
      <c r="I35" s="40">
        <f>$C35*I$22*'Modelling Assumptions'!I$101</f>
        <v>1345.7829154362889</v>
      </c>
    </row>
    <row r="36" spans="1:9" x14ac:dyDescent="0.3">
      <c r="A36" s="14" t="s">
        <v>1643</v>
      </c>
      <c r="B36" s="40">
        <f>B26</f>
        <v>0</v>
      </c>
      <c r="C36" s="40">
        <f>B36*$C$17</f>
        <v>0</v>
      </c>
      <c r="D36" s="40">
        <f>C36*SUMPRODUCT(MaterialsAdjustmentFactor,E$22:I$22)</f>
        <v>0</v>
      </c>
      <c r="E36" s="40">
        <f>$C36*E$22*'Modelling Assumptions'!E$102</f>
        <v>0</v>
      </c>
      <c r="F36" s="40">
        <f>$C36*F$22*'Modelling Assumptions'!F$102</f>
        <v>0</v>
      </c>
      <c r="G36" s="40">
        <f>$C36*G$22*'Modelling Assumptions'!G$102</f>
        <v>0</v>
      </c>
      <c r="H36" s="40">
        <f>$C36*H$22*'Modelling Assumptions'!H$102</f>
        <v>0</v>
      </c>
      <c r="I36" s="40">
        <f>$C36*I$22*'Modelling Assumptions'!I$102</f>
        <v>0</v>
      </c>
    </row>
    <row r="37" spans="1:9" x14ac:dyDescent="0.3">
      <c r="A37" s="14" t="s">
        <v>1649</v>
      </c>
      <c r="B37" s="40">
        <f>B31</f>
        <v>75</v>
      </c>
      <c r="C37" s="40">
        <f>B37*$C$17</f>
        <v>3150</v>
      </c>
      <c r="D37" s="40">
        <f>C37*SUMPRODUCT(LabourAdjustmentFactor,E$22:I$22)</f>
        <v>16971.370694824214</v>
      </c>
      <c r="E37" s="40">
        <f>$C37*E$22*'Modelling Assumptions'!E$101</f>
        <v>3228.7499999999995</v>
      </c>
      <c r="F37" s="40">
        <f>$C37*F$22*'Modelling Assumptions'!F$101</f>
        <v>3309.4687499999995</v>
      </c>
      <c r="G37" s="40">
        <f>$C37*G$22*'Modelling Assumptions'!G$101</f>
        <v>3392.2054687499995</v>
      </c>
      <c r="H37" s="40">
        <f>$C37*H$22*'Modelling Assumptions'!H$101</f>
        <v>3477.0106054687494</v>
      </c>
      <c r="I37" s="40">
        <f>$C37*I$22*'Modelling Assumptions'!I$101</f>
        <v>3563.9358706054677</v>
      </c>
    </row>
    <row r="38" spans="1:9" x14ac:dyDescent="0.3">
      <c r="A38" s="14" t="s">
        <v>1650</v>
      </c>
      <c r="B38" s="40">
        <f>B32</f>
        <v>0</v>
      </c>
      <c r="C38" s="40">
        <f>B38*$C$17</f>
        <v>0</v>
      </c>
      <c r="D38" s="40">
        <f>C38*SUMPRODUCT(MaterialsAdjustmentFactor,E$22:I$22)</f>
        <v>0</v>
      </c>
      <c r="E38" s="40">
        <f>$C38*E$22*'Modelling Assumptions'!E$102</f>
        <v>0</v>
      </c>
      <c r="F38" s="40">
        <f>$C38*F$22*'Modelling Assumptions'!F$102</f>
        <v>0</v>
      </c>
      <c r="G38" s="40">
        <f>$C38*G$22*'Modelling Assumptions'!G$102</f>
        <v>0</v>
      </c>
      <c r="H38" s="40">
        <f>$C38*H$22*'Modelling Assumptions'!H$102</f>
        <v>0</v>
      </c>
      <c r="I38" s="40">
        <f>$C38*I$22*'Modelling Assumptions'!I$102</f>
        <v>0</v>
      </c>
    </row>
    <row r="39" spans="1:9" x14ac:dyDescent="0.3">
      <c r="A39" s="14"/>
      <c r="B39" s="41"/>
      <c r="C39" s="14"/>
    </row>
    <row r="40" spans="1:9" x14ac:dyDescent="0.3">
      <c r="A40" s="14"/>
      <c r="B40" s="41"/>
      <c r="C40" s="14"/>
    </row>
    <row r="41" spans="1:9" x14ac:dyDescent="0.3">
      <c r="E41" s="30" t="str">
        <f>Summary!C4</f>
        <v>2015/16</v>
      </c>
      <c r="F41" s="30" t="str">
        <f>Summary!D4</f>
        <v>2016/17</v>
      </c>
      <c r="G41" s="30" t="str">
        <f>Summary!E4</f>
        <v>2017/18</v>
      </c>
      <c r="H41" s="30" t="str">
        <f>Summary!F4</f>
        <v>2018/19</v>
      </c>
      <c r="I41" s="30" t="str">
        <f>Summary!G4</f>
        <v>2019/20</v>
      </c>
    </row>
    <row r="42" spans="1:9" x14ac:dyDescent="0.3">
      <c r="A42" s="45" t="s">
        <v>1245</v>
      </c>
      <c r="B42" s="45" t="s">
        <v>32</v>
      </c>
      <c r="C42" s="45"/>
      <c r="D42" s="45"/>
      <c r="E42" s="45">
        <v>1</v>
      </c>
      <c r="F42" s="45">
        <v>0</v>
      </c>
      <c r="G42" s="45">
        <v>0</v>
      </c>
      <c r="H42" s="45">
        <v>0</v>
      </c>
      <c r="I42" s="45">
        <v>0</v>
      </c>
    </row>
    <row r="43" spans="1:9" x14ac:dyDescent="0.3">
      <c r="A43" s="8" t="s">
        <v>1646</v>
      </c>
      <c r="C43" s="39"/>
    </row>
    <row r="44" spans="1:9" x14ac:dyDescent="0.3">
      <c r="A44" s="14" t="s">
        <v>1658</v>
      </c>
      <c r="B44" s="74">
        <f>APATechnicianHours/C17</f>
        <v>2.3809523809523808E-2</v>
      </c>
      <c r="C44" s="14" t="s">
        <v>1644</v>
      </c>
    </row>
    <row r="45" spans="1:9" x14ac:dyDescent="0.3">
      <c r="A45" s="14" t="s">
        <v>1997</v>
      </c>
      <c r="B45" s="74">
        <f>APASupervisorHours/$C$17</f>
        <v>0.20436507936507939</v>
      </c>
      <c r="C45" s="14" t="s">
        <v>1645</v>
      </c>
    </row>
    <row r="46" spans="1:9" x14ac:dyDescent="0.3">
      <c r="A46" s="14" t="s">
        <v>1643</v>
      </c>
      <c r="B46" s="55">
        <v>0</v>
      </c>
      <c r="C46" s="14"/>
    </row>
    <row r="47" spans="1:9" x14ac:dyDescent="0.3">
      <c r="A47" s="14"/>
      <c r="B47" s="55"/>
      <c r="C47" s="14"/>
    </row>
    <row r="48" spans="1:9" x14ac:dyDescent="0.3">
      <c r="A48" s="42" t="s">
        <v>1647</v>
      </c>
      <c r="B48" s="15"/>
      <c r="C48" s="14"/>
    </row>
    <row r="49" spans="1:9" x14ac:dyDescent="0.3">
      <c r="A49" s="14" t="s">
        <v>1656</v>
      </c>
      <c r="B49" s="15">
        <v>1</v>
      </c>
      <c r="C49" s="14" t="s">
        <v>3500</v>
      </c>
    </row>
    <row r="50" spans="1:9" x14ac:dyDescent="0.3">
      <c r="A50" s="14" t="s">
        <v>1651</v>
      </c>
      <c r="B50" s="55">
        <v>75</v>
      </c>
      <c r="C50" s="14" t="s">
        <v>1721</v>
      </c>
    </row>
    <row r="51" spans="1:9" x14ac:dyDescent="0.3">
      <c r="A51" s="14" t="s">
        <v>1649</v>
      </c>
      <c r="B51" s="55">
        <f>B49*B50</f>
        <v>75</v>
      </c>
      <c r="C51" s="14"/>
    </row>
    <row r="52" spans="1:9" x14ac:dyDescent="0.3">
      <c r="A52" s="14" t="s">
        <v>1650</v>
      </c>
      <c r="B52" s="41">
        <v>10</v>
      </c>
      <c r="C52" s="7" t="s">
        <v>3470</v>
      </c>
    </row>
    <row r="54" spans="1:9" x14ac:dyDescent="0.3">
      <c r="A54" s="14"/>
      <c r="B54" s="46" t="s">
        <v>2712</v>
      </c>
      <c r="C54" s="46" t="s">
        <v>2720</v>
      </c>
      <c r="D54" s="30" t="s">
        <v>1655</v>
      </c>
      <c r="E54" s="30" t="str">
        <f>Summary!C4</f>
        <v>2015/16</v>
      </c>
      <c r="F54" s="30" t="str">
        <f>Summary!D4</f>
        <v>2016/17</v>
      </c>
      <c r="G54" s="30" t="str">
        <f>Summary!E4</f>
        <v>2017/18</v>
      </c>
      <c r="H54" s="30" t="str">
        <f>Summary!F4</f>
        <v>2018/19</v>
      </c>
      <c r="I54" s="30" t="str">
        <f>Summary!G4</f>
        <v>2019/20</v>
      </c>
    </row>
    <row r="55" spans="1:9" x14ac:dyDescent="0.3">
      <c r="A55" s="14" t="s">
        <v>1648</v>
      </c>
      <c r="B55" s="40">
        <f>B44*HourlyRateAPAMaintenanceStaff+B45*HourlyRateAPAOMSupervisor</f>
        <v>28.32085714285715</v>
      </c>
      <c r="C55" s="40">
        <f>B55*$C$17</f>
        <v>1189.4760000000003</v>
      </c>
      <c r="D55" s="40">
        <f>C55*SUMPRODUCT(LabourAdjustmentFactor,E$42:I$42)</f>
        <v>1219.2129000000002</v>
      </c>
      <c r="E55" s="40">
        <f>$C55*E$42*'Modelling Assumptions'!E$101</f>
        <v>1219.2129000000002</v>
      </c>
      <c r="F55" s="40">
        <f>$C55*F$42*'Modelling Assumptions'!F$101</f>
        <v>0</v>
      </c>
      <c r="G55" s="40">
        <f>$C55*G$42*'Modelling Assumptions'!G$101</f>
        <v>0</v>
      </c>
      <c r="H55" s="40">
        <f>$C55*H$42*'Modelling Assumptions'!H$101</f>
        <v>0</v>
      </c>
      <c r="I55" s="40">
        <f>$C55*I$42*'Modelling Assumptions'!I$101</f>
        <v>0</v>
      </c>
    </row>
    <row r="56" spans="1:9" x14ac:dyDescent="0.3">
      <c r="A56" s="14" t="s">
        <v>1643</v>
      </c>
      <c r="B56" s="40">
        <f>B46</f>
        <v>0</v>
      </c>
      <c r="C56" s="40">
        <f>B56*$C$17</f>
        <v>0</v>
      </c>
      <c r="D56" s="40">
        <f>C56*SUMPRODUCT(MaterialsAdjustmentFactor,E$42:I$42)</f>
        <v>0</v>
      </c>
      <c r="E56" s="40">
        <f>$C56*E$42*'Modelling Assumptions'!E$102</f>
        <v>0</v>
      </c>
      <c r="F56" s="40">
        <f>$C56*F$42*'Modelling Assumptions'!F$102</f>
        <v>0</v>
      </c>
      <c r="G56" s="40">
        <f>$C56*G$42*'Modelling Assumptions'!G$102</f>
        <v>0</v>
      </c>
      <c r="H56" s="40">
        <f>$C56*H$42*'Modelling Assumptions'!H$102</f>
        <v>0</v>
      </c>
      <c r="I56" s="40">
        <f>$C56*I$42*'Modelling Assumptions'!I$102</f>
        <v>0</v>
      </c>
    </row>
    <row r="57" spans="1:9" x14ac:dyDescent="0.3">
      <c r="A57" s="14" t="s">
        <v>1649</v>
      </c>
      <c r="B57" s="40">
        <f>B51</f>
        <v>75</v>
      </c>
      <c r="C57" s="40">
        <f>B57*$C$17</f>
        <v>3150</v>
      </c>
      <c r="D57" s="40">
        <f>C57*SUMPRODUCT(LabourAdjustmentFactor,E$42:I$42)</f>
        <v>3228.7499999999995</v>
      </c>
      <c r="E57" s="40">
        <f>$C57*E$42*'Modelling Assumptions'!E$101</f>
        <v>3228.7499999999995</v>
      </c>
      <c r="F57" s="40">
        <f>$C57*F$42*'Modelling Assumptions'!F$101</f>
        <v>0</v>
      </c>
      <c r="G57" s="40">
        <f>$C57*G$42*'Modelling Assumptions'!G$101</f>
        <v>0</v>
      </c>
      <c r="H57" s="40">
        <f>$C57*H$42*'Modelling Assumptions'!H$101</f>
        <v>0</v>
      </c>
      <c r="I57" s="40">
        <f>$C57*I$42*'Modelling Assumptions'!I$101</f>
        <v>0</v>
      </c>
    </row>
    <row r="58" spans="1:9" x14ac:dyDescent="0.3">
      <c r="A58" s="14" t="s">
        <v>1650</v>
      </c>
      <c r="B58" s="40">
        <f>B52</f>
        <v>10</v>
      </c>
      <c r="C58" s="40">
        <f>B58*$C$17</f>
        <v>420</v>
      </c>
      <c r="D58" s="40">
        <f>C58*SUMPRODUCT(MaterialsAdjustmentFactor,E$42:I$42)</f>
        <v>432.6</v>
      </c>
      <c r="E58" s="40">
        <f>$C58*E$42*'Modelling Assumptions'!E$102</f>
        <v>432.6</v>
      </c>
      <c r="F58" s="40">
        <f>$C58*F$42*'Modelling Assumptions'!F$102</f>
        <v>0</v>
      </c>
      <c r="G58" s="40">
        <f>$C58*G$42*'Modelling Assumptions'!G$102</f>
        <v>0</v>
      </c>
      <c r="H58" s="40">
        <f>$C58*H$42*'Modelling Assumptions'!H$102</f>
        <v>0</v>
      </c>
      <c r="I58" s="40">
        <f>$C58*I$42*'Modelling Assumptions'!I$102</f>
        <v>0</v>
      </c>
    </row>
    <row r="65" spans="1:9" x14ac:dyDescent="0.3">
      <c r="A65" s="10" t="s">
        <v>1641</v>
      </c>
      <c r="B65" s="44"/>
      <c r="C65" s="44"/>
      <c r="D65" s="10"/>
      <c r="E65" s="10"/>
      <c r="F65" s="10"/>
      <c r="G65" s="10"/>
      <c r="H65" s="10"/>
      <c r="I65" s="10"/>
    </row>
    <row r="66" spans="1:9" x14ac:dyDescent="0.3">
      <c r="A66" t="s">
        <v>3</v>
      </c>
      <c r="B66" t="s">
        <v>2</v>
      </c>
      <c r="C66" t="s">
        <v>1</v>
      </c>
    </row>
    <row r="67" spans="1:9" x14ac:dyDescent="0.3">
      <c r="A67" t="s">
        <v>80</v>
      </c>
      <c r="B67" t="s">
        <v>79</v>
      </c>
      <c r="C67" t="s">
        <v>8</v>
      </c>
      <c r="D67" t="s">
        <v>0</v>
      </c>
    </row>
    <row r="68" spans="1:9" x14ac:dyDescent="0.3">
      <c r="A68" t="s">
        <v>96</v>
      </c>
      <c r="B68" t="s">
        <v>79</v>
      </c>
      <c r="C68" t="s">
        <v>8</v>
      </c>
      <c r="D68" t="s">
        <v>44</v>
      </c>
    </row>
    <row r="69" spans="1:9" x14ac:dyDescent="0.3">
      <c r="A69" t="s">
        <v>110</v>
      </c>
      <c r="B69" t="s">
        <v>79</v>
      </c>
      <c r="C69" t="s">
        <v>8</v>
      </c>
      <c r="D69" t="s">
        <v>93</v>
      </c>
    </row>
    <row r="70" spans="1:9" x14ac:dyDescent="0.3">
      <c r="A70" t="s">
        <v>337</v>
      </c>
      <c r="B70" t="s">
        <v>79</v>
      </c>
      <c r="C70" t="s">
        <v>328</v>
      </c>
      <c r="D70" t="s">
        <v>108</v>
      </c>
    </row>
    <row r="71" spans="1:9" x14ac:dyDescent="0.3">
      <c r="A71" t="s">
        <v>348</v>
      </c>
      <c r="B71" t="s">
        <v>79</v>
      </c>
      <c r="C71" t="s">
        <v>328</v>
      </c>
      <c r="D71" t="s">
        <v>335</v>
      </c>
    </row>
    <row r="72" spans="1:9" x14ac:dyDescent="0.3">
      <c r="A72" t="s">
        <v>360</v>
      </c>
      <c r="B72" t="s">
        <v>79</v>
      </c>
      <c r="C72" t="s">
        <v>328</v>
      </c>
      <c r="D72" t="s">
        <v>346</v>
      </c>
    </row>
    <row r="73" spans="1:9" x14ac:dyDescent="0.3">
      <c r="D73" t="s">
        <v>358</v>
      </c>
    </row>
    <row r="74" spans="1:9" x14ac:dyDescent="0.3">
      <c r="A74" t="s">
        <v>70</v>
      </c>
      <c r="B74" t="s">
        <v>69</v>
      </c>
      <c r="C74" t="s">
        <v>8</v>
      </c>
    </row>
    <row r="75" spans="1:9" x14ac:dyDescent="0.3">
      <c r="A75" t="s">
        <v>101</v>
      </c>
      <c r="B75" t="s">
        <v>69</v>
      </c>
      <c r="C75" t="s">
        <v>8</v>
      </c>
      <c r="D75" t="s">
        <v>44</v>
      </c>
    </row>
    <row r="76" spans="1:9" x14ac:dyDescent="0.3">
      <c r="A76" t="s">
        <v>115</v>
      </c>
      <c r="B76" t="s">
        <v>69</v>
      </c>
      <c r="C76" t="s">
        <v>8</v>
      </c>
      <c r="D76" t="s">
        <v>93</v>
      </c>
    </row>
    <row r="77" spans="1:9" x14ac:dyDescent="0.3">
      <c r="A77" t="s">
        <v>342</v>
      </c>
      <c r="B77" t="s">
        <v>69</v>
      </c>
      <c r="C77" t="s">
        <v>328</v>
      </c>
      <c r="D77" t="s">
        <v>108</v>
      </c>
    </row>
    <row r="78" spans="1:9" x14ac:dyDescent="0.3">
      <c r="A78" t="s">
        <v>355</v>
      </c>
      <c r="B78" t="s">
        <v>69</v>
      </c>
      <c r="C78" t="s">
        <v>328</v>
      </c>
      <c r="D78" t="s">
        <v>335</v>
      </c>
    </row>
    <row r="79" spans="1:9" x14ac:dyDescent="0.3">
      <c r="A79" t="s">
        <v>365</v>
      </c>
      <c r="B79" t="s">
        <v>69</v>
      </c>
      <c r="C79" t="s">
        <v>328</v>
      </c>
      <c r="D79" t="s">
        <v>346</v>
      </c>
    </row>
    <row r="80" spans="1:9" x14ac:dyDescent="0.3">
      <c r="D80" t="s">
        <v>358</v>
      </c>
    </row>
    <row r="85" spans="1:5" x14ac:dyDescent="0.3">
      <c r="A85" t="s">
        <v>1098</v>
      </c>
      <c r="B85" t="s">
        <v>526</v>
      </c>
    </row>
    <row r="86" spans="1:5" x14ac:dyDescent="0.3">
      <c r="A86" t="s">
        <v>1246</v>
      </c>
      <c r="B86" t="s">
        <v>1100</v>
      </c>
      <c r="C86" t="s">
        <v>1101</v>
      </c>
    </row>
    <row r="87" spans="1:5" x14ac:dyDescent="0.3">
      <c r="A87" t="s">
        <v>1247</v>
      </c>
      <c r="B87" t="s">
        <v>1121</v>
      </c>
      <c r="C87" t="s">
        <v>1101</v>
      </c>
      <c r="D87" s="29">
        <v>41474.581944444442</v>
      </c>
      <c r="E87" t="s">
        <v>1212</v>
      </c>
    </row>
    <row r="88" spans="1:5" x14ac:dyDescent="0.3">
      <c r="A88" t="s">
        <v>1248</v>
      </c>
      <c r="B88" t="s">
        <v>1141</v>
      </c>
      <c r="C88" t="s">
        <v>1101</v>
      </c>
      <c r="D88" s="29">
        <v>41535.589583333334</v>
      </c>
      <c r="E88" t="s">
        <v>1249</v>
      </c>
    </row>
    <row r="89" spans="1:5" x14ac:dyDescent="0.3">
      <c r="A89" t="s">
        <v>1250</v>
      </c>
      <c r="B89" t="s">
        <v>1100</v>
      </c>
      <c r="C89" t="s">
        <v>1101</v>
      </c>
      <c r="D89" s="29">
        <v>41533.583333333336</v>
      </c>
    </row>
    <row r="90" spans="1:5" x14ac:dyDescent="0.3">
      <c r="A90" t="s">
        <v>1251</v>
      </c>
      <c r="B90" t="s">
        <v>1141</v>
      </c>
      <c r="C90" t="s">
        <v>1101</v>
      </c>
      <c r="D90" s="29">
        <v>41474.581944444442</v>
      </c>
      <c r="E90" t="s">
        <v>1249</v>
      </c>
    </row>
    <row r="91" spans="1:5" x14ac:dyDescent="0.3">
      <c r="A91" t="s">
        <v>1252</v>
      </c>
      <c r="B91" t="s">
        <v>1141</v>
      </c>
      <c r="C91" t="s">
        <v>1101</v>
      </c>
      <c r="D91" s="29">
        <v>41533.583333333336</v>
      </c>
      <c r="E91" t="s">
        <v>1249</v>
      </c>
    </row>
    <row r="92" spans="1:5" x14ac:dyDescent="0.3">
      <c r="D92" s="29">
        <v>41533.583333333336</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C8C800"/>
    <pageSetUpPr fitToPage="1"/>
  </sheetPr>
  <dimension ref="A1:I61"/>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141</v>
      </c>
    </row>
    <row r="2" spans="1:9" ht="15" x14ac:dyDescent="0.25">
      <c r="A2" s="167" t="s">
        <v>3454</v>
      </c>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D3" s="33">
        <f t="shared" ref="D3:I6" si="0">D36</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D4" s="33">
        <f t="shared" si="0"/>
        <v>0</v>
      </c>
      <c r="E4" s="33">
        <f t="shared" si="0"/>
        <v>0</v>
      </c>
      <c r="F4" s="33">
        <f t="shared" si="0"/>
        <v>0</v>
      </c>
      <c r="G4" s="33">
        <f t="shared" si="0"/>
        <v>0</v>
      </c>
      <c r="H4" s="33">
        <f t="shared" si="0"/>
        <v>0</v>
      </c>
      <c r="I4" s="33">
        <f t="shared" si="0"/>
        <v>0</v>
      </c>
    </row>
    <row r="5" spans="1:9" ht="15" x14ac:dyDescent="0.25">
      <c r="A5" t="s">
        <v>1649</v>
      </c>
      <c r="B5" s="33"/>
      <c r="D5" s="33">
        <f t="shared" si="0"/>
        <v>4848.9630556640614</v>
      </c>
      <c r="E5" s="33">
        <f t="shared" si="0"/>
        <v>922.49999999999989</v>
      </c>
      <c r="F5" s="33">
        <f t="shared" si="0"/>
        <v>945.56249999999989</v>
      </c>
      <c r="G5" s="33">
        <f t="shared" si="0"/>
        <v>969.20156249999991</v>
      </c>
      <c r="H5" s="33">
        <f t="shared" si="0"/>
        <v>993.43160156249974</v>
      </c>
      <c r="I5" s="33">
        <f t="shared" si="0"/>
        <v>1018.2673916015622</v>
      </c>
    </row>
    <row r="6" spans="1:9" ht="15" x14ac:dyDescent="0.25">
      <c r="A6" t="s">
        <v>1650</v>
      </c>
      <c r="B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t="s">
        <v>1657</v>
      </c>
    </row>
    <row r="13" spans="1:9" ht="15" x14ac:dyDescent="0.25">
      <c r="A13" t="s">
        <v>1617</v>
      </c>
    </row>
    <row r="14" spans="1:9" ht="15" x14ac:dyDescent="0.25">
      <c r="B14" s="39" t="s">
        <v>1573</v>
      </c>
      <c r="C14" s="39">
        <v>6</v>
      </c>
    </row>
    <row r="15" spans="1:9" ht="15" x14ac:dyDescent="0.25">
      <c r="B15" s="39" t="s">
        <v>1574</v>
      </c>
      <c r="C15" s="39">
        <v>6</v>
      </c>
    </row>
    <row r="16" spans="1:9" ht="15" x14ac:dyDescent="0.25">
      <c r="B16" s="39" t="s">
        <v>1575</v>
      </c>
      <c r="C16" s="39">
        <v>6</v>
      </c>
    </row>
    <row r="17" spans="1:9" ht="15" x14ac:dyDescent="0.25">
      <c r="B17" s="39" t="s">
        <v>1576</v>
      </c>
      <c r="C17" s="39">
        <v>6</v>
      </c>
    </row>
    <row r="18" spans="1:9" ht="15" x14ac:dyDescent="0.25">
      <c r="A18" s="12" t="s">
        <v>1640</v>
      </c>
      <c r="B18" s="12"/>
      <c r="C18" s="12">
        <f>SUM(C14:C17)</f>
        <v>24</v>
      </c>
    </row>
    <row r="20" spans="1:9" s="301" customFormat="1" ht="15" x14ac:dyDescent="0.25">
      <c r="A20" s="301" t="s">
        <v>1992</v>
      </c>
    </row>
    <row r="21" spans="1:9" s="301" customFormat="1" ht="15" x14ac:dyDescent="0.25">
      <c r="A21" s="301" t="s">
        <v>3254</v>
      </c>
    </row>
    <row r="22" spans="1:9" ht="15" x14ac:dyDescent="0.25">
      <c r="E22" s="30" t="str">
        <f>Summary!C4</f>
        <v>2015/16</v>
      </c>
      <c r="F22" s="30" t="str">
        <f>Summary!D4</f>
        <v>2016/17</v>
      </c>
      <c r="G22" s="30" t="str">
        <f>Summary!E4</f>
        <v>2017/18</v>
      </c>
      <c r="H22" s="30" t="str">
        <f>Summary!F4</f>
        <v>2018/19</v>
      </c>
      <c r="I22" s="30" t="str">
        <f>Summary!G4</f>
        <v>2019/20</v>
      </c>
    </row>
    <row r="23" spans="1:9" x14ac:dyDescent="0.3">
      <c r="A23" s="45" t="s">
        <v>1237</v>
      </c>
      <c r="B23" s="45" t="s">
        <v>56</v>
      </c>
      <c r="C23" s="45"/>
      <c r="D23" s="45"/>
      <c r="E23" s="45">
        <v>1</v>
      </c>
      <c r="F23" s="45">
        <v>1</v>
      </c>
      <c r="G23" s="45">
        <v>1</v>
      </c>
      <c r="H23" s="45">
        <v>1</v>
      </c>
      <c r="I23" s="45">
        <v>1</v>
      </c>
    </row>
    <row r="24" spans="1:9" ht="15" x14ac:dyDescent="0.25">
      <c r="A24" s="8" t="s">
        <v>1646</v>
      </c>
      <c r="C24" s="39"/>
    </row>
    <row r="25" spans="1:9" ht="15" x14ac:dyDescent="0.25">
      <c r="A25" s="14" t="s">
        <v>1658</v>
      </c>
      <c r="B25" s="74">
        <f>APATechnicianHours/C18</f>
        <v>4.1666666666666664E-2</v>
      </c>
      <c r="C25" s="14" t="s">
        <v>1644</v>
      </c>
    </row>
    <row r="26" spans="1:9" ht="15" x14ac:dyDescent="0.25">
      <c r="A26" s="14" t="s">
        <v>1997</v>
      </c>
      <c r="B26" s="74">
        <f>APASupervisorHours/C18</f>
        <v>0.3576388888888889</v>
      </c>
      <c r="C26" s="14" t="s">
        <v>1645</v>
      </c>
    </row>
    <row r="27" spans="1:9" ht="15" x14ac:dyDescent="0.25">
      <c r="A27" s="14" t="s">
        <v>1643</v>
      </c>
      <c r="B27" s="55">
        <v>0</v>
      </c>
      <c r="C27" s="14"/>
    </row>
    <row r="28" spans="1:9" ht="15" x14ac:dyDescent="0.25">
      <c r="A28" s="14"/>
      <c r="B28" s="55"/>
      <c r="C28" s="14"/>
    </row>
    <row r="29" spans="1:9" ht="15" x14ac:dyDescent="0.25">
      <c r="A29" s="42" t="s">
        <v>1647</v>
      </c>
      <c r="B29" s="15"/>
      <c r="C29" s="14"/>
    </row>
    <row r="30" spans="1:9" ht="15" x14ac:dyDescent="0.25">
      <c r="A30" s="14" t="s">
        <v>1656</v>
      </c>
      <c r="B30" s="15">
        <v>0.5</v>
      </c>
      <c r="C30" s="14" t="s">
        <v>3265</v>
      </c>
    </row>
    <row r="31" spans="1:9" x14ac:dyDescent="0.3">
      <c r="A31" s="14" t="s">
        <v>1651</v>
      </c>
      <c r="B31" s="55">
        <f>ElectricalContractorHourlyRate</f>
        <v>75</v>
      </c>
      <c r="C31" s="14"/>
    </row>
    <row r="32" spans="1:9" x14ac:dyDescent="0.3">
      <c r="A32" s="14" t="s">
        <v>1649</v>
      </c>
      <c r="B32" s="55">
        <f>B30*B31</f>
        <v>37.5</v>
      </c>
      <c r="C32" s="14"/>
    </row>
    <row r="33" spans="1:9" x14ac:dyDescent="0.3">
      <c r="A33" s="14" t="s">
        <v>1650</v>
      </c>
      <c r="B33" s="55">
        <v>0</v>
      </c>
      <c r="C33" s="14"/>
    </row>
    <row r="34" spans="1:9" x14ac:dyDescent="0.3">
      <c r="A34" s="14"/>
      <c r="B34" s="41"/>
      <c r="C34" s="14"/>
    </row>
    <row r="35" spans="1:9" x14ac:dyDescent="0.3">
      <c r="A35" s="14"/>
      <c r="B35" s="46" t="s">
        <v>2712</v>
      </c>
      <c r="C35" s="46" t="s">
        <v>2720</v>
      </c>
      <c r="D35" s="30" t="s">
        <v>1655</v>
      </c>
      <c r="E35" s="30" t="str">
        <f>Summary!C4</f>
        <v>2015/16</v>
      </c>
      <c r="F35" s="30" t="str">
        <f>Summary!D4</f>
        <v>2016/17</v>
      </c>
      <c r="G35" s="30" t="str">
        <f>Summary!E4</f>
        <v>2017/18</v>
      </c>
      <c r="H35" s="30" t="str">
        <f>Summary!F4</f>
        <v>2018/19</v>
      </c>
      <c r="I35" s="30" t="str">
        <f>Summary!G4</f>
        <v>2019/20</v>
      </c>
    </row>
    <row r="36" spans="1:9" x14ac:dyDescent="0.3">
      <c r="A36" s="14" t="s">
        <v>1648</v>
      </c>
      <c r="B36" s="40">
        <f>B25*HourlyRateAPAMaintenanceStaff+B26*HourlyRateAPAOMSupervisor</f>
        <v>49.561500000000009</v>
      </c>
      <c r="C36" s="40">
        <f>B36*$C$18</f>
        <v>1189.4760000000001</v>
      </c>
      <c r="D36" s="47">
        <f>C36*SUMPRODUCT(LabourAdjustmentFactor,E$23:I$23)</f>
        <v>6408.5835328878511</v>
      </c>
      <c r="E36" s="40">
        <f>$C36*E$23*'Modelling Assumptions'!E$101</f>
        <v>1219.2129</v>
      </c>
      <c r="F36" s="40">
        <f>$C36*F$23*'Modelling Assumptions'!F$101</f>
        <v>1249.6932225</v>
      </c>
      <c r="G36" s="40">
        <f>$C36*G$23*'Modelling Assumptions'!G$101</f>
        <v>1280.9355530625</v>
      </c>
      <c r="H36" s="40">
        <f>$C36*H$23*'Modelling Assumptions'!H$101</f>
        <v>1312.9589418890623</v>
      </c>
      <c r="I36" s="40">
        <f>$C36*I$23*'Modelling Assumptions'!I$101</f>
        <v>1345.7829154362887</v>
      </c>
    </row>
    <row r="37" spans="1:9" x14ac:dyDescent="0.3">
      <c r="A37" s="14" t="s">
        <v>1643</v>
      </c>
      <c r="B37" s="40">
        <f>B27</f>
        <v>0</v>
      </c>
      <c r="C37" s="40">
        <f>B37*$C$18</f>
        <v>0</v>
      </c>
      <c r="D37" s="47">
        <f>C37*SUMPRODUCT(MaterialsAdjustmentFactor,E$23:I$23)</f>
        <v>0</v>
      </c>
      <c r="E37" s="40">
        <f>$C37*E$23*'Modelling Assumptions'!E$102</f>
        <v>0</v>
      </c>
      <c r="F37" s="40">
        <f>$C37*F$23*'Modelling Assumptions'!F$102</f>
        <v>0</v>
      </c>
      <c r="G37" s="40">
        <f>$C37*G$23*'Modelling Assumptions'!G$102</f>
        <v>0</v>
      </c>
      <c r="H37" s="40">
        <f>$C37*H$23*'Modelling Assumptions'!H$102</f>
        <v>0</v>
      </c>
      <c r="I37" s="40">
        <f>$C37*I$23*'Modelling Assumptions'!I$102</f>
        <v>0</v>
      </c>
    </row>
    <row r="38" spans="1:9" x14ac:dyDescent="0.3">
      <c r="A38" s="14" t="s">
        <v>1649</v>
      </c>
      <c r="B38" s="40">
        <f>B32</f>
        <v>37.5</v>
      </c>
      <c r="C38" s="40">
        <f>B38*$C$18</f>
        <v>900</v>
      </c>
      <c r="D38" s="47">
        <f>C38*SUMPRODUCT(LabourAdjustmentFactor,E$23:I$23)</f>
        <v>4848.9630556640614</v>
      </c>
      <c r="E38" s="40">
        <f>$C38*E$23*'Modelling Assumptions'!E$101</f>
        <v>922.49999999999989</v>
      </c>
      <c r="F38" s="40">
        <f>$C38*F$23*'Modelling Assumptions'!F$101</f>
        <v>945.56249999999989</v>
      </c>
      <c r="G38" s="40">
        <f>$C38*G$23*'Modelling Assumptions'!G$101</f>
        <v>969.20156249999991</v>
      </c>
      <c r="H38" s="40">
        <f>$C38*H$23*'Modelling Assumptions'!H$101</f>
        <v>993.43160156249974</v>
      </c>
      <c r="I38" s="40">
        <f>$C38*I$23*'Modelling Assumptions'!I$101</f>
        <v>1018.2673916015622</v>
      </c>
    </row>
    <row r="39" spans="1:9" x14ac:dyDescent="0.3">
      <c r="A39" s="14" t="s">
        <v>1650</v>
      </c>
      <c r="B39" s="40">
        <f>B33</f>
        <v>0</v>
      </c>
      <c r="C39" s="40">
        <f>B39*$C$18</f>
        <v>0</v>
      </c>
      <c r="D39" s="47">
        <f>C39*SUMPRODUCT(MaterialsAdjustmentFactor,E$23:I$23)</f>
        <v>0</v>
      </c>
      <c r="E39" s="40">
        <f>$C39*E$23*'Modelling Assumptions'!E$102</f>
        <v>0</v>
      </c>
      <c r="F39" s="40">
        <f>$C39*F$23*'Modelling Assumptions'!F$102</f>
        <v>0</v>
      </c>
      <c r="G39" s="40">
        <f>$C39*G$23*'Modelling Assumptions'!G$102</f>
        <v>0</v>
      </c>
      <c r="H39" s="40">
        <f>$C39*H$23*'Modelling Assumptions'!H$102</f>
        <v>0</v>
      </c>
      <c r="I39" s="40">
        <f>$C39*I$23*'Modelling Assumptions'!I$102</f>
        <v>0</v>
      </c>
    </row>
    <row r="42" spans="1:9" x14ac:dyDescent="0.3">
      <c r="A42" s="10" t="s">
        <v>1641</v>
      </c>
      <c r="B42" s="44"/>
      <c r="C42" s="44"/>
      <c r="D42" s="10"/>
      <c r="E42" s="10"/>
      <c r="F42" s="10"/>
      <c r="G42" s="10"/>
      <c r="H42" s="10"/>
      <c r="I42" s="10"/>
    </row>
    <row r="43" spans="1:9" x14ac:dyDescent="0.3">
      <c r="A43" t="s">
        <v>3</v>
      </c>
      <c r="B43" t="s">
        <v>2</v>
      </c>
      <c r="C43" t="s">
        <v>1</v>
      </c>
      <c r="D43" t="s">
        <v>0</v>
      </c>
    </row>
    <row r="44" spans="1:9" x14ac:dyDescent="0.3">
      <c r="A44" t="s">
        <v>142</v>
      </c>
      <c r="B44" t="s">
        <v>141</v>
      </c>
      <c r="C44" t="s">
        <v>44</v>
      </c>
      <c r="D44" t="s">
        <v>140</v>
      </c>
    </row>
    <row r="45" spans="1:9" x14ac:dyDescent="0.3">
      <c r="A45" t="s">
        <v>241</v>
      </c>
      <c r="B45" t="s">
        <v>141</v>
      </c>
      <c r="C45" t="s">
        <v>93</v>
      </c>
      <c r="D45" t="s">
        <v>240</v>
      </c>
    </row>
    <row r="46" spans="1:9" x14ac:dyDescent="0.3">
      <c r="A46" t="s">
        <v>285</v>
      </c>
      <c r="B46" t="s">
        <v>141</v>
      </c>
      <c r="C46" t="s">
        <v>108</v>
      </c>
      <c r="D46" t="s">
        <v>284</v>
      </c>
    </row>
    <row r="47" spans="1:9" x14ac:dyDescent="0.3">
      <c r="A47" t="s">
        <v>382</v>
      </c>
      <c r="B47" t="s">
        <v>141</v>
      </c>
      <c r="C47" t="s">
        <v>335</v>
      </c>
      <c r="D47" t="s">
        <v>381</v>
      </c>
    </row>
    <row r="48" spans="1:9" x14ac:dyDescent="0.3">
      <c r="A48" t="s">
        <v>430</v>
      </c>
      <c r="B48" t="s">
        <v>141</v>
      </c>
      <c r="C48" t="s">
        <v>346</v>
      </c>
      <c r="D48" t="s">
        <v>429</v>
      </c>
    </row>
    <row r="49" spans="1:5" x14ac:dyDescent="0.3">
      <c r="A49" t="s">
        <v>473</v>
      </c>
      <c r="B49" t="s">
        <v>141</v>
      </c>
      <c r="C49" t="s">
        <v>358</v>
      </c>
      <c r="D49" t="s">
        <v>472</v>
      </c>
    </row>
    <row r="55" spans="1:5" x14ac:dyDescent="0.3">
      <c r="A55" t="s">
        <v>1098</v>
      </c>
      <c r="B55" t="s">
        <v>511</v>
      </c>
    </row>
    <row r="56" spans="1:5" x14ac:dyDescent="0.3">
      <c r="A56" t="s">
        <v>1238</v>
      </c>
      <c r="B56" t="s">
        <v>1100</v>
      </c>
      <c r="C56" t="s">
        <v>1101</v>
      </c>
      <c r="D56" s="29">
        <v>41474.589583333334</v>
      </c>
      <c r="E56" t="s">
        <v>1115</v>
      </c>
    </row>
    <row r="57" spans="1:5" x14ac:dyDescent="0.3">
      <c r="A57" t="s">
        <v>1239</v>
      </c>
      <c r="B57" t="s">
        <v>1141</v>
      </c>
      <c r="C57" t="s">
        <v>1101</v>
      </c>
      <c r="D57" s="29">
        <v>41533.588888888888</v>
      </c>
      <c r="E57" t="s">
        <v>1122</v>
      </c>
    </row>
    <row r="58" spans="1:5" x14ac:dyDescent="0.3">
      <c r="A58" t="s">
        <v>1240</v>
      </c>
      <c r="B58" t="s">
        <v>1141</v>
      </c>
      <c r="C58" t="s">
        <v>1101</v>
      </c>
      <c r="D58" s="29">
        <v>41533.588888888888</v>
      </c>
      <c r="E58" t="s">
        <v>1122</v>
      </c>
    </row>
    <row r="59" spans="1:5" x14ac:dyDescent="0.3">
      <c r="A59" t="s">
        <v>1241</v>
      </c>
      <c r="B59" t="s">
        <v>1100</v>
      </c>
      <c r="C59" t="s">
        <v>1101</v>
      </c>
      <c r="D59" s="29">
        <v>41474.589583333334</v>
      </c>
      <c r="E59" t="s">
        <v>1115</v>
      </c>
    </row>
    <row r="60" spans="1:5" x14ac:dyDescent="0.3">
      <c r="A60" t="s">
        <v>1242</v>
      </c>
      <c r="B60" t="s">
        <v>1141</v>
      </c>
      <c r="C60" t="s">
        <v>1101</v>
      </c>
      <c r="D60" s="29">
        <v>41533.588888888888</v>
      </c>
      <c r="E60" t="s">
        <v>1122</v>
      </c>
    </row>
    <row r="61" spans="1:5" x14ac:dyDescent="0.3">
      <c r="A61" t="s">
        <v>1243</v>
      </c>
      <c r="B61" t="s">
        <v>1141</v>
      </c>
      <c r="C61" t="s">
        <v>1101</v>
      </c>
      <c r="D61" s="29">
        <v>41533.588888888888</v>
      </c>
      <c r="E61" t="s">
        <v>1122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rgb="FFC8C800"/>
    <pageSetUpPr fitToPage="1"/>
  </sheetPr>
  <dimension ref="A1:I62"/>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1455</v>
      </c>
    </row>
    <row r="2" spans="1:9" ht="15" x14ac:dyDescent="0.25">
      <c r="A2" s="167" t="s">
        <v>3454</v>
      </c>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D3" s="33">
        <f t="shared" ref="D3:I6" si="0">D35</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D4" s="33">
        <f t="shared" si="0"/>
        <v>0</v>
      </c>
      <c r="E4" s="33">
        <f t="shared" si="0"/>
        <v>0</v>
      </c>
      <c r="F4" s="33">
        <f t="shared" si="0"/>
        <v>0</v>
      </c>
      <c r="G4" s="33">
        <f t="shared" si="0"/>
        <v>0</v>
      </c>
      <c r="H4" s="33">
        <f t="shared" si="0"/>
        <v>0</v>
      </c>
      <c r="I4" s="33">
        <f t="shared" si="0"/>
        <v>0</v>
      </c>
    </row>
    <row r="5" spans="1:9" ht="15" x14ac:dyDescent="0.25">
      <c r="A5" t="s">
        <v>1649</v>
      </c>
      <c r="B5" s="33"/>
      <c r="D5" s="33">
        <f t="shared" si="0"/>
        <v>7677.5248381347647</v>
      </c>
      <c r="E5" s="33">
        <f t="shared" si="0"/>
        <v>1460.6249999999998</v>
      </c>
      <c r="F5" s="33">
        <f t="shared" si="0"/>
        <v>1497.1406249999998</v>
      </c>
      <c r="G5" s="33">
        <f t="shared" si="0"/>
        <v>1534.5691406249998</v>
      </c>
      <c r="H5" s="33">
        <f t="shared" si="0"/>
        <v>1572.9333691406246</v>
      </c>
      <c r="I5" s="33">
        <f t="shared" si="0"/>
        <v>1612.25670336914</v>
      </c>
    </row>
    <row r="6" spans="1:9" ht="15" x14ac:dyDescent="0.25">
      <c r="A6" t="s">
        <v>1650</v>
      </c>
      <c r="B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t="s">
        <v>2581</v>
      </c>
    </row>
    <row r="12" spans="1:9" s="301" customFormat="1" ht="15" x14ac:dyDescent="0.25"/>
    <row r="13" spans="1:9" ht="15" x14ac:dyDescent="0.25">
      <c r="A13" t="s">
        <v>3502</v>
      </c>
    </row>
    <row r="14" spans="1:9" ht="15" x14ac:dyDescent="0.25">
      <c r="B14" s="39" t="s">
        <v>1586</v>
      </c>
      <c r="C14" s="39">
        <v>18</v>
      </c>
    </row>
    <row r="15" spans="1:9" ht="15" x14ac:dyDescent="0.25">
      <c r="B15" s="39" t="s">
        <v>2740</v>
      </c>
      <c r="C15" s="39">
        <v>1</v>
      </c>
      <c r="D15" t="s">
        <v>3501</v>
      </c>
    </row>
    <row r="16" spans="1:9" ht="15" x14ac:dyDescent="0.25">
      <c r="A16" s="12" t="s">
        <v>1640</v>
      </c>
      <c r="B16" s="12"/>
      <c r="C16" s="12">
        <f>C15+C14</f>
        <v>19</v>
      </c>
    </row>
    <row r="18" spans="1:9" s="301" customFormat="1" ht="15" x14ac:dyDescent="0.25">
      <c r="A18" s="301" t="s">
        <v>1992</v>
      </c>
    </row>
    <row r="19" spans="1:9" s="301" customFormat="1" ht="15" x14ac:dyDescent="0.25">
      <c r="A19" s="301" t="s">
        <v>3254</v>
      </c>
    </row>
    <row r="20" spans="1:9" s="301" customFormat="1" ht="15" x14ac:dyDescent="0.25"/>
    <row r="21" spans="1:9" ht="15" x14ac:dyDescent="0.25">
      <c r="E21" s="30" t="str">
        <f>Summary!C4</f>
        <v>2015/16</v>
      </c>
      <c r="F21" s="30" t="str">
        <f>Summary!D4</f>
        <v>2016/17</v>
      </c>
      <c r="G21" s="30" t="str">
        <f>Summary!E4</f>
        <v>2017/18</v>
      </c>
      <c r="H21" s="30" t="str">
        <f>Summary!F4</f>
        <v>2018/19</v>
      </c>
      <c r="I21" s="30" t="str">
        <f>Summary!G4</f>
        <v>2019/20</v>
      </c>
    </row>
    <row r="22" spans="1:9" x14ac:dyDescent="0.3">
      <c r="A22" s="45" t="s">
        <v>1227</v>
      </c>
      <c r="B22" s="45" t="s">
        <v>56</v>
      </c>
      <c r="C22" s="45"/>
      <c r="D22" s="45"/>
      <c r="E22" s="45">
        <v>1</v>
      </c>
      <c r="F22" s="45">
        <v>1</v>
      </c>
      <c r="G22" s="45">
        <v>1</v>
      </c>
      <c r="H22" s="45">
        <v>1</v>
      </c>
      <c r="I22" s="45">
        <v>1</v>
      </c>
    </row>
    <row r="23" spans="1:9" ht="15" x14ac:dyDescent="0.25">
      <c r="A23" s="8" t="s">
        <v>1646</v>
      </c>
      <c r="C23" s="39"/>
    </row>
    <row r="24" spans="1:9" ht="15" x14ac:dyDescent="0.25">
      <c r="A24" s="14" t="s">
        <v>1658</v>
      </c>
      <c r="B24" s="74">
        <f>APATechnicianHours/C16</f>
        <v>5.2631578947368418E-2</v>
      </c>
      <c r="C24" s="14" t="s">
        <v>1660</v>
      </c>
    </row>
    <row r="25" spans="1:9" ht="15" x14ac:dyDescent="0.25">
      <c r="A25" s="14" t="s">
        <v>1997</v>
      </c>
      <c r="B25" s="74">
        <f>APASupervisorHours/C16</f>
        <v>0.4517543859649123</v>
      </c>
      <c r="C25" s="14" t="s">
        <v>1661</v>
      </c>
    </row>
    <row r="26" spans="1:9" ht="15" x14ac:dyDescent="0.25">
      <c r="A26" s="14" t="s">
        <v>1643</v>
      </c>
      <c r="B26" s="55">
        <v>0</v>
      </c>
      <c r="C26" s="14"/>
    </row>
    <row r="27" spans="1:9" ht="15" x14ac:dyDescent="0.25">
      <c r="A27" s="14"/>
      <c r="B27" s="55"/>
      <c r="C27" s="14"/>
    </row>
    <row r="28" spans="1:9" ht="15" x14ac:dyDescent="0.25">
      <c r="A28" s="42" t="s">
        <v>1647</v>
      </c>
      <c r="B28" s="15"/>
      <c r="C28" s="14"/>
    </row>
    <row r="29" spans="1:9" ht="15" x14ac:dyDescent="0.25">
      <c r="A29" s="14" t="s">
        <v>1656</v>
      </c>
      <c r="B29" s="15">
        <v>1</v>
      </c>
      <c r="C29" s="14" t="s">
        <v>3259</v>
      </c>
    </row>
    <row r="30" spans="1:9" ht="15" x14ac:dyDescent="0.25">
      <c r="A30" s="14" t="s">
        <v>1651</v>
      </c>
      <c r="B30" s="55">
        <f>ElectricalContractorHourlyRate</f>
        <v>75</v>
      </c>
      <c r="C30" s="14"/>
    </row>
    <row r="31" spans="1:9" x14ac:dyDescent="0.3">
      <c r="A31" s="14" t="s">
        <v>1649</v>
      </c>
      <c r="B31" s="55">
        <f>B29*B30</f>
        <v>75</v>
      </c>
      <c r="C31" s="14"/>
    </row>
    <row r="32" spans="1:9" x14ac:dyDescent="0.3">
      <c r="A32" s="14" t="s">
        <v>1650</v>
      </c>
      <c r="B32" s="55">
        <v>0</v>
      </c>
      <c r="C32" s="14"/>
    </row>
    <row r="33" spans="1:9" x14ac:dyDescent="0.3">
      <c r="A33" s="14"/>
      <c r="B33" s="41"/>
      <c r="C33" s="14"/>
    </row>
    <row r="34" spans="1:9" x14ac:dyDescent="0.3">
      <c r="A34" s="14"/>
      <c r="B34" s="46" t="s">
        <v>2712</v>
      </c>
      <c r="C34" s="46" t="s">
        <v>2720</v>
      </c>
      <c r="D34" s="30"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62.604000000000006</v>
      </c>
      <c r="C35" s="40">
        <f>B35*$C$16</f>
        <v>1189.4760000000001</v>
      </c>
      <c r="D35" s="47">
        <f>C35*SUMPRODUCT(LabourAdjustmentFactor,E$22:I$22)</f>
        <v>6408.5835328878511</v>
      </c>
      <c r="E35" s="40">
        <f>$C35*E$22*'Modelling Assumptions'!E$101</f>
        <v>1219.2129</v>
      </c>
      <c r="F35" s="40">
        <f>$C35*F$22*'Modelling Assumptions'!F$101</f>
        <v>1249.6932225</v>
      </c>
      <c r="G35" s="40">
        <f>$C35*G$22*'Modelling Assumptions'!G$101</f>
        <v>1280.9355530625</v>
      </c>
      <c r="H35" s="40">
        <f>$C35*H$22*'Modelling Assumptions'!H$101</f>
        <v>1312.9589418890623</v>
      </c>
      <c r="I35" s="40">
        <f>$C35*I$22*'Modelling Assumptions'!I$101</f>
        <v>1345.7829154362887</v>
      </c>
    </row>
    <row r="36" spans="1:9" x14ac:dyDescent="0.3">
      <c r="A36" s="14" t="s">
        <v>1643</v>
      </c>
      <c r="B36" s="40">
        <f>B26</f>
        <v>0</v>
      </c>
      <c r="C36" s="40">
        <f>B36*$C$16</f>
        <v>0</v>
      </c>
      <c r="D36" s="47">
        <f>C36*SUMPRODUCT(MaterialsAdjustmentFactor,E$22:I$22)</f>
        <v>0</v>
      </c>
      <c r="E36" s="40">
        <f>$C36*E$22*'Modelling Assumptions'!E$102</f>
        <v>0</v>
      </c>
      <c r="F36" s="40">
        <f>$C36*F$22*'Modelling Assumptions'!F$102</f>
        <v>0</v>
      </c>
      <c r="G36" s="40">
        <f>$C36*G$22*'Modelling Assumptions'!G$102</f>
        <v>0</v>
      </c>
      <c r="H36" s="40">
        <f>$C36*H$22*'Modelling Assumptions'!H$102</f>
        <v>0</v>
      </c>
      <c r="I36" s="40">
        <f>$C36*I$22*'Modelling Assumptions'!I$102</f>
        <v>0</v>
      </c>
    </row>
    <row r="37" spans="1:9" x14ac:dyDescent="0.3">
      <c r="A37" s="14" t="s">
        <v>1649</v>
      </c>
      <c r="B37" s="40">
        <f>B31</f>
        <v>75</v>
      </c>
      <c r="C37" s="40">
        <f>B37*$C$16</f>
        <v>1425</v>
      </c>
      <c r="D37" s="47">
        <f>C37*SUMPRODUCT(LabourAdjustmentFactor,E$22:I$22)</f>
        <v>7677.5248381347647</v>
      </c>
      <c r="E37" s="40">
        <f>$C37*E$22*'Modelling Assumptions'!E$101</f>
        <v>1460.6249999999998</v>
      </c>
      <c r="F37" s="40">
        <f>$C37*F$22*'Modelling Assumptions'!F$101</f>
        <v>1497.1406249999998</v>
      </c>
      <c r="G37" s="40">
        <f>$C37*G$22*'Modelling Assumptions'!G$101</f>
        <v>1534.5691406249998</v>
      </c>
      <c r="H37" s="40">
        <f>$C37*H$22*'Modelling Assumptions'!H$101</f>
        <v>1572.9333691406246</v>
      </c>
      <c r="I37" s="40">
        <f>$C37*I$22*'Modelling Assumptions'!I$101</f>
        <v>1612.25670336914</v>
      </c>
    </row>
    <row r="38" spans="1:9" x14ac:dyDescent="0.3">
      <c r="A38" s="14" t="s">
        <v>1650</v>
      </c>
      <c r="B38" s="40">
        <f>B32</f>
        <v>0</v>
      </c>
      <c r="C38" s="40">
        <f>B38*$C$16</f>
        <v>0</v>
      </c>
      <c r="D38" s="47">
        <f>C38*SUMPRODUCT(MaterialsAdjustmentFactor,E$22:I$22)</f>
        <v>0</v>
      </c>
      <c r="E38" s="40">
        <f>$C38*E$22*'Modelling Assumptions'!E$102</f>
        <v>0</v>
      </c>
      <c r="F38" s="40">
        <f>$C38*F$22*'Modelling Assumptions'!F$102</f>
        <v>0</v>
      </c>
      <c r="G38" s="40">
        <f>$C38*G$22*'Modelling Assumptions'!G$102</f>
        <v>0</v>
      </c>
      <c r="H38" s="40">
        <f>$C38*H$22*'Modelling Assumptions'!H$102</f>
        <v>0</v>
      </c>
      <c r="I38" s="40">
        <f>$C38*I$22*'Modelling Assumptions'!I$102</f>
        <v>0</v>
      </c>
    </row>
    <row r="41" spans="1:9" x14ac:dyDescent="0.3">
      <c r="A41" s="10" t="s">
        <v>1641</v>
      </c>
      <c r="B41" s="44"/>
      <c r="C41" s="44"/>
      <c r="D41" s="10"/>
      <c r="E41" s="10"/>
      <c r="F41" s="10"/>
      <c r="G41" s="10"/>
      <c r="H41" s="10"/>
      <c r="I41" s="10"/>
    </row>
    <row r="42" spans="1:9" x14ac:dyDescent="0.3">
      <c r="A42" t="s">
        <v>3</v>
      </c>
      <c r="B42" t="s">
        <v>2</v>
      </c>
      <c r="C42" t="s">
        <v>1</v>
      </c>
      <c r="D42" t="s">
        <v>0</v>
      </c>
    </row>
    <row r="43" spans="1:9" x14ac:dyDescent="0.3">
      <c r="A43" t="s">
        <v>136</v>
      </c>
      <c r="B43" t="s">
        <v>135</v>
      </c>
      <c r="C43" t="s">
        <v>122</v>
      </c>
      <c r="D43" t="s">
        <v>134</v>
      </c>
    </row>
    <row r="44" spans="1:9" x14ac:dyDescent="0.3">
      <c r="A44" t="s">
        <v>136</v>
      </c>
      <c r="B44" t="s">
        <v>135</v>
      </c>
      <c r="C44" t="s">
        <v>29</v>
      </c>
      <c r="D44" t="s">
        <v>181</v>
      </c>
    </row>
    <row r="45" spans="1:9" x14ac:dyDescent="0.3">
      <c r="A45" t="s">
        <v>136</v>
      </c>
      <c r="B45" t="s">
        <v>135</v>
      </c>
      <c r="C45" t="s">
        <v>229</v>
      </c>
      <c r="D45" t="s">
        <v>238</v>
      </c>
    </row>
    <row r="46" spans="1:9" x14ac:dyDescent="0.3">
      <c r="A46" t="s">
        <v>136</v>
      </c>
      <c r="B46" t="s">
        <v>135</v>
      </c>
      <c r="C46" t="s">
        <v>273</v>
      </c>
      <c r="D46" t="s">
        <v>282</v>
      </c>
    </row>
    <row r="47" spans="1:9" x14ac:dyDescent="0.3">
      <c r="A47" t="s">
        <v>136</v>
      </c>
      <c r="B47" t="s">
        <v>135</v>
      </c>
      <c r="C47" t="s">
        <v>370</v>
      </c>
      <c r="D47" t="s">
        <v>379</v>
      </c>
    </row>
    <row r="48" spans="1:9" x14ac:dyDescent="0.3">
      <c r="A48" t="s">
        <v>136</v>
      </c>
      <c r="B48" t="s">
        <v>135</v>
      </c>
      <c r="C48" t="s">
        <v>418</v>
      </c>
      <c r="D48" t="s">
        <v>427</v>
      </c>
    </row>
    <row r="49" spans="1:5" x14ac:dyDescent="0.3">
      <c r="A49" t="s">
        <v>136</v>
      </c>
      <c r="B49" t="s">
        <v>135</v>
      </c>
      <c r="C49" t="s">
        <v>461</v>
      </c>
      <c r="D49" t="s">
        <v>470</v>
      </c>
    </row>
    <row r="55" spans="1:5" x14ac:dyDescent="0.3">
      <c r="A55" t="s">
        <v>1098</v>
      </c>
      <c r="B55" t="s">
        <v>512</v>
      </c>
    </row>
    <row r="56" spans="1:5" x14ac:dyDescent="0.3">
      <c r="A56" t="s">
        <v>1228</v>
      </c>
      <c r="B56" t="s">
        <v>1100</v>
      </c>
      <c r="C56" t="s">
        <v>1101</v>
      </c>
      <c r="D56" s="29">
        <v>41474.648611111108</v>
      </c>
      <c r="E56" t="s">
        <v>1115</v>
      </c>
    </row>
    <row r="57" spans="1:5" x14ac:dyDescent="0.3">
      <c r="A57" t="s">
        <v>1229</v>
      </c>
      <c r="B57" t="s">
        <v>1179</v>
      </c>
      <c r="C57" t="s">
        <v>1101</v>
      </c>
      <c r="D57" s="29">
        <v>41533.593055555553</v>
      </c>
      <c r="E57" t="s">
        <v>1230</v>
      </c>
    </row>
    <row r="58" spans="1:5" x14ac:dyDescent="0.3">
      <c r="A58" t="s">
        <v>1231</v>
      </c>
      <c r="B58" t="s">
        <v>1179</v>
      </c>
      <c r="C58" t="s">
        <v>1101</v>
      </c>
      <c r="D58" s="29">
        <v>41533.593055555553</v>
      </c>
      <c r="E58" t="s">
        <v>1230</v>
      </c>
    </row>
    <row r="59" spans="1:5" x14ac:dyDescent="0.3">
      <c r="A59" t="s">
        <v>1232</v>
      </c>
      <c r="B59" t="s">
        <v>1179</v>
      </c>
      <c r="C59" t="s">
        <v>1101</v>
      </c>
      <c r="D59" s="29">
        <v>41533.593055555553</v>
      </c>
      <c r="E59" t="s">
        <v>1230</v>
      </c>
    </row>
    <row r="60" spans="1:5" x14ac:dyDescent="0.3">
      <c r="A60" t="s">
        <v>1233</v>
      </c>
      <c r="B60" t="s">
        <v>1100</v>
      </c>
      <c r="C60" t="s">
        <v>1101</v>
      </c>
      <c r="D60" s="29">
        <v>41474.648611111108</v>
      </c>
      <c r="E60" t="s">
        <v>1115</v>
      </c>
    </row>
    <row r="61" spans="1:5" x14ac:dyDescent="0.3">
      <c r="A61" t="s">
        <v>1234</v>
      </c>
      <c r="B61" t="s">
        <v>1114</v>
      </c>
      <c r="C61" t="s">
        <v>1101</v>
      </c>
      <c r="D61" s="29">
        <v>41533.616666666669</v>
      </c>
      <c r="E61" t="s">
        <v>1235</v>
      </c>
    </row>
    <row r="62" spans="1:5" x14ac:dyDescent="0.3">
      <c r="A62" t="s">
        <v>1236</v>
      </c>
      <c r="B62" t="s">
        <v>1114</v>
      </c>
      <c r="C62" t="s">
        <v>1101</v>
      </c>
      <c r="D62" s="29">
        <v>41533.616666666669</v>
      </c>
      <c r="E62" t="s">
        <v>1235</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tabColor rgb="FFC8C800"/>
    <pageSetUpPr fitToPage="1"/>
  </sheetPr>
  <dimension ref="A1:I70"/>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131</v>
      </c>
    </row>
    <row r="2" spans="1:9" ht="15" x14ac:dyDescent="0.25">
      <c r="A2" s="167" t="s">
        <v>3454</v>
      </c>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D3" s="33">
        <f t="shared" ref="D3:I6" si="0">D35</f>
        <v>7488.8355224286906</v>
      </c>
      <c r="E3" s="33">
        <f t="shared" si="0"/>
        <v>1424.7274499999999</v>
      </c>
      <c r="F3" s="33">
        <f t="shared" si="0"/>
        <v>1460.3456362499999</v>
      </c>
      <c r="G3" s="33">
        <f t="shared" si="0"/>
        <v>1496.85427715625</v>
      </c>
      <c r="H3" s="33">
        <f t="shared" si="0"/>
        <v>1534.2756340851561</v>
      </c>
      <c r="I3" s="33">
        <f t="shared" si="0"/>
        <v>1572.6325249372846</v>
      </c>
    </row>
    <row r="4" spans="1:9" ht="15" x14ac:dyDescent="0.25">
      <c r="A4" t="s">
        <v>1643</v>
      </c>
      <c r="B4" s="33"/>
      <c r="D4" s="33">
        <f t="shared" si="0"/>
        <v>2734.2049421500001</v>
      </c>
      <c r="E4" s="33">
        <f t="shared" si="0"/>
        <v>515</v>
      </c>
      <c r="F4" s="33">
        <f t="shared" si="0"/>
        <v>530.44999999999993</v>
      </c>
      <c r="G4" s="33">
        <f t="shared" si="0"/>
        <v>546.36350000000004</v>
      </c>
      <c r="H4" s="33">
        <f t="shared" si="0"/>
        <v>562.75440499999991</v>
      </c>
      <c r="I4" s="33">
        <f t="shared" si="0"/>
        <v>579.63703714999997</v>
      </c>
    </row>
    <row r="5" spans="1:9" ht="15" x14ac:dyDescent="0.25">
      <c r="A5" t="s">
        <v>1649</v>
      </c>
      <c r="B5" s="33"/>
      <c r="D5" s="33">
        <f t="shared" si="0"/>
        <v>408218.03644617181</v>
      </c>
      <c r="E5" s="33">
        <f t="shared" si="0"/>
        <v>77662.2</v>
      </c>
      <c r="F5" s="33">
        <f t="shared" si="0"/>
        <v>79603.75499999999</v>
      </c>
      <c r="G5" s="33">
        <f t="shared" si="0"/>
        <v>81593.848874999996</v>
      </c>
      <c r="H5" s="33">
        <f t="shared" si="0"/>
        <v>83633.695096874988</v>
      </c>
      <c r="I5" s="33">
        <f t="shared" si="0"/>
        <v>85724.537474296842</v>
      </c>
    </row>
    <row r="6" spans="1:9" ht="15" x14ac:dyDescent="0.25">
      <c r="A6" t="s">
        <v>1650</v>
      </c>
      <c r="B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3098</v>
      </c>
    </row>
    <row r="12" spans="1:9" ht="15" x14ac:dyDescent="0.25">
      <c r="A12" t="s">
        <v>1512</v>
      </c>
    </row>
    <row r="13" spans="1:9" ht="15" x14ac:dyDescent="0.25">
      <c r="B13" t="s">
        <v>1583</v>
      </c>
      <c r="C13">
        <v>7</v>
      </c>
      <c r="D13" t="s">
        <v>2196</v>
      </c>
    </row>
    <row r="14" spans="1:9" ht="15" x14ac:dyDescent="0.25">
      <c r="A14" s="12" t="s">
        <v>1640</v>
      </c>
      <c r="B14" s="12"/>
      <c r="C14" s="12">
        <f>C13</f>
        <v>7</v>
      </c>
    </row>
    <row r="16" spans="1:9" ht="15" x14ac:dyDescent="0.25">
      <c r="A16" t="s">
        <v>1992</v>
      </c>
    </row>
    <row r="17" spans="1:9" ht="15" x14ac:dyDescent="0.25">
      <c r="A17" t="s">
        <v>2194</v>
      </c>
    </row>
    <row r="18" spans="1:9" ht="15" x14ac:dyDescent="0.25">
      <c r="A18" t="str">
        <f>CONCATENATE("The contract is reported as $",B41," per year for each site")</f>
        <v>The contract is reported as $32472 per year for each site</v>
      </c>
    </row>
    <row r="19" spans="1:9" ht="15" x14ac:dyDescent="0.25">
      <c r="A19" t="s">
        <v>2197</v>
      </c>
    </row>
    <row r="20" spans="1:9" ht="15" x14ac:dyDescent="0.25">
      <c r="A20" t="s">
        <v>2195</v>
      </c>
    </row>
    <row r="21" spans="1:9" ht="15" x14ac:dyDescent="0.25">
      <c r="E21" s="30" t="str">
        <f>Summary!C4</f>
        <v>2015/16</v>
      </c>
      <c r="F21" s="30" t="str">
        <f>Summary!D4</f>
        <v>2016/17</v>
      </c>
      <c r="G21" s="30" t="str">
        <f>Summary!E4</f>
        <v>2017/18</v>
      </c>
      <c r="H21" s="30" t="str">
        <f>Summary!F4</f>
        <v>2018/19</v>
      </c>
      <c r="I21" s="30" t="str">
        <f>Summary!G4</f>
        <v>2019/20</v>
      </c>
    </row>
    <row r="22" spans="1:9" x14ac:dyDescent="0.3">
      <c r="A22" s="45" t="s">
        <v>1218</v>
      </c>
      <c r="B22" s="45" t="s">
        <v>56</v>
      </c>
      <c r="C22" s="45"/>
      <c r="D22" s="45"/>
      <c r="E22" s="45">
        <v>1</v>
      </c>
      <c r="F22" s="45">
        <v>1</v>
      </c>
      <c r="G22" s="45">
        <v>1</v>
      </c>
      <c r="H22" s="45">
        <v>1</v>
      </c>
      <c r="I22" s="45">
        <v>1</v>
      </c>
    </row>
    <row r="23" spans="1:9" ht="15" x14ac:dyDescent="0.25">
      <c r="A23" s="8" t="s">
        <v>1646</v>
      </c>
      <c r="C23" s="39"/>
    </row>
    <row r="24" spans="1:9" ht="15" x14ac:dyDescent="0.25">
      <c r="A24" s="14" t="s">
        <v>1658</v>
      </c>
      <c r="B24" s="74">
        <f>(APATechnicianHours+B49*B47*2)/C14</f>
        <v>0.42857142857142855</v>
      </c>
      <c r="C24" s="14" t="s">
        <v>1722</v>
      </c>
    </row>
    <row r="25" spans="1:9" ht="15" x14ac:dyDescent="0.25">
      <c r="A25" s="14" t="s">
        <v>1997</v>
      </c>
      <c r="B25" s="74">
        <f>APASupervisorHours/C14</f>
        <v>1.2261904761904763</v>
      </c>
      <c r="C25" s="14" t="s">
        <v>1722</v>
      </c>
    </row>
    <row r="26" spans="1:9" ht="15" x14ac:dyDescent="0.25">
      <c r="A26" s="14" t="s">
        <v>1643</v>
      </c>
      <c r="B26" s="56">
        <f>B49*B48/C14</f>
        <v>71.428571428571431</v>
      </c>
      <c r="C26" s="14" t="s">
        <v>1723</v>
      </c>
    </row>
    <row r="27" spans="1:9" ht="15" x14ac:dyDescent="0.25">
      <c r="A27" s="14"/>
      <c r="B27" s="55"/>
      <c r="C27" s="14"/>
    </row>
    <row r="28" spans="1:9" ht="15" x14ac:dyDescent="0.25">
      <c r="A28" s="42" t="s">
        <v>1647</v>
      </c>
      <c r="B28" s="15"/>
      <c r="C28" s="14"/>
    </row>
    <row r="29" spans="1:9" ht="15" x14ac:dyDescent="0.25">
      <c r="A29" s="14" t="s">
        <v>1656</v>
      </c>
      <c r="B29" s="15"/>
      <c r="C29" s="14"/>
    </row>
    <row r="30" spans="1:9" ht="15" x14ac:dyDescent="0.25">
      <c r="A30" s="14" t="s">
        <v>1651</v>
      </c>
      <c r="B30" s="55"/>
      <c r="C30" s="14"/>
    </row>
    <row r="31" spans="1:9" x14ac:dyDescent="0.3">
      <c r="A31" s="14" t="s">
        <v>1649</v>
      </c>
      <c r="B31" s="40">
        <f>B43/C14</f>
        <v>10824</v>
      </c>
      <c r="C31" s="14" t="str">
        <f>CONCATENATE("Anecdotal: The Operations Manager reported as $",B41," per year for each site")</f>
        <v>Anecdotal: The Operations Manager reported as $32472 per year for each site</v>
      </c>
    </row>
    <row r="32" spans="1:9" x14ac:dyDescent="0.3">
      <c r="A32" s="14" t="s">
        <v>1650</v>
      </c>
      <c r="B32" s="55">
        <v>0</v>
      </c>
      <c r="C32" s="14"/>
    </row>
    <row r="33" spans="1:9" x14ac:dyDescent="0.3">
      <c r="A33" s="14"/>
      <c r="B33" s="41"/>
      <c r="C33" s="14"/>
    </row>
    <row r="34" spans="1:9" x14ac:dyDescent="0.3">
      <c r="A34" s="14"/>
      <c r="B34" s="46" t="s">
        <v>2712</v>
      </c>
      <c r="C34" s="46" t="s">
        <v>2720</v>
      </c>
      <c r="D34" s="30"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198.56828571428574</v>
      </c>
      <c r="C35" s="40">
        <f>B35*$C$14</f>
        <v>1389.9780000000001</v>
      </c>
      <c r="D35" s="47">
        <f>C35*SUMPRODUCT(LabourAdjustmentFactor,E$22:I$22)</f>
        <v>7488.8355224286906</v>
      </c>
      <c r="E35" s="40">
        <f>$C35*E$22*'Modelling Assumptions'!E$101</f>
        <v>1424.7274499999999</v>
      </c>
      <c r="F35" s="40">
        <f>$C35*F$22*'Modelling Assumptions'!F$101</f>
        <v>1460.3456362499999</v>
      </c>
      <c r="G35" s="40">
        <f>$C35*G$22*'Modelling Assumptions'!G$101</f>
        <v>1496.85427715625</v>
      </c>
      <c r="H35" s="40">
        <f>$C35*H$22*'Modelling Assumptions'!H$101</f>
        <v>1534.2756340851561</v>
      </c>
      <c r="I35" s="40">
        <f>$C35*I$22*'Modelling Assumptions'!I$101</f>
        <v>1572.6325249372846</v>
      </c>
    </row>
    <row r="36" spans="1:9" x14ac:dyDescent="0.3">
      <c r="A36" s="14" t="s">
        <v>1643</v>
      </c>
      <c r="B36" s="40">
        <f>B26</f>
        <v>71.428571428571431</v>
      </c>
      <c r="C36" s="40">
        <f>B36*$C$14</f>
        <v>500</v>
      </c>
      <c r="D36" s="47">
        <f>C36*SUMPRODUCT(MaterialsAdjustmentFactor,E$22:I$22)</f>
        <v>2734.2049421500001</v>
      </c>
      <c r="E36" s="40">
        <f>$C36*E$22*'Modelling Assumptions'!E$102</f>
        <v>515</v>
      </c>
      <c r="F36" s="40">
        <f>$C36*F$22*'Modelling Assumptions'!F$102</f>
        <v>530.44999999999993</v>
      </c>
      <c r="G36" s="40">
        <f>$C36*G$22*'Modelling Assumptions'!G$102</f>
        <v>546.36350000000004</v>
      </c>
      <c r="H36" s="40">
        <f>$C36*H$22*'Modelling Assumptions'!H$102</f>
        <v>562.75440499999991</v>
      </c>
      <c r="I36" s="40">
        <f>$C36*I$22*'Modelling Assumptions'!I$102</f>
        <v>579.63703714999997</v>
      </c>
    </row>
    <row r="37" spans="1:9" x14ac:dyDescent="0.3">
      <c r="A37" s="14" t="s">
        <v>1649</v>
      </c>
      <c r="B37" s="40">
        <f>B31</f>
        <v>10824</v>
      </c>
      <c r="C37" s="40">
        <f>B37*$C$14</f>
        <v>75768</v>
      </c>
      <c r="D37" s="47">
        <f>C37*SUMPRODUCT(LabourAdjustmentFactor,E$22:I$22)</f>
        <v>408218.03644617181</v>
      </c>
      <c r="E37" s="40">
        <f>$C37*E$22*'Modelling Assumptions'!E$101</f>
        <v>77662.2</v>
      </c>
      <c r="F37" s="40">
        <f>$C37*F$22*'Modelling Assumptions'!F$101</f>
        <v>79603.75499999999</v>
      </c>
      <c r="G37" s="40">
        <f>$C37*G$22*'Modelling Assumptions'!G$101</f>
        <v>81593.848874999996</v>
      </c>
      <c r="H37" s="40">
        <f>$C37*H$22*'Modelling Assumptions'!H$101</f>
        <v>83633.695096874988</v>
      </c>
      <c r="I37" s="40">
        <f>$C37*I$22*'Modelling Assumptions'!I$101</f>
        <v>85724.537474296842</v>
      </c>
    </row>
    <row r="38" spans="1:9" x14ac:dyDescent="0.3">
      <c r="A38" s="14" t="s">
        <v>1650</v>
      </c>
      <c r="B38" s="40">
        <f>B32</f>
        <v>0</v>
      </c>
      <c r="C38" s="40">
        <f>B38*$C$14</f>
        <v>0</v>
      </c>
      <c r="D38" s="47">
        <f>C38*SUMPRODUCT(MaterialsAdjustmentFactor,E$22:I$22)</f>
        <v>0</v>
      </c>
      <c r="E38" s="40">
        <f>$C38*E$22*'Modelling Assumptions'!E$102</f>
        <v>0</v>
      </c>
      <c r="F38" s="40">
        <f>$C38*F$22*'Modelling Assumptions'!F$102</f>
        <v>0</v>
      </c>
      <c r="G38" s="40">
        <f>$C38*G$22*'Modelling Assumptions'!G$102</f>
        <v>0</v>
      </c>
      <c r="H38" s="40">
        <f>$C38*H$22*'Modelling Assumptions'!H$102</f>
        <v>0</v>
      </c>
      <c r="I38" s="40">
        <f>$C38*I$22*'Modelling Assumptions'!I$102</f>
        <v>0</v>
      </c>
    </row>
    <row r="40" spans="1:9" x14ac:dyDescent="0.3">
      <c r="A40" s="110" t="s">
        <v>2198</v>
      </c>
      <c r="B40" s="103"/>
      <c r="C40" s="103"/>
    </row>
    <row r="41" spans="1:9" x14ac:dyDescent="0.3">
      <c r="A41" s="14" t="s">
        <v>2199</v>
      </c>
      <c r="B41" s="113">
        <v>32472</v>
      </c>
      <c r="C41" t="s">
        <v>3310</v>
      </c>
    </row>
    <row r="42" spans="1:9" x14ac:dyDescent="0.3">
      <c r="A42" s="14" t="s">
        <v>2253</v>
      </c>
      <c r="B42" s="113">
        <v>10824</v>
      </c>
      <c r="C42" s="301" t="s">
        <v>3310</v>
      </c>
    </row>
    <row r="43" spans="1:9" x14ac:dyDescent="0.3">
      <c r="A43" s="14" t="s">
        <v>505</v>
      </c>
      <c r="B43" s="90">
        <f>2*B41+B42</f>
        <v>75768</v>
      </c>
      <c r="C43" t="s">
        <v>3311</v>
      </c>
    </row>
    <row r="46" spans="1:9" x14ac:dyDescent="0.3">
      <c r="A46" s="110" t="s">
        <v>2254</v>
      </c>
      <c r="B46" s="110"/>
      <c r="C46" s="110"/>
    </row>
    <row r="47" spans="1:9" x14ac:dyDescent="0.3">
      <c r="A47" s="14" t="s">
        <v>2255</v>
      </c>
      <c r="B47">
        <v>2</v>
      </c>
      <c r="C47" t="s">
        <v>2256</v>
      </c>
    </row>
    <row r="48" spans="1:9" x14ac:dyDescent="0.3">
      <c r="A48" s="14" t="s">
        <v>2257</v>
      </c>
      <c r="B48" s="33">
        <v>1000</v>
      </c>
      <c r="C48" t="s">
        <v>2258</v>
      </c>
    </row>
    <row r="49" spans="1:9" x14ac:dyDescent="0.3">
      <c r="A49" t="s">
        <v>2259</v>
      </c>
      <c r="B49" s="114">
        <v>0.5</v>
      </c>
      <c r="C49" t="s">
        <v>3505</v>
      </c>
    </row>
    <row r="51" spans="1:9" x14ac:dyDescent="0.3">
      <c r="A51" s="10" t="s">
        <v>1641</v>
      </c>
      <c r="B51" s="44"/>
      <c r="C51" s="44"/>
      <c r="D51" s="10"/>
      <c r="E51" s="10"/>
      <c r="F51" s="10"/>
      <c r="G51" s="10"/>
      <c r="H51" s="10"/>
      <c r="I51" s="10"/>
    </row>
    <row r="52" spans="1:9" x14ac:dyDescent="0.3">
      <c r="A52" t="s">
        <v>3</v>
      </c>
      <c r="B52" t="s">
        <v>2</v>
      </c>
      <c r="C52" t="s">
        <v>1</v>
      </c>
      <c r="D52" t="s">
        <v>0</v>
      </c>
    </row>
    <row r="53" spans="1:9" x14ac:dyDescent="0.3">
      <c r="A53" t="s">
        <v>132</v>
      </c>
      <c r="B53" t="s">
        <v>131</v>
      </c>
      <c r="C53" t="s">
        <v>44</v>
      </c>
      <c r="D53" t="s">
        <v>130</v>
      </c>
    </row>
    <row r="54" spans="1:9" x14ac:dyDescent="0.3">
      <c r="A54" t="s">
        <v>257</v>
      </c>
      <c r="B54" t="s">
        <v>131</v>
      </c>
      <c r="C54" t="s">
        <v>256</v>
      </c>
      <c r="D54" t="s">
        <v>255</v>
      </c>
    </row>
    <row r="55" spans="1:9" x14ac:dyDescent="0.3">
      <c r="A55" t="s">
        <v>257</v>
      </c>
      <c r="B55" t="s">
        <v>131</v>
      </c>
      <c r="C55" t="s">
        <v>300</v>
      </c>
      <c r="D55" t="s">
        <v>299</v>
      </c>
    </row>
    <row r="56" spans="1:9" x14ac:dyDescent="0.3">
      <c r="A56" t="s">
        <v>257</v>
      </c>
      <c r="B56" t="s">
        <v>131</v>
      </c>
      <c r="C56" t="s">
        <v>400</v>
      </c>
      <c r="D56" t="s">
        <v>399</v>
      </c>
    </row>
    <row r="57" spans="1:9" x14ac:dyDescent="0.3">
      <c r="A57" t="s">
        <v>257</v>
      </c>
      <c r="B57" t="s">
        <v>131</v>
      </c>
      <c r="C57" t="s">
        <v>445</v>
      </c>
      <c r="D57" t="s">
        <v>444</v>
      </c>
    </row>
    <row r="58" spans="1:9" x14ac:dyDescent="0.3">
      <c r="A58" t="s">
        <v>257</v>
      </c>
      <c r="B58" t="s">
        <v>131</v>
      </c>
      <c r="C58" t="s">
        <v>488</v>
      </c>
      <c r="D58" t="s">
        <v>487</v>
      </c>
    </row>
    <row r="64" spans="1:9" x14ac:dyDescent="0.3">
      <c r="A64" t="s">
        <v>1098</v>
      </c>
      <c r="B64" t="s">
        <v>528</v>
      </c>
    </row>
    <row r="65" spans="1:5" x14ac:dyDescent="0.3">
      <c r="A65" t="s">
        <v>1219</v>
      </c>
      <c r="B65" t="s">
        <v>1121</v>
      </c>
      <c r="C65" t="s">
        <v>1101</v>
      </c>
      <c r="D65" s="29">
        <v>41596.728472222225</v>
      </c>
      <c r="E65" t="s">
        <v>1220</v>
      </c>
    </row>
    <row r="66" spans="1:5" x14ac:dyDescent="0.3">
      <c r="A66" t="s">
        <v>1221</v>
      </c>
      <c r="B66" t="s">
        <v>1100</v>
      </c>
      <c r="C66" t="s">
        <v>1101</v>
      </c>
      <c r="D66" s="29">
        <v>41614.459027777775</v>
      </c>
      <c r="E66" t="s">
        <v>1222</v>
      </c>
    </row>
    <row r="67" spans="1:5" x14ac:dyDescent="0.3">
      <c r="A67" t="s">
        <v>1223</v>
      </c>
      <c r="B67" t="s">
        <v>1121</v>
      </c>
      <c r="C67" t="s">
        <v>1101</v>
      </c>
      <c r="D67" s="29">
        <v>41596.722916666666</v>
      </c>
      <c r="E67" t="s">
        <v>1220</v>
      </c>
    </row>
    <row r="68" spans="1:5" x14ac:dyDescent="0.3">
      <c r="A68" t="s">
        <v>1224</v>
      </c>
      <c r="B68" t="s">
        <v>1100</v>
      </c>
      <c r="C68" t="s">
        <v>1101</v>
      </c>
      <c r="D68" s="29">
        <v>41614.459027777775</v>
      </c>
      <c r="E68" t="s">
        <v>1222</v>
      </c>
    </row>
    <row r="69" spans="1:5" x14ac:dyDescent="0.3">
      <c r="A69" t="s">
        <v>1225</v>
      </c>
      <c r="B69" t="s">
        <v>1100</v>
      </c>
      <c r="C69" t="s">
        <v>1101</v>
      </c>
      <c r="D69" s="29">
        <v>41614.459027777775</v>
      </c>
      <c r="E69" t="s">
        <v>1222</v>
      </c>
    </row>
    <row r="70" spans="1:5" x14ac:dyDescent="0.3">
      <c r="A70" t="s">
        <v>1226</v>
      </c>
      <c r="B70" t="s">
        <v>1100</v>
      </c>
      <c r="C70" t="s">
        <v>1101</v>
      </c>
      <c r="D70" s="29">
        <v>41614.459027777775</v>
      </c>
      <c r="E70" t="s">
        <v>1222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rgb="FFC8C800"/>
    <pageSetUpPr fitToPage="1"/>
  </sheetPr>
  <dimension ref="A1:I67"/>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81</v>
      </c>
    </row>
    <row r="2" spans="1:9" ht="15" x14ac:dyDescent="0.25">
      <c r="A2" s="167" t="s">
        <v>3454</v>
      </c>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D3" s="33">
        <f t="shared" ref="D3:I6" si="0">D42</f>
        <v>6408.5835328878502</v>
      </c>
      <c r="E3" s="33">
        <f t="shared" si="0"/>
        <v>1219.2128999999998</v>
      </c>
      <c r="F3" s="33">
        <f t="shared" si="0"/>
        <v>1249.6932224999998</v>
      </c>
      <c r="G3" s="33">
        <f t="shared" si="0"/>
        <v>1280.9355530624998</v>
      </c>
      <c r="H3" s="33">
        <f t="shared" si="0"/>
        <v>1312.9589418890621</v>
      </c>
      <c r="I3" s="33">
        <f t="shared" si="0"/>
        <v>1345.7829154362885</v>
      </c>
    </row>
    <row r="4" spans="1:9" ht="15" x14ac:dyDescent="0.25">
      <c r="A4" t="s">
        <v>1643</v>
      </c>
      <c r="B4" s="33"/>
      <c r="D4" s="33">
        <f t="shared" si="0"/>
        <v>0</v>
      </c>
      <c r="E4" s="33">
        <f t="shared" si="0"/>
        <v>0</v>
      </c>
      <c r="F4" s="33">
        <f t="shared" si="0"/>
        <v>0</v>
      </c>
      <c r="G4" s="33">
        <f t="shared" si="0"/>
        <v>0</v>
      </c>
      <c r="H4" s="33">
        <f t="shared" si="0"/>
        <v>0</v>
      </c>
      <c r="I4" s="33">
        <f t="shared" si="0"/>
        <v>0</v>
      </c>
    </row>
    <row r="5" spans="1:9" ht="15" x14ac:dyDescent="0.25">
      <c r="A5" t="s">
        <v>1649</v>
      </c>
      <c r="B5" s="33"/>
      <c r="D5" s="33">
        <f t="shared" si="0"/>
        <v>26669.296806152339</v>
      </c>
      <c r="E5" s="33">
        <f t="shared" si="0"/>
        <v>5073.75</v>
      </c>
      <c r="F5" s="33">
        <f t="shared" si="0"/>
        <v>5200.59375</v>
      </c>
      <c r="G5" s="33">
        <f t="shared" si="0"/>
        <v>5330.6085937499993</v>
      </c>
      <c r="H5" s="33">
        <f t="shared" si="0"/>
        <v>5463.8738085937484</v>
      </c>
      <c r="I5" s="33">
        <f t="shared" si="0"/>
        <v>5600.470653808592</v>
      </c>
    </row>
    <row r="6" spans="1:9" ht="15" x14ac:dyDescent="0.25">
      <c r="A6" t="s">
        <v>1650</v>
      </c>
      <c r="B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2577</v>
      </c>
    </row>
    <row r="12" spans="1:9" ht="15" x14ac:dyDescent="0.25">
      <c r="A12" t="s">
        <v>1578</v>
      </c>
    </row>
    <row r="13" spans="1:9" ht="15" x14ac:dyDescent="0.25">
      <c r="B13" s="39" t="s">
        <v>1551</v>
      </c>
      <c r="C13" s="39">
        <v>18</v>
      </c>
    </row>
    <row r="14" spans="1:9" ht="15" x14ac:dyDescent="0.25">
      <c r="B14" s="39" t="s">
        <v>1552</v>
      </c>
      <c r="C14" s="39">
        <v>6</v>
      </c>
    </row>
    <row r="15" spans="1:9" ht="15" x14ac:dyDescent="0.25">
      <c r="B15" s="39" t="s">
        <v>1585</v>
      </c>
      <c r="C15" s="39">
        <v>18</v>
      </c>
    </row>
    <row r="17" spans="1:9" ht="15" x14ac:dyDescent="0.25">
      <c r="A17" t="s">
        <v>1637</v>
      </c>
    </row>
    <row r="18" spans="1:9" ht="15" x14ac:dyDescent="0.25">
      <c r="B18" s="39" t="s">
        <v>1553</v>
      </c>
      <c r="C18" s="39">
        <v>6</v>
      </c>
    </row>
    <row r="19" spans="1:9" ht="15" x14ac:dyDescent="0.25">
      <c r="B19" s="39" t="s">
        <v>1554</v>
      </c>
      <c r="C19" s="39">
        <v>6</v>
      </c>
    </row>
    <row r="21" spans="1:9" ht="15" x14ac:dyDescent="0.25">
      <c r="A21" t="s">
        <v>1616</v>
      </c>
    </row>
    <row r="22" spans="1:9" ht="15" x14ac:dyDescent="0.25">
      <c r="B22" s="39" t="s">
        <v>1555</v>
      </c>
      <c r="C22" s="39">
        <v>6</v>
      </c>
    </row>
    <row r="23" spans="1:9" ht="15" x14ac:dyDescent="0.25">
      <c r="B23" s="39" t="s">
        <v>1556</v>
      </c>
      <c r="C23" s="39">
        <v>6</v>
      </c>
    </row>
    <row r="24" spans="1:9" ht="15" x14ac:dyDescent="0.25">
      <c r="A24" s="12" t="s">
        <v>1640</v>
      </c>
      <c r="B24" s="12"/>
      <c r="C24" s="12">
        <f>SUM(C13:C23)</f>
        <v>66</v>
      </c>
    </row>
    <row r="26" spans="1:9" s="301" customFormat="1" ht="15" x14ac:dyDescent="0.25">
      <c r="A26" s="301" t="s">
        <v>1992</v>
      </c>
    </row>
    <row r="27" spans="1:9" s="301" customFormat="1" ht="15" x14ac:dyDescent="0.25">
      <c r="A27" s="301" t="s">
        <v>3254</v>
      </c>
    </row>
    <row r="28" spans="1:9" ht="15" x14ac:dyDescent="0.25">
      <c r="E28" s="30" t="str">
        <f>Summary!C4</f>
        <v>2015/16</v>
      </c>
      <c r="F28" s="30" t="str">
        <f>Summary!D4</f>
        <v>2016/17</v>
      </c>
      <c r="G28" s="30" t="str">
        <f>Summary!E4</f>
        <v>2017/18</v>
      </c>
      <c r="H28" s="30" t="str">
        <f>Summary!F4</f>
        <v>2018/19</v>
      </c>
      <c r="I28" s="30" t="str">
        <f>Summary!G4</f>
        <v>2019/20</v>
      </c>
    </row>
    <row r="29" spans="1:9" x14ac:dyDescent="0.3">
      <c r="A29" s="45" t="s">
        <v>1209</v>
      </c>
      <c r="B29" s="45" t="s">
        <v>56</v>
      </c>
      <c r="C29" s="45"/>
      <c r="D29" s="45"/>
      <c r="E29" s="45">
        <v>1</v>
      </c>
      <c r="F29" s="45">
        <v>1</v>
      </c>
      <c r="G29" s="45">
        <v>1</v>
      </c>
      <c r="H29" s="45">
        <v>1</v>
      </c>
      <c r="I29" s="45">
        <v>1</v>
      </c>
    </row>
    <row r="30" spans="1:9" ht="15" x14ac:dyDescent="0.25">
      <c r="A30" s="8" t="s">
        <v>1646</v>
      </c>
      <c r="C30" s="39"/>
    </row>
    <row r="31" spans="1:9" x14ac:dyDescent="0.3">
      <c r="A31" s="14" t="s">
        <v>1658</v>
      </c>
      <c r="B31" s="74">
        <f>APATechnicianHours/C24</f>
        <v>1.5151515151515152E-2</v>
      </c>
      <c r="C31" s="14" t="s">
        <v>1957</v>
      </c>
    </row>
    <row r="32" spans="1:9" x14ac:dyDescent="0.3">
      <c r="A32" s="14" t="s">
        <v>1997</v>
      </c>
      <c r="B32" s="74">
        <f>APASupervisorHours/C24</f>
        <v>0.13005050505050506</v>
      </c>
      <c r="C32" s="14" t="s">
        <v>1957</v>
      </c>
    </row>
    <row r="33" spans="1:9" x14ac:dyDescent="0.3">
      <c r="A33" s="14" t="s">
        <v>1643</v>
      </c>
      <c r="B33" s="55">
        <v>0</v>
      </c>
      <c r="C33" s="14"/>
    </row>
    <row r="34" spans="1:9" x14ac:dyDescent="0.3">
      <c r="A34" s="14"/>
      <c r="B34" s="55"/>
      <c r="C34" s="14"/>
    </row>
    <row r="35" spans="1:9" x14ac:dyDescent="0.3">
      <c r="A35" s="42" t="s">
        <v>1647</v>
      </c>
      <c r="B35" s="15"/>
      <c r="C35" s="14"/>
    </row>
    <row r="36" spans="1:9" x14ac:dyDescent="0.3">
      <c r="A36" s="14" t="s">
        <v>1656</v>
      </c>
      <c r="B36" s="15">
        <v>1</v>
      </c>
      <c r="C36" s="14" t="s">
        <v>3270</v>
      </c>
    </row>
    <row r="37" spans="1:9" x14ac:dyDescent="0.3">
      <c r="A37" s="14" t="s">
        <v>1651</v>
      </c>
      <c r="B37" s="55">
        <f>ElectricalContractorHourlyRate</f>
        <v>75</v>
      </c>
      <c r="C37" s="14" t="s">
        <v>1721</v>
      </c>
    </row>
    <row r="38" spans="1:9" x14ac:dyDescent="0.3">
      <c r="A38" s="14" t="s">
        <v>1649</v>
      </c>
      <c r="B38" s="55">
        <f>B36*B37</f>
        <v>75</v>
      </c>
      <c r="C38" s="14"/>
    </row>
    <row r="39" spans="1:9" x14ac:dyDescent="0.3">
      <c r="A39" s="14" t="s">
        <v>1650</v>
      </c>
      <c r="B39" s="55">
        <v>0</v>
      </c>
      <c r="C39" s="14"/>
    </row>
    <row r="40" spans="1:9" x14ac:dyDescent="0.3">
      <c r="A40" s="14"/>
      <c r="B40" s="41"/>
      <c r="C40" s="14"/>
    </row>
    <row r="41" spans="1:9" x14ac:dyDescent="0.3">
      <c r="A41" s="14"/>
      <c r="B41" s="46" t="s">
        <v>2712</v>
      </c>
      <c r="C41" s="46" t="s">
        <v>2720</v>
      </c>
      <c r="D41" s="30" t="s">
        <v>1655</v>
      </c>
      <c r="E41" s="30" t="str">
        <f>Summary!C4</f>
        <v>2015/16</v>
      </c>
      <c r="F41" s="30" t="str">
        <f>Summary!D4</f>
        <v>2016/17</v>
      </c>
      <c r="G41" s="30" t="str">
        <f>Summary!E4</f>
        <v>2017/18</v>
      </c>
      <c r="H41" s="30" t="str">
        <f>Summary!F4</f>
        <v>2018/19</v>
      </c>
      <c r="I41" s="30" t="str">
        <f>Summary!G4</f>
        <v>2019/20</v>
      </c>
    </row>
    <row r="42" spans="1:9" x14ac:dyDescent="0.3">
      <c r="A42" s="14" t="s">
        <v>1648</v>
      </c>
      <c r="B42" s="40">
        <f>B31*HourlyRateAPAMaintenanceStaff+B32*HourlyRateAPAOMSupervisor</f>
        <v>18.022363636363636</v>
      </c>
      <c r="C42" s="40">
        <f>B42*$C$24</f>
        <v>1189.4759999999999</v>
      </c>
      <c r="D42" s="47">
        <f>C42*SUMPRODUCT(LabourAdjustmentFactor,E$29:I$29)</f>
        <v>6408.5835328878502</v>
      </c>
      <c r="E42" s="40">
        <f>$C42*E$29*'Modelling Assumptions'!E$101</f>
        <v>1219.2128999999998</v>
      </c>
      <c r="F42" s="40">
        <f>$C42*F$29*'Modelling Assumptions'!F$101</f>
        <v>1249.6932224999998</v>
      </c>
      <c r="G42" s="40">
        <f>$C42*G$29*'Modelling Assumptions'!G$101</f>
        <v>1280.9355530624998</v>
      </c>
      <c r="H42" s="40">
        <f>$C42*H$29*'Modelling Assumptions'!H$101</f>
        <v>1312.9589418890621</v>
      </c>
      <c r="I42" s="40">
        <f>$C42*I$29*'Modelling Assumptions'!I$101</f>
        <v>1345.7829154362885</v>
      </c>
    </row>
    <row r="43" spans="1:9" x14ac:dyDescent="0.3">
      <c r="A43" s="14" t="s">
        <v>1643</v>
      </c>
      <c r="B43" s="40">
        <f>B33</f>
        <v>0</v>
      </c>
      <c r="C43" s="40">
        <f>B43*$C$24</f>
        <v>0</v>
      </c>
      <c r="D43" s="47">
        <f>C43*SUMPRODUCT(MaterialsAdjustmentFactor,E$29:I$29)</f>
        <v>0</v>
      </c>
      <c r="E43" s="40">
        <f>$C43*E$29*'Modelling Assumptions'!E$102</f>
        <v>0</v>
      </c>
      <c r="F43" s="40">
        <f>$C43*F$29*'Modelling Assumptions'!F$102</f>
        <v>0</v>
      </c>
      <c r="G43" s="40">
        <f>$C43*G$29*'Modelling Assumptions'!G$102</f>
        <v>0</v>
      </c>
      <c r="H43" s="40">
        <f>$C43*H$29*'Modelling Assumptions'!H$102</f>
        <v>0</v>
      </c>
      <c r="I43" s="40">
        <f>$C43*I$29*'Modelling Assumptions'!I$102</f>
        <v>0</v>
      </c>
    </row>
    <row r="44" spans="1:9" x14ac:dyDescent="0.3">
      <c r="A44" s="14" t="s">
        <v>1649</v>
      </c>
      <c r="B44" s="40">
        <f>B38</f>
        <v>75</v>
      </c>
      <c r="C44" s="40">
        <f>B44*$C$24</f>
        <v>4950</v>
      </c>
      <c r="D44" s="47">
        <f>C44*SUMPRODUCT(LabourAdjustmentFactor,E$29:I$29)</f>
        <v>26669.296806152339</v>
      </c>
      <c r="E44" s="40">
        <f>$C44*E$29*'Modelling Assumptions'!E$101</f>
        <v>5073.75</v>
      </c>
      <c r="F44" s="40">
        <f>$C44*F$29*'Modelling Assumptions'!F$101</f>
        <v>5200.59375</v>
      </c>
      <c r="G44" s="40">
        <f>$C44*G$29*'Modelling Assumptions'!G$101</f>
        <v>5330.6085937499993</v>
      </c>
      <c r="H44" s="40">
        <f>$C44*H$29*'Modelling Assumptions'!H$101</f>
        <v>5463.8738085937484</v>
      </c>
      <c r="I44" s="40">
        <f>$C44*I$29*'Modelling Assumptions'!I$101</f>
        <v>5600.470653808592</v>
      </c>
    </row>
    <row r="45" spans="1:9" x14ac:dyDescent="0.3">
      <c r="A45" s="14" t="s">
        <v>1650</v>
      </c>
      <c r="B45" s="40">
        <f>B39</f>
        <v>0</v>
      </c>
      <c r="C45" s="40">
        <f>B45*$C$24</f>
        <v>0</v>
      </c>
      <c r="D45" s="47">
        <f>C45*SUMPRODUCT(MaterialsAdjustmentFactor,E$29:I$29)</f>
        <v>0</v>
      </c>
      <c r="E45" s="40">
        <f>$C45*E$29*'Modelling Assumptions'!E$102</f>
        <v>0</v>
      </c>
      <c r="F45" s="40">
        <f>$C45*F$29*'Modelling Assumptions'!F$102</f>
        <v>0</v>
      </c>
      <c r="G45" s="40">
        <f>$C45*G$29*'Modelling Assumptions'!G$102</f>
        <v>0</v>
      </c>
      <c r="H45" s="40">
        <f>$C45*H$29*'Modelling Assumptions'!H$102</f>
        <v>0</v>
      </c>
      <c r="I45" s="40">
        <f>$C45*I$29*'Modelling Assumptions'!I$102</f>
        <v>0</v>
      </c>
    </row>
    <row r="48" spans="1:9" x14ac:dyDescent="0.3">
      <c r="A48" s="10" t="s">
        <v>1641</v>
      </c>
      <c r="B48" s="44"/>
      <c r="C48" s="44"/>
      <c r="D48" s="10"/>
      <c r="E48" s="10"/>
      <c r="F48" s="10"/>
      <c r="G48" s="10"/>
      <c r="H48" s="10"/>
      <c r="I48" s="10"/>
    </row>
    <row r="49" spans="1:5" x14ac:dyDescent="0.3">
      <c r="A49" t="s">
        <v>3</v>
      </c>
      <c r="B49" t="s">
        <v>2</v>
      </c>
      <c r="C49" t="s">
        <v>1</v>
      </c>
      <c r="D49" t="s">
        <v>0</v>
      </c>
    </row>
    <row r="50" spans="1:5" x14ac:dyDescent="0.3">
      <c r="A50" t="s">
        <v>82</v>
      </c>
      <c r="B50" t="s">
        <v>81</v>
      </c>
      <c r="C50" t="s">
        <v>8</v>
      </c>
      <c r="D50" t="s">
        <v>44</v>
      </c>
    </row>
    <row r="51" spans="1:5" x14ac:dyDescent="0.3">
      <c r="A51" t="s">
        <v>97</v>
      </c>
      <c r="B51" t="s">
        <v>81</v>
      </c>
      <c r="C51" t="s">
        <v>8</v>
      </c>
      <c r="D51" t="s">
        <v>93</v>
      </c>
    </row>
    <row r="52" spans="1:5" x14ac:dyDescent="0.3">
      <c r="A52" t="s">
        <v>111</v>
      </c>
      <c r="B52" t="s">
        <v>81</v>
      </c>
      <c r="C52" t="s">
        <v>8</v>
      </c>
      <c r="D52" t="s">
        <v>108</v>
      </c>
    </row>
    <row r="53" spans="1:5" x14ac:dyDescent="0.3">
      <c r="A53" t="s">
        <v>338</v>
      </c>
      <c r="B53" t="s">
        <v>81</v>
      </c>
      <c r="C53" t="s">
        <v>328</v>
      </c>
      <c r="D53" t="s">
        <v>335</v>
      </c>
    </row>
    <row r="54" spans="1:5" ht="13.5" customHeight="1" x14ac:dyDescent="0.3">
      <c r="A54" t="s">
        <v>349</v>
      </c>
      <c r="B54" t="s">
        <v>81</v>
      </c>
      <c r="C54" t="s">
        <v>328</v>
      </c>
      <c r="D54" t="s">
        <v>346</v>
      </c>
    </row>
    <row r="55" spans="1:5" x14ac:dyDescent="0.3">
      <c r="A55" t="s">
        <v>361</v>
      </c>
      <c r="B55" t="s">
        <v>81</v>
      </c>
      <c r="C55" t="s">
        <v>328</v>
      </c>
      <c r="D55" t="s">
        <v>358</v>
      </c>
    </row>
    <row r="61" spans="1:5" x14ac:dyDescent="0.3">
      <c r="A61" t="s">
        <v>1098</v>
      </c>
      <c r="B61" t="s">
        <v>537</v>
      </c>
    </row>
    <row r="62" spans="1:5" x14ac:dyDescent="0.3">
      <c r="A62" t="s">
        <v>1210</v>
      </c>
      <c r="B62" t="s">
        <v>1100</v>
      </c>
      <c r="C62" t="s">
        <v>1101</v>
      </c>
      <c r="D62" s="29">
        <v>41474.656944444447</v>
      </c>
      <c r="E62" t="s">
        <v>1115</v>
      </c>
    </row>
    <row r="63" spans="1:5" x14ac:dyDescent="0.3">
      <c r="A63" t="s">
        <v>1211</v>
      </c>
      <c r="B63" t="s">
        <v>1100</v>
      </c>
      <c r="C63" t="s">
        <v>1101</v>
      </c>
      <c r="D63" s="29">
        <v>41535.613194444442</v>
      </c>
      <c r="E63" t="s">
        <v>1212</v>
      </c>
    </row>
    <row r="64" spans="1:5" x14ac:dyDescent="0.3">
      <c r="A64" t="s">
        <v>1213</v>
      </c>
      <c r="B64" t="s">
        <v>1121</v>
      </c>
      <c r="C64" t="s">
        <v>1101</v>
      </c>
      <c r="D64" s="29">
        <v>41533.738194444442</v>
      </c>
      <c r="E64" t="s">
        <v>1202</v>
      </c>
    </row>
    <row r="65" spans="1:5" x14ac:dyDescent="0.3">
      <c r="A65" t="s">
        <v>1214</v>
      </c>
      <c r="B65" t="s">
        <v>1100</v>
      </c>
      <c r="C65" t="s">
        <v>1101</v>
      </c>
      <c r="D65" s="29">
        <v>41474.656944444447</v>
      </c>
      <c r="E65" t="s">
        <v>1115</v>
      </c>
    </row>
    <row r="66" spans="1:5" x14ac:dyDescent="0.3">
      <c r="A66" t="s">
        <v>1215</v>
      </c>
      <c r="B66" t="s">
        <v>1141</v>
      </c>
      <c r="C66" t="s">
        <v>1101</v>
      </c>
      <c r="D66" s="29">
        <v>41533.617361111108</v>
      </c>
      <c r="E66" t="s">
        <v>1216</v>
      </c>
    </row>
    <row r="67" spans="1:5" x14ac:dyDescent="0.3">
      <c r="A67" t="s">
        <v>1217</v>
      </c>
      <c r="B67" t="s">
        <v>1141</v>
      </c>
      <c r="C67" t="s">
        <v>1101</v>
      </c>
      <c r="D67" s="29">
        <v>41533.617361111108</v>
      </c>
      <c r="E67" t="s">
        <v>1216</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C8C800"/>
    <pageSetUpPr fitToPage="1"/>
  </sheetPr>
  <dimension ref="A1:I36"/>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1960</v>
      </c>
    </row>
    <row r="2" spans="1:9" ht="15" x14ac:dyDescent="0.25">
      <c r="A2" s="167" t="s">
        <v>3454</v>
      </c>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D3" s="33">
        <f t="shared" ref="D3:I6" si="0">D33</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D4" s="33">
        <f t="shared" si="0"/>
        <v>0</v>
      </c>
      <c r="E4" s="33">
        <f t="shared" si="0"/>
        <v>0</v>
      </c>
      <c r="F4" s="33">
        <f t="shared" si="0"/>
        <v>0</v>
      </c>
      <c r="G4" s="33">
        <f t="shared" si="0"/>
        <v>0</v>
      </c>
      <c r="H4" s="33">
        <f t="shared" si="0"/>
        <v>0</v>
      </c>
      <c r="I4" s="33">
        <f t="shared" si="0"/>
        <v>0</v>
      </c>
    </row>
    <row r="5" spans="1:9" ht="15" x14ac:dyDescent="0.25">
      <c r="A5" t="s">
        <v>1649</v>
      </c>
      <c r="B5" s="33"/>
      <c r="D5" s="33">
        <f t="shared" si="0"/>
        <v>1212.2407639160153</v>
      </c>
      <c r="E5" s="33">
        <f t="shared" si="0"/>
        <v>230.62499999999997</v>
      </c>
      <c r="F5" s="33">
        <f t="shared" si="0"/>
        <v>236.39062499999997</v>
      </c>
      <c r="G5" s="33">
        <f t="shared" si="0"/>
        <v>242.30039062499998</v>
      </c>
      <c r="H5" s="33">
        <f t="shared" si="0"/>
        <v>248.35790039062493</v>
      </c>
      <c r="I5" s="33">
        <f t="shared" si="0"/>
        <v>254.56684790039054</v>
      </c>
    </row>
    <row r="6" spans="1:9" ht="15" x14ac:dyDescent="0.25">
      <c r="A6" t="s">
        <v>1650</v>
      </c>
      <c r="B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2577</v>
      </c>
    </row>
    <row r="12" spans="1:9" ht="15" x14ac:dyDescent="0.25">
      <c r="A12" t="s">
        <v>1616</v>
      </c>
    </row>
    <row r="13" spans="1:9" ht="15" x14ac:dyDescent="0.25">
      <c r="B13" s="39" t="s">
        <v>1557</v>
      </c>
      <c r="C13" s="39">
        <v>6</v>
      </c>
    </row>
    <row r="14" spans="1:9" ht="15" x14ac:dyDescent="0.25">
      <c r="A14" s="12" t="s">
        <v>1640</v>
      </c>
      <c r="B14" s="12"/>
      <c r="C14" s="12">
        <f>SUM(C12:C13)</f>
        <v>6</v>
      </c>
    </row>
    <row r="16" spans="1:9" ht="15" x14ac:dyDescent="0.25">
      <c r="A16" t="s">
        <v>1992</v>
      </c>
    </row>
    <row r="17" spans="1:9" s="301" customFormat="1" ht="15" x14ac:dyDescent="0.25">
      <c r="A17" t="s">
        <v>3277</v>
      </c>
    </row>
    <row r="18" spans="1:9" ht="15" x14ac:dyDescent="0.25">
      <c r="A18" s="301" t="s">
        <v>3254</v>
      </c>
    </row>
    <row r="19" spans="1:9" ht="15" x14ac:dyDescent="0.25">
      <c r="E19" s="30" t="str">
        <f>Summary!C4</f>
        <v>2015/16</v>
      </c>
      <c r="F19" s="30" t="str">
        <f>Summary!D4</f>
        <v>2016/17</v>
      </c>
      <c r="G19" s="30" t="str">
        <f>Summary!E4</f>
        <v>2017/18</v>
      </c>
      <c r="H19" s="30" t="str">
        <f>Summary!F4</f>
        <v>2018/19</v>
      </c>
      <c r="I19" s="30" t="str">
        <f>Summary!G4</f>
        <v>2019/20</v>
      </c>
    </row>
    <row r="20" spans="1:9" x14ac:dyDescent="0.3">
      <c r="A20" s="45"/>
      <c r="B20" s="45" t="s">
        <v>56</v>
      </c>
      <c r="C20" s="45"/>
      <c r="D20" s="45"/>
      <c r="E20" s="45">
        <v>1</v>
      </c>
      <c r="F20" s="45">
        <v>1</v>
      </c>
      <c r="G20" s="45">
        <v>1</v>
      </c>
      <c r="H20" s="45">
        <v>1</v>
      </c>
      <c r="I20" s="45">
        <v>1</v>
      </c>
    </row>
    <row r="21" spans="1:9" ht="15" x14ac:dyDescent="0.25">
      <c r="A21" s="8" t="s">
        <v>1646</v>
      </c>
      <c r="C21" s="39"/>
    </row>
    <row r="22" spans="1:9" ht="15" x14ac:dyDescent="0.25">
      <c r="A22" s="14" t="s">
        <v>1658</v>
      </c>
      <c r="B22" s="67">
        <f>APATechnicianHours/C14</f>
        <v>0.16666666666666666</v>
      </c>
      <c r="C22" s="14" t="s">
        <v>1957</v>
      </c>
    </row>
    <row r="23" spans="1:9" ht="15" x14ac:dyDescent="0.25">
      <c r="A23" s="14" t="s">
        <v>1997</v>
      </c>
      <c r="B23" s="67">
        <f>APASupervisorHours/C14</f>
        <v>1.4305555555555556</v>
      </c>
      <c r="C23" s="14" t="s">
        <v>1957</v>
      </c>
    </row>
    <row r="24" spans="1:9" ht="15" x14ac:dyDescent="0.25">
      <c r="A24" s="14" t="s">
        <v>1643</v>
      </c>
      <c r="B24" s="55">
        <v>0</v>
      </c>
      <c r="C24" s="14"/>
    </row>
    <row r="25" spans="1:9" ht="15" x14ac:dyDescent="0.25">
      <c r="A25" s="14"/>
      <c r="B25" s="55"/>
      <c r="C25" s="14"/>
    </row>
    <row r="26" spans="1:9" ht="15" x14ac:dyDescent="0.25">
      <c r="A26" s="42" t="s">
        <v>1647</v>
      </c>
      <c r="B26" s="15"/>
      <c r="C26" s="14"/>
    </row>
    <row r="27" spans="1:9" ht="15" x14ac:dyDescent="0.25">
      <c r="A27" s="14" t="s">
        <v>1656</v>
      </c>
      <c r="B27" s="15">
        <v>0.5</v>
      </c>
      <c r="C27" s="14" t="s">
        <v>3264</v>
      </c>
    </row>
    <row r="28" spans="1:9" ht="15" x14ac:dyDescent="0.25">
      <c r="A28" s="14" t="s">
        <v>1651</v>
      </c>
      <c r="B28" s="55">
        <f>ElectricalContractorHourlyRate</f>
        <v>75</v>
      </c>
      <c r="C28" s="14" t="s">
        <v>1721</v>
      </c>
    </row>
    <row r="29" spans="1:9" ht="15" x14ac:dyDescent="0.25">
      <c r="A29" s="14" t="s">
        <v>1649</v>
      </c>
      <c r="B29" s="55">
        <f>B27*B28</f>
        <v>37.5</v>
      </c>
      <c r="C29" s="14"/>
    </row>
    <row r="30" spans="1:9" ht="15" x14ac:dyDescent="0.25">
      <c r="A30" s="14" t="s">
        <v>1650</v>
      </c>
      <c r="B30" s="55">
        <v>0</v>
      </c>
      <c r="C30" s="14"/>
    </row>
    <row r="31" spans="1:9" x14ac:dyDescent="0.3">
      <c r="A31" s="14"/>
      <c r="B31" s="41"/>
      <c r="C31" s="14"/>
    </row>
    <row r="32" spans="1:9" x14ac:dyDescent="0.3">
      <c r="A32" s="14"/>
      <c r="B32" s="46" t="s">
        <v>2712</v>
      </c>
      <c r="C32" s="46" t="s">
        <v>2720</v>
      </c>
      <c r="D32" s="30" t="s">
        <v>1655</v>
      </c>
      <c r="E32" s="30" t="str">
        <f>Summary!C4</f>
        <v>2015/16</v>
      </c>
      <c r="F32" s="30" t="str">
        <f>Summary!D4</f>
        <v>2016/17</v>
      </c>
      <c r="G32" s="30" t="str">
        <f>Summary!E4</f>
        <v>2017/18</v>
      </c>
      <c r="H32" s="30" t="str">
        <f>Summary!F4</f>
        <v>2018/19</v>
      </c>
      <c r="I32" s="30" t="str">
        <f>Summary!G4</f>
        <v>2019/20</v>
      </c>
    </row>
    <row r="33" spans="1:9" x14ac:dyDescent="0.3">
      <c r="A33" s="14" t="s">
        <v>1648</v>
      </c>
      <c r="B33" s="40">
        <f>B22*HourlyRateAPAMaintenanceStaff+B23*HourlyRateAPAOMSupervisor</f>
        <v>198.24600000000004</v>
      </c>
      <c r="C33" s="40">
        <f>B33*$C$14</f>
        <v>1189.4760000000001</v>
      </c>
      <c r="D33" s="47">
        <f>C33*SUMPRODUCT(LabourAdjustmentFactor,E$20:I$20)</f>
        <v>6408.5835328878511</v>
      </c>
      <c r="E33" s="40">
        <f>$C33*E$20*'Modelling Assumptions'!E$101</f>
        <v>1219.2129</v>
      </c>
      <c r="F33" s="40">
        <f>$C33*F$20*'Modelling Assumptions'!F$101</f>
        <v>1249.6932225</v>
      </c>
      <c r="G33" s="40">
        <f>$C33*G$20*'Modelling Assumptions'!G$101</f>
        <v>1280.9355530625</v>
      </c>
      <c r="H33" s="40">
        <f>$C33*H$20*'Modelling Assumptions'!H$101</f>
        <v>1312.9589418890623</v>
      </c>
      <c r="I33" s="40">
        <f>$C33*I$20*'Modelling Assumptions'!I$101</f>
        <v>1345.7829154362887</v>
      </c>
    </row>
    <row r="34" spans="1:9" x14ac:dyDescent="0.3">
      <c r="A34" s="14" t="s">
        <v>1643</v>
      </c>
      <c r="B34" s="40">
        <f>B24</f>
        <v>0</v>
      </c>
      <c r="C34" s="40">
        <f>B34*$C$14</f>
        <v>0</v>
      </c>
      <c r="D34" s="47">
        <f>C34*SUMPRODUCT(MaterialsAdjustmentFactor,E$20:I$20)</f>
        <v>0</v>
      </c>
      <c r="E34" s="40">
        <f>$C34*E$20*'Modelling Assumptions'!E$102</f>
        <v>0</v>
      </c>
      <c r="F34" s="40">
        <f>$C34*F$20*'Modelling Assumptions'!F$102</f>
        <v>0</v>
      </c>
      <c r="G34" s="40">
        <f>$C34*G$20*'Modelling Assumptions'!G$102</f>
        <v>0</v>
      </c>
      <c r="H34" s="40">
        <f>$C34*H$20*'Modelling Assumptions'!H$102</f>
        <v>0</v>
      </c>
      <c r="I34" s="40">
        <f>$C34*I$20*'Modelling Assumptions'!I$102</f>
        <v>0</v>
      </c>
    </row>
    <row r="35" spans="1:9" x14ac:dyDescent="0.3">
      <c r="A35" s="14" t="s">
        <v>1649</v>
      </c>
      <c r="B35" s="40">
        <f>B29</f>
        <v>37.5</v>
      </c>
      <c r="C35" s="40">
        <f>B35*$C$14</f>
        <v>225</v>
      </c>
      <c r="D35" s="47">
        <f>C35*SUMPRODUCT(LabourAdjustmentFactor,E$20:I$20)</f>
        <v>1212.2407639160153</v>
      </c>
      <c r="E35" s="40">
        <f>$C35*E$20*'Modelling Assumptions'!E$101</f>
        <v>230.62499999999997</v>
      </c>
      <c r="F35" s="40">
        <f>$C35*F$20*'Modelling Assumptions'!F$101</f>
        <v>236.39062499999997</v>
      </c>
      <c r="G35" s="40">
        <f>$C35*G$20*'Modelling Assumptions'!G$101</f>
        <v>242.30039062499998</v>
      </c>
      <c r="H35" s="40">
        <f>$C35*H$20*'Modelling Assumptions'!H$101</f>
        <v>248.35790039062493</v>
      </c>
      <c r="I35" s="40">
        <f>$C35*I$20*'Modelling Assumptions'!I$101</f>
        <v>254.56684790039054</v>
      </c>
    </row>
    <row r="36" spans="1:9" x14ac:dyDescent="0.3">
      <c r="A36" s="14" t="s">
        <v>1650</v>
      </c>
      <c r="B36" s="40">
        <f>B30</f>
        <v>0</v>
      </c>
      <c r="C36" s="40">
        <f>B36*$C$14</f>
        <v>0</v>
      </c>
      <c r="D36" s="47">
        <f>C36*SUMPRODUCT(MaterialsAdjustmentFactor,E$20:I$20)</f>
        <v>0</v>
      </c>
      <c r="E36" s="40">
        <f>$C36*E$20*'Modelling Assumptions'!E$102</f>
        <v>0</v>
      </c>
      <c r="F36" s="40">
        <f>$C36*F$20*'Modelling Assumptions'!F$102</f>
        <v>0</v>
      </c>
      <c r="G36" s="40">
        <f>$C36*G$20*'Modelling Assumptions'!G$102</f>
        <v>0</v>
      </c>
      <c r="H36" s="40">
        <f>$C36*H$20*'Modelling Assumptions'!H$102</f>
        <v>0</v>
      </c>
      <c r="I36" s="40">
        <f>$C36*I$20*'Modelling Assumptions'!I$102</f>
        <v>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8C800"/>
    <pageSetUpPr fitToPage="1"/>
  </sheetPr>
  <dimension ref="A1:I61"/>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123</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D36</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21820.333750488277</v>
      </c>
      <c r="E5" s="33">
        <f t="shared" si="0"/>
        <v>4151.25</v>
      </c>
      <c r="F5" s="33">
        <f t="shared" si="0"/>
        <v>4255.03125</v>
      </c>
      <c r="G5" s="33">
        <f t="shared" si="0"/>
        <v>4361.4070312499998</v>
      </c>
      <c r="H5" s="33">
        <f t="shared" si="0"/>
        <v>4470.4422070312494</v>
      </c>
      <c r="I5" s="33">
        <f t="shared" si="0"/>
        <v>4582.2032622070301</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t="s">
        <v>3520</v>
      </c>
    </row>
    <row r="14" spans="1:9" ht="15" x14ac:dyDescent="0.25">
      <c r="A14" t="s">
        <v>1559</v>
      </c>
      <c r="C14" s="39"/>
    </row>
    <row r="15" spans="1:9" ht="15" x14ac:dyDescent="0.25">
      <c r="B15" s="39" t="s">
        <v>1582</v>
      </c>
      <c r="C15" s="39">
        <v>18</v>
      </c>
    </row>
    <row r="16" spans="1:9" ht="15" x14ac:dyDescent="0.25">
      <c r="B16" s="39" t="s">
        <v>1593</v>
      </c>
      <c r="C16" s="39">
        <v>18</v>
      </c>
    </row>
    <row r="17" spans="1:9" ht="15" x14ac:dyDescent="0.25">
      <c r="B17" s="39" t="s">
        <v>1599</v>
      </c>
      <c r="C17" s="39">
        <v>18</v>
      </c>
    </row>
    <row r="18" spans="1:9" ht="15" x14ac:dyDescent="0.25">
      <c r="A18" s="12" t="s">
        <v>1640</v>
      </c>
      <c r="B18" s="12"/>
      <c r="C18" s="12">
        <f>SUM(C15:C17)</f>
        <v>54</v>
      </c>
    </row>
    <row r="20" spans="1:9" s="301" customFormat="1" ht="15" x14ac:dyDescent="0.25">
      <c r="A20" s="301" t="s">
        <v>1992</v>
      </c>
    </row>
    <row r="21" spans="1:9" s="301" customFormat="1" ht="15" x14ac:dyDescent="0.25">
      <c r="A21" s="301" t="s">
        <v>3254</v>
      </c>
    </row>
    <row r="22" spans="1:9" ht="15" x14ac:dyDescent="0.25">
      <c r="E22" s="30" t="str">
        <f>Summary!C4</f>
        <v>2015/16</v>
      </c>
      <c r="F22" s="30" t="str">
        <f>Summary!D4</f>
        <v>2016/17</v>
      </c>
      <c r="G22" s="30" t="str">
        <f>Summary!E4</f>
        <v>2017/18</v>
      </c>
      <c r="H22" s="30" t="str">
        <f>Summary!F4</f>
        <v>2018/19</v>
      </c>
      <c r="I22" s="30" t="str">
        <f>Summary!G4</f>
        <v>2019/20</v>
      </c>
    </row>
    <row r="23" spans="1:9" x14ac:dyDescent="0.3">
      <c r="A23" s="16" t="s">
        <v>1199</v>
      </c>
      <c r="B23" s="16" t="s">
        <v>56</v>
      </c>
      <c r="C23" s="43"/>
      <c r="D23" s="16"/>
      <c r="E23" s="16">
        <v>1</v>
      </c>
      <c r="F23" s="16">
        <v>1</v>
      </c>
      <c r="G23" s="16">
        <v>1</v>
      </c>
      <c r="H23" s="16">
        <v>1</v>
      </c>
      <c r="I23" s="16">
        <v>1</v>
      </c>
    </row>
    <row r="24" spans="1:9" ht="15" x14ac:dyDescent="0.25">
      <c r="A24" s="8" t="s">
        <v>1646</v>
      </c>
      <c r="C24" s="39"/>
    </row>
    <row r="25" spans="1:9" ht="15" x14ac:dyDescent="0.25">
      <c r="A25" s="14" t="s">
        <v>1658</v>
      </c>
      <c r="B25" s="74">
        <f>APATechnicianHours/C18</f>
        <v>1.8518518518518517E-2</v>
      </c>
      <c r="C25" s="14" t="s">
        <v>1742</v>
      </c>
    </row>
    <row r="26" spans="1:9" ht="15" x14ac:dyDescent="0.25">
      <c r="A26" s="14" t="s">
        <v>1997</v>
      </c>
      <c r="B26" s="74">
        <f>APASupervisorHours/C18</f>
        <v>0.15895061728395063</v>
      </c>
      <c r="C26" s="14" t="s">
        <v>1742</v>
      </c>
    </row>
    <row r="27" spans="1:9" ht="15" x14ac:dyDescent="0.25">
      <c r="A27" s="14" t="s">
        <v>1643</v>
      </c>
      <c r="B27" s="55">
        <v>0</v>
      </c>
      <c r="C27" s="14"/>
    </row>
    <row r="28" spans="1:9" ht="15" x14ac:dyDescent="0.25">
      <c r="A28" s="14"/>
      <c r="B28" s="55"/>
      <c r="C28" s="14"/>
    </row>
    <row r="29" spans="1:9" ht="15" x14ac:dyDescent="0.25">
      <c r="A29" s="42" t="s">
        <v>1647</v>
      </c>
      <c r="B29" s="15"/>
      <c r="C29" s="14"/>
    </row>
    <row r="30" spans="1:9" ht="15" x14ac:dyDescent="0.25">
      <c r="A30" s="14" t="s">
        <v>1656</v>
      </c>
      <c r="B30" s="15">
        <v>1</v>
      </c>
      <c r="C30" s="14" t="s">
        <v>1742</v>
      </c>
    </row>
    <row r="31" spans="1:9" x14ac:dyDescent="0.3">
      <c r="A31" s="14" t="s">
        <v>1651</v>
      </c>
      <c r="B31" s="55">
        <f>ElectricalContractorHourlyRate</f>
        <v>75</v>
      </c>
      <c r="C31" s="14"/>
    </row>
    <row r="32" spans="1:9" x14ac:dyDescent="0.3">
      <c r="A32" s="14" t="s">
        <v>1649</v>
      </c>
      <c r="B32" s="55">
        <f>B30*B31</f>
        <v>75</v>
      </c>
      <c r="C32" s="14"/>
    </row>
    <row r="33" spans="1:9" x14ac:dyDescent="0.3">
      <c r="A33" s="14" t="s">
        <v>1650</v>
      </c>
      <c r="B33" s="55">
        <v>0</v>
      </c>
      <c r="C33" s="7"/>
    </row>
    <row r="35" spans="1:9" x14ac:dyDescent="0.3">
      <c r="A35" s="14"/>
      <c r="B35" s="46" t="s">
        <v>2712</v>
      </c>
      <c r="C35" s="46" t="s">
        <v>2720</v>
      </c>
      <c r="D35" s="30" t="s">
        <v>1655</v>
      </c>
      <c r="E35" s="30" t="str">
        <f>Summary!C4</f>
        <v>2015/16</v>
      </c>
      <c r="F35" s="30" t="str">
        <f>Summary!D4</f>
        <v>2016/17</v>
      </c>
      <c r="G35" s="30" t="str">
        <f>Summary!E4</f>
        <v>2017/18</v>
      </c>
      <c r="H35" s="30" t="str">
        <f>Summary!F4</f>
        <v>2018/19</v>
      </c>
      <c r="I35" s="30" t="str">
        <f>Summary!G4</f>
        <v>2019/20</v>
      </c>
    </row>
    <row r="36" spans="1:9" x14ac:dyDescent="0.3">
      <c r="A36" s="14" t="s">
        <v>1648</v>
      </c>
      <c r="B36" s="40">
        <f>B25*HourlyRateAPAMaintenanceStaff+B26*HourlyRateAPAOMSupervisor</f>
        <v>22.027333333333335</v>
      </c>
      <c r="C36" s="40">
        <f>B36*$C$18</f>
        <v>1189.4760000000001</v>
      </c>
      <c r="D36" s="40">
        <f>C36*SUMPRODUCT(LabourAdjustmentFactor,E$23:I$23)</f>
        <v>6408.5835328878511</v>
      </c>
      <c r="E36" s="40">
        <f>$C36*E$23*'Modelling Assumptions'!E$101</f>
        <v>1219.2129</v>
      </c>
      <c r="F36" s="40">
        <f>$C36*F$23*'Modelling Assumptions'!F$101</f>
        <v>1249.6932225</v>
      </c>
      <c r="G36" s="40">
        <f>$C36*G$23*'Modelling Assumptions'!G$101</f>
        <v>1280.9355530625</v>
      </c>
      <c r="H36" s="40">
        <f>$C36*H$23*'Modelling Assumptions'!H$101</f>
        <v>1312.9589418890623</v>
      </c>
      <c r="I36" s="40">
        <f>$C36*I$23*'Modelling Assumptions'!I$101</f>
        <v>1345.7829154362887</v>
      </c>
    </row>
    <row r="37" spans="1:9" x14ac:dyDescent="0.3">
      <c r="A37" s="14" t="s">
        <v>1643</v>
      </c>
      <c r="B37" s="40">
        <f>B27</f>
        <v>0</v>
      </c>
      <c r="C37" s="40">
        <f t="shared" ref="C37:C39" si="1">B37*$C$18</f>
        <v>0</v>
      </c>
      <c r="D37" s="40">
        <f>C37*SUMPRODUCT(MaterialsAdjustmentFactor,E$23:I$23)</f>
        <v>0</v>
      </c>
      <c r="E37" s="47">
        <f>$C37*E$23*'Modelling Assumptions'!E$102</f>
        <v>0</v>
      </c>
      <c r="F37" s="47">
        <f>$C37*F$23*'Modelling Assumptions'!F$102</f>
        <v>0</v>
      </c>
      <c r="G37" s="47">
        <f>$C37*G$23*'Modelling Assumptions'!G$102</f>
        <v>0</v>
      </c>
      <c r="H37" s="47">
        <f>$C37*H$23*'Modelling Assumptions'!H$102</f>
        <v>0</v>
      </c>
      <c r="I37" s="47">
        <f>$C37*I$23*'Modelling Assumptions'!I$102</f>
        <v>0</v>
      </c>
    </row>
    <row r="38" spans="1:9" x14ac:dyDescent="0.3">
      <c r="A38" s="14" t="s">
        <v>1649</v>
      </c>
      <c r="B38" s="40">
        <f>B32</f>
        <v>75</v>
      </c>
      <c r="C38" s="40">
        <f t="shared" si="1"/>
        <v>4050</v>
      </c>
      <c r="D38" s="40">
        <f>C38*SUMPRODUCT(LabourAdjustmentFactor,E$23:I$23)</f>
        <v>21820.333750488277</v>
      </c>
      <c r="E38" s="40">
        <f>$C38*E$23*'Modelling Assumptions'!E$101</f>
        <v>4151.25</v>
      </c>
      <c r="F38" s="40">
        <f>$C38*F$23*'Modelling Assumptions'!F$101</f>
        <v>4255.03125</v>
      </c>
      <c r="G38" s="40">
        <f>$C38*G$23*'Modelling Assumptions'!G$101</f>
        <v>4361.4070312499998</v>
      </c>
      <c r="H38" s="40">
        <f>$C38*H$23*'Modelling Assumptions'!H$101</f>
        <v>4470.4422070312494</v>
      </c>
      <c r="I38" s="40">
        <f>$C38*I$23*'Modelling Assumptions'!I$101</f>
        <v>4582.2032622070301</v>
      </c>
    </row>
    <row r="39" spans="1:9" x14ac:dyDescent="0.3">
      <c r="A39" s="14" t="s">
        <v>1650</v>
      </c>
      <c r="B39" s="40">
        <f>B33</f>
        <v>0</v>
      </c>
      <c r="C39" s="40">
        <f t="shared" si="1"/>
        <v>0</v>
      </c>
      <c r="D39" s="40">
        <f>C39*SUMPRODUCT(MaterialsAdjustmentFactor,E$23:I$23)</f>
        <v>0</v>
      </c>
      <c r="E39" s="40">
        <f>$C39*E$23*'Modelling Assumptions'!E$102</f>
        <v>0</v>
      </c>
      <c r="F39" s="40">
        <f>$C39*F$23*'Modelling Assumptions'!F$102</f>
        <v>0</v>
      </c>
      <c r="G39" s="40">
        <f>$C39*G$23*'Modelling Assumptions'!G$102</f>
        <v>0</v>
      </c>
      <c r="H39" s="40">
        <f>$C39*H$23*'Modelling Assumptions'!H$102</f>
        <v>0</v>
      </c>
      <c r="I39" s="40">
        <f>$C39*I$23*'Modelling Assumptions'!I$102</f>
        <v>0</v>
      </c>
    </row>
    <row r="42" spans="1:9" x14ac:dyDescent="0.3">
      <c r="A42" s="10" t="s">
        <v>1641</v>
      </c>
      <c r="B42" s="44"/>
      <c r="C42" s="44"/>
      <c r="D42" s="10"/>
      <c r="E42" s="10"/>
      <c r="F42" s="10"/>
      <c r="G42" s="10"/>
      <c r="H42" s="10"/>
      <c r="I42" s="10"/>
    </row>
    <row r="43" spans="1:9" x14ac:dyDescent="0.3">
      <c r="A43" t="s">
        <v>3</v>
      </c>
      <c r="B43" t="s">
        <v>2</v>
      </c>
      <c r="C43" t="s">
        <v>1</v>
      </c>
    </row>
    <row r="44" spans="1:9" x14ac:dyDescent="0.3">
      <c r="A44" t="s">
        <v>124</v>
      </c>
      <c r="B44" t="s">
        <v>123</v>
      </c>
      <c r="C44" t="s">
        <v>44</v>
      </c>
      <c r="D44" t="s">
        <v>122</v>
      </c>
    </row>
    <row r="45" spans="1:9" x14ac:dyDescent="0.3">
      <c r="A45" t="s">
        <v>230</v>
      </c>
      <c r="B45" t="s">
        <v>123</v>
      </c>
      <c r="C45" t="s">
        <v>93</v>
      </c>
      <c r="D45" t="s">
        <v>229</v>
      </c>
    </row>
    <row r="46" spans="1:9" x14ac:dyDescent="0.3">
      <c r="A46" t="s">
        <v>274</v>
      </c>
      <c r="B46" t="s">
        <v>123</v>
      </c>
      <c r="C46" t="s">
        <v>108</v>
      </c>
      <c r="D46" t="s">
        <v>273</v>
      </c>
    </row>
    <row r="47" spans="1:9" x14ac:dyDescent="0.3">
      <c r="A47" t="s">
        <v>371</v>
      </c>
      <c r="B47" t="s">
        <v>123</v>
      </c>
      <c r="C47" t="s">
        <v>335</v>
      </c>
      <c r="D47" t="s">
        <v>370</v>
      </c>
    </row>
    <row r="48" spans="1:9" x14ac:dyDescent="0.3">
      <c r="A48" t="s">
        <v>419</v>
      </c>
      <c r="B48" t="s">
        <v>123</v>
      </c>
      <c r="C48" t="s">
        <v>346</v>
      </c>
      <c r="D48" t="s">
        <v>418</v>
      </c>
    </row>
    <row r="49" spans="1:5" x14ac:dyDescent="0.3">
      <c r="A49" t="s">
        <v>462</v>
      </c>
      <c r="B49" t="s">
        <v>123</v>
      </c>
      <c r="C49" t="s">
        <v>358</v>
      </c>
      <c r="D49" t="s">
        <v>461</v>
      </c>
    </row>
    <row r="55" spans="1:5" x14ac:dyDescent="0.3">
      <c r="A55" t="s">
        <v>1098</v>
      </c>
      <c r="B55" t="s">
        <v>508</v>
      </c>
    </row>
    <row r="56" spans="1:5" x14ac:dyDescent="0.3">
      <c r="A56" t="s">
        <v>1200</v>
      </c>
      <c r="B56" t="s">
        <v>1100</v>
      </c>
      <c r="C56" t="s">
        <v>1101</v>
      </c>
      <c r="D56" s="29">
        <v>41535.556250000001</v>
      </c>
      <c r="E56" t="s">
        <v>1119</v>
      </c>
    </row>
    <row r="57" spans="1:5" x14ac:dyDescent="0.3">
      <c r="A57" t="s">
        <v>1201</v>
      </c>
      <c r="B57" t="s">
        <v>1121</v>
      </c>
      <c r="C57" t="s">
        <v>1101</v>
      </c>
      <c r="D57" s="29">
        <v>41533.740277777775</v>
      </c>
      <c r="E57" t="s">
        <v>1202</v>
      </c>
    </row>
    <row r="58" spans="1:5" x14ac:dyDescent="0.3">
      <c r="A58" t="s">
        <v>1203</v>
      </c>
      <c r="B58" t="s">
        <v>1141</v>
      </c>
      <c r="C58" t="s">
        <v>1101</v>
      </c>
      <c r="D58" s="29">
        <v>41535.624305555553</v>
      </c>
      <c r="E58" t="s">
        <v>1204</v>
      </c>
    </row>
    <row r="59" spans="1:5" x14ac:dyDescent="0.3">
      <c r="A59" t="s">
        <v>1205</v>
      </c>
      <c r="B59" t="s">
        <v>1100</v>
      </c>
      <c r="C59" t="s">
        <v>1101</v>
      </c>
      <c r="D59" s="29">
        <v>41474.660416666666</v>
      </c>
      <c r="E59" t="s">
        <v>1115</v>
      </c>
    </row>
    <row r="60" spans="1:5" x14ac:dyDescent="0.3">
      <c r="A60" t="s">
        <v>1206</v>
      </c>
      <c r="B60" t="s">
        <v>1141</v>
      </c>
      <c r="C60" t="s">
        <v>1101</v>
      </c>
      <c r="D60" s="29">
        <v>41533.619444444441</v>
      </c>
      <c r="E60" t="s">
        <v>1207</v>
      </c>
    </row>
    <row r="61" spans="1:5" x14ac:dyDescent="0.3">
      <c r="A61" t="s">
        <v>1208</v>
      </c>
      <c r="B61" t="s">
        <v>1141</v>
      </c>
      <c r="C61" t="s">
        <v>1101</v>
      </c>
      <c r="D61" s="29">
        <v>41533.619444444441</v>
      </c>
      <c r="E61" t="s">
        <v>1207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8C800"/>
    <pageSetUpPr fitToPage="1"/>
  </sheetPr>
  <dimension ref="A1:I113"/>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1460</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D39+D59+D80</f>
        <v>7273.103097213545</v>
      </c>
      <c r="E3" s="33">
        <f t="shared" ref="E3:I3" si="0">E39+E59+E80</f>
        <v>1582.1151749999999</v>
      </c>
      <c r="F3" s="33">
        <f t="shared" si="0"/>
        <v>1249.6932225</v>
      </c>
      <c r="G3" s="33">
        <f t="shared" si="0"/>
        <v>1525.5523354218751</v>
      </c>
      <c r="H3" s="33">
        <f t="shared" si="0"/>
        <v>1312.9589418890623</v>
      </c>
      <c r="I3" s="33">
        <f t="shared" si="0"/>
        <v>1602.7834224026069</v>
      </c>
    </row>
    <row r="4" spans="1:9" ht="15" x14ac:dyDescent="0.25">
      <c r="A4" t="s">
        <v>1643</v>
      </c>
      <c r="B4" s="33"/>
      <c r="C4" s="33"/>
      <c r="D4" s="33">
        <f t="shared" ref="D4:I4" si="1">D40+D60+D81</f>
        <v>57418.303785149998</v>
      </c>
      <c r="E4" s="33">
        <f t="shared" si="1"/>
        <v>10815</v>
      </c>
      <c r="F4" s="33">
        <f t="shared" si="1"/>
        <v>11139.449999999999</v>
      </c>
      <c r="G4" s="33">
        <f t="shared" si="1"/>
        <v>11473.6335</v>
      </c>
      <c r="H4" s="33">
        <f t="shared" si="1"/>
        <v>11817.842504999999</v>
      </c>
      <c r="I4" s="33">
        <f t="shared" si="1"/>
        <v>12172.377780149998</v>
      </c>
    </row>
    <row r="5" spans="1:9" ht="15" x14ac:dyDescent="0.25">
      <c r="A5" t="s">
        <v>1649</v>
      </c>
      <c r="B5" s="33"/>
      <c r="C5" s="33"/>
      <c r="D5" s="33">
        <f t="shared" ref="D5:I5" si="2">D41+D61+D82</f>
        <v>41216.67857373046</v>
      </c>
      <c r="E5" s="33">
        <f t="shared" si="2"/>
        <v>8148.7499999999991</v>
      </c>
      <c r="F5" s="33">
        <f t="shared" si="2"/>
        <v>7564.4999999999991</v>
      </c>
      <c r="G5" s="33">
        <f t="shared" si="2"/>
        <v>8561.2804687499993</v>
      </c>
      <c r="H5" s="33">
        <f t="shared" si="2"/>
        <v>7947.4528124999979</v>
      </c>
      <c r="I5" s="33">
        <f t="shared" si="2"/>
        <v>8994.6952924804664</v>
      </c>
    </row>
    <row r="6" spans="1:9" ht="15" x14ac:dyDescent="0.25">
      <c r="A6" t="s">
        <v>1650</v>
      </c>
      <c r="B6" s="33"/>
      <c r="D6" s="33">
        <f t="shared" ref="D6:I6" si="3">D42+D62+D83</f>
        <v>0</v>
      </c>
      <c r="E6" s="33">
        <f t="shared" si="3"/>
        <v>0</v>
      </c>
      <c r="F6" s="33">
        <f t="shared" si="3"/>
        <v>0</v>
      </c>
      <c r="G6" s="33">
        <f t="shared" si="3"/>
        <v>0</v>
      </c>
      <c r="H6" s="33">
        <f t="shared" si="3"/>
        <v>0</v>
      </c>
      <c r="I6" s="33">
        <f t="shared" si="3"/>
        <v>0</v>
      </c>
    </row>
    <row r="9" spans="1:9" ht="15" x14ac:dyDescent="0.25">
      <c r="A9" t="s">
        <v>1497</v>
      </c>
      <c r="B9" t="s">
        <v>1498</v>
      </c>
    </row>
    <row r="10" spans="1:9" ht="15" x14ac:dyDescent="0.25">
      <c r="A10" t="s">
        <v>1500</v>
      </c>
      <c r="B10" s="14" t="s">
        <v>3098</v>
      </c>
    </row>
    <row r="13" spans="1:9" ht="15" x14ac:dyDescent="0.25">
      <c r="A13" t="s">
        <v>1743</v>
      </c>
    </row>
    <row r="14" spans="1:9" ht="15" x14ac:dyDescent="0.25">
      <c r="B14" s="39" t="s">
        <v>1678</v>
      </c>
      <c r="C14" s="39">
        <v>2</v>
      </c>
    </row>
    <row r="15" spans="1:9" ht="15" x14ac:dyDescent="0.25">
      <c r="A15" s="12" t="s">
        <v>1640</v>
      </c>
      <c r="B15" s="12"/>
      <c r="C15" s="12">
        <f>C14</f>
        <v>2</v>
      </c>
    </row>
    <row r="16" spans="1:9" ht="15" x14ac:dyDescent="0.25">
      <c r="B16" s="39"/>
      <c r="C16" s="39"/>
    </row>
    <row r="17" spans="1:9" ht="15" x14ac:dyDescent="0.25">
      <c r="A17" t="s">
        <v>1992</v>
      </c>
      <c r="B17" s="39"/>
      <c r="C17" s="39"/>
    </row>
    <row r="18" spans="1:9" ht="15" x14ac:dyDescent="0.25">
      <c r="A18" s="33" t="s">
        <v>2080</v>
      </c>
      <c r="B18" s="39"/>
      <c r="C18" s="39"/>
    </row>
    <row r="19" spans="1:9" ht="15" x14ac:dyDescent="0.25">
      <c r="A19" t="s">
        <v>1795</v>
      </c>
      <c r="B19" s="39"/>
      <c r="C19" s="39"/>
    </row>
    <row r="20" spans="1:9" s="301" customFormat="1" ht="15" x14ac:dyDescent="0.25">
      <c r="B20" s="39"/>
      <c r="C20" s="39"/>
    </row>
    <row r="21" spans="1:9" ht="15" x14ac:dyDescent="0.25">
      <c r="B21" s="39"/>
      <c r="C21" s="39"/>
      <c r="E21" s="30" t="str">
        <f>Summary!C4</f>
        <v>2015/16</v>
      </c>
      <c r="F21" s="30" t="str">
        <f>Summary!D4</f>
        <v>2016/17</v>
      </c>
      <c r="G21" s="30" t="str">
        <f>Summary!E4</f>
        <v>2017/18</v>
      </c>
      <c r="H21" s="30" t="str">
        <f>Summary!F4</f>
        <v>2018/19</v>
      </c>
      <c r="I21" s="30" t="str">
        <f>Summary!G4</f>
        <v>2019/20</v>
      </c>
    </row>
    <row r="22" spans="1:9" x14ac:dyDescent="0.3">
      <c r="A22" s="45" t="s">
        <v>1196</v>
      </c>
      <c r="B22" s="45" t="s">
        <v>56</v>
      </c>
      <c r="C22" s="45"/>
      <c r="D22" s="45"/>
      <c r="E22" s="45">
        <v>1</v>
      </c>
      <c r="F22" s="45">
        <v>1</v>
      </c>
      <c r="G22" s="45">
        <v>1</v>
      </c>
      <c r="H22" s="45">
        <v>1</v>
      </c>
      <c r="I22" s="45">
        <v>1</v>
      </c>
    </row>
    <row r="23" spans="1:9" ht="15" x14ac:dyDescent="0.25">
      <c r="A23" s="8" t="s">
        <v>1646</v>
      </c>
      <c r="C23" s="39"/>
    </row>
    <row r="24" spans="1:9" ht="15" x14ac:dyDescent="0.25">
      <c r="A24" s="14" t="s">
        <v>1658</v>
      </c>
      <c r="B24" s="15">
        <f>APATechnicianHours/C15</f>
        <v>0.5</v>
      </c>
      <c r="C24" s="14" t="s">
        <v>1740</v>
      </c>
    </row>
    <row r="25" spans="1:9" ht="15" x14ac:dyDescent="0.25">
      <c r="A25" s="14" t="s">
        <v>1997</v>
      </c>
      <c r="B25" s="67">
        <f>APASupervisorHours/C15</f>
        <v>4.291666666666667</v>
      </c>
      <c r="C25" s="14" t="s">
        <v>1677</v>
      </c>
    </row>
    <row r="26" spans="1:9" ht="15" x14ac:dyDescent="0.25">
      <c r="A26" s="14" t="s">
        <v>1643</v>
      </c>
      <c r="B26" s="55">
        <f>(B35+B36)/C15</f>
        <v>5250</v>
      </c>
      <c r="C26" s="7"/>
    </row>
    <row r="27" spans="1:9" ht="15" x14ac:dyDescent="0.25">
      <c r="A27" s="14"/>
      <c r="B27" s="55"/>
      <c r="C27" s="14"/>
    </row>
    <row r="28" spans="1:9" ht="15" x14ac:dyDescent="0.25">
      <c r="A28" s="42" t="s">
        <v>1647</v>
      </c>
      <c r="B28" s="15"/>
      <c r="C28" s="14"/>
    </row>
    <row r="29" spans="1:9" ht="15" x14ac:dyDescent="0.25">
      <c r="A29" s="14" t="s">
        <v>1656</v>
      </c>
      <c r="B29" s="15">
        <f>8*2*3</f>
        <v>48</v>
      </c>
      <c r="C29" s="14" t="s">
        <v>3312</v>
      </c>
    </row>
    <row r="30" spans="1:9" ht="15" x14ac:dyDescent="0.25">
      <c r="A30" s="14" t="s">
        <v>1651</v>
      </c>
      <c r="B30" s="55">
        <f>ElectricalContractorHourlyRate</f>
        <v>75</v>
      </c>
      <c r="C30" s="14"/>
    </row>
    <row r="31" spans="1:9" x14ac:dyDescent="0.3">
      <c r="A31" s="14" t="s">
        <v>1649</v>
      </c>
      <c r="B31" s="55">
        <f>B29*B30</f>
        <v>3600</v>
      </c>
      <c r="C31" s="14" t="s">
        <v>1677</v>
      </c>
    </row>
    <row r="32" spans="1:9" x14ac:dyDescent="0.3">
      <c r="A32" s="14" t="s">
        <v>1650</v>
      </c>
      <c r="B32" s="55">
        <v>0</v>
      </c>
      <c r="C32" s="14"/>
    </row>
    <row r="33" spans="1:9" x14ac:dyDescent="0.3">
      <c r="A33" s="14"/>
      <c r="B33" s="41"/>
      <c r="C33" s="14"/>
    </row>
    <row r="34" spans="1:9" x14ac:dyDescent="0.3">
      <c r="A34" s="59" t="s">
        <v>504</v>
      </c>
      <c r="B34" s="60"/>
      <c r="C34" s="59"/>
    </row>
    <row r="35" spans="1:9" x14ac:dyDescent="0.3">
      <c r="A35" s="14" t="s">
        <v>2792</v>
      </c>
      <c r="B35" s="55">
        <v>7000</v>
      </c>
      <c r="C35" s="14" t="s">
        <v>3313</v>
      </c>
    </row>
    <row r="36" spans="1:9" x14ac:dyDescent="0.3">
      <c r="A36" s="14" t="s">
        <v>2751</v>
      </c>
      <c r="B36" s="55">
        <f>3500</f>
        <v>3500</v>
      </c>
      <c r="C36" s="14" t="s">
        <v>3231</v>
      </c>
    </row>
    <row r="37" spans="1:9" x14ac:dyDescent="0.3">
      <c r="A37" s="14"/>
      <c r="B37" s="41"/>
      <c r="C37" s="14"/>
    </row>
    <row r="38" spans="1:9" x14ac:dyDescent="0.3">
      <c r="A38" s="14"/>
      <c r="B38" s="46" t="s">
        <v>2712</v>
      </c>
      <c r="C38" s="46" t="s">
        <v>2718</v>
      </c>
      <c r="D38" s="30" t="s">
        <v>1655</v>
      </c>
      <c r="E38" s="30" t="str">
        <f>Summary!C4</f>
        <v>2015/16</v>
      </c>
      <c r="F38" s="30" t="str">
        <f>Summary!D4</f>
        <v>2016/17</v>
      </c>
      <c r="G38" s="30" t="str">
        <f>Summary!E4</f>
        <v>2017/18</v>
      </c>
      <c r="H38" s="30" t="str">
        <f>Summary!F4</f>
        <v>2018/19</v>
      </c>
      <c r="I38" s="30" t="str">
        <f>Summary!G4</f>
        <v>2019/20</v>
      </c>
    </row>
    <row r="39" spans="1:9" x14ac:dyDescent="0.3">
      <c r="A39" s="14" t="s">
        <v>1648</v>
      </c>
      <c r="B39" s="40">
        <f>B24*HourlyRateAPAMaintenanceStaff+B25*HourlyRateAPAOMSupervisor</f>
        <v>594.73800000000006</v>
      </c>
      <c r="C39" s="40">
        <f>B39*$C$15</f>
        <v>1189.4760000000001</v>
      </c>
      <c r="D39" s="40">
        <f>C39*SUMPRODUCT(LabourAdjustmentFactor,E$22:I$22)</f>
        <v>6408.5835328878511</v>
      </c>
      <c r="E39" s="40">
        <f>$C39*E$22*'Modelling Assumptions'!E$101</f>
        <v>1219.2129</v>
      </c>
      <c r="F39" s="40">
        <f>$C39*F$22*'Modelling Assumptions'!F$101</f>
        <v>1249.6932225</v>
      </c>
      <c r="G39" s="40">
        <f>$C39*G$22*'Modelling Assumptions'!G$101</f>
        <v>1280.9355530625</v>
      </c>
      <c r="H39" s="40">
        <f>$C39*H$22*'Modelling Assumptions'!H$101</f>
        <v>1312.9589418890623</v>
      </c>
      <c r="I39" s="40">
        <f>$C39*I$22*'Modelling Assumptions'!I$101</f>
        <v>1345.7829154362887</v>
      </c>
    </row>
    <row r="40" spans="1:9" x14ac:dyDescent="0.3">
      <c r="A40" s="14" t="s">
        <v>1643</v>
      </c>
      <c r="B40" s="40">
        <f>B26</f>
        <v>5250</v>
      </c>
      <c r="C40" s="40">
        <f>B40*$C$15</f>
        <v>10500</v>
      </c>
      <c r="D40" s="40">
        <f>C40*SUMPRODUCT(MaterialsAdjustmentFactor,E$22:I$22)</f>
        <v>57418.303785149998</v>
      </c>
      <c r="E40" s="40">
        <f>$C40*E$22*'Modelling Assumptions'!E$102</f>
        <v>10815</v>
      </c>
      <c r="F40" s="40">
        <f>$C40*F$22*'Modelling Assumptions'!F$102</f>
        <v>11139.449999999999</v>
      </c>
      <c r="G40" s="40">
        <f>$C40*G$22*'Modelling Assumptions'!G$102</f>
        <v>11473.6335</v>
      </c>
      <c r="H40" s="40">
        <f>$C40*H$22*'Modelling Assumptions'!H$102</f>
        <v>11817.842504999999</v>
      </c>
      <c r="I40" s="40">
        <f>$C40*I$22*'Modelling Assumptions'!I$102</f>
        <v>12172.377780149998</v>
      </c>
    </row>
    <row r="41" spans="1:9" x14ac:dyDescent="0.3">
      <c r="A41" s="14" t="s">
        <v>1649</v>
      </c>
      <c r="B41" s="40">
        <f>B31</f>
        <v>3600</v>
      </c>
      <c r="C41" s="40">
        <f>B41*$C$15</f>
        <v>7200</v>
      </c>
      <c r="D41" s="47">
        <f>C41*SUMPRODUCT(LabourAdjustmentFactor,E$22:I$22)</f>
        <v>38791.704445312491</v>
      </c>
      <c r="E41" s="40">
        <f>$C41*E$22*'Modelling Assumptions'!E$101</f>
        <v>7379.9999999999991</v>
      </c>
      <c r="F41" s="40">
        <f>$C41*F$22*'Modelling Assumptions'!F$101</f>
        <v>7564.4999999999991</v>
      </c>
      <c r="G41" s="40">
        <f>$C41*G$22*'Modelling Assumptions'!G$101</f>
        <v>7753.6124999999993</v>
      </c>
      <c r="H41" s="40">
        <f>$C41*H$22*'Modelling Assumptions'!H$101</f>
        <v>7947.4528124999979</v>
      </c>
      <c r="I41" s="40">
        <f>$C41*I$22*'Modelling Assumptions'!I$101</f>
        <v>8146.1391328124973</v>
      </c>
    </row>
    <row r="42" spans="1:9" x14ac:dyDescent="0.3">
      <c r="A42" s="14" t="s">
        <v>1650</v>
      </c>
      <c r="B42" s="40">
        <f>B32</f>
        <v>0</v>
      </c>
      <c r="C42" s="40">
        <f>B42*$C$15</f>
        <v>0</v>
      </c>
      <c r="D42" s="40">
        <f>C42*SUMPRODUCT(MaterialsAdjustmentFactor,E$22:I$22)</f>
        <v>0</v>
      </c>
      <c r="E42" s="40">
        <f>$C42*E$22*'Modelling Assumptions'!E$102</f>
        <v>0</v>
      </c>
      <c r="F42" s="40">
        <f>$C42*F$22*'Modelling Assumptions'!F$102</f>
        <v>0</v>
      </c>
      <c r="G42" s="40">
        <f>$C42*G$22*'Modelling Assumptions'!G$102</f>
        <v>0</v>
      </c>
      <c r="H42" s="40">
        <f>$C42*H$22*'Modelling Assumptions'!H$102</f>
        <v>0</v>
      </c>
      <c r="I42" s="40">
        <f>$C42*I$22*'Modelling Assumptions'!I$102</f>
        <v>0</v>
      </c>
    </row>
    <row r="43" spans="1:9" x14ac:dyDescent="0.3">
      <c r="B43" s="39"/>
      <c r="C43" s="39"/>
    </row>
    <row r="44" spans="1:9" x14ac:dyDescent="0.3">
      <c r="B44" s="39"/>
      <c r="C44" s="39"/>
    </row>
    <row r="45" spans="1:9" x14ac:dyDescent="0.3">
      <c r="B45" s="39"/>
      <c r="C45" s="39"/>
      <c r="E45" s="30" t="str">
        <f>Summary!C4</f>
        <v>2015/16</v>
      </c>
      <c r="F45" s="30" t="str">
        <f>Summary!D4</f>
        <v>2016/17</v>
      </c>
      <c r="G45" s="30" t="str">
        <f>Summary!E4</f>
        <v>2017/18</v>
      </c>
      <c r="H45" s="30" t="str">
        <f>Summary!F4</f>
        <v>2018/19</v>
      </c>
      <c r="I45" s="30" t="str">
        <f>Summary!G4</f>
        <v>2019/20</v>
      </c>
    </row>
    <row r="46" spans="1:9" x14ac:dyDescent="0.3">
      <c r="A46" s="45" t="s">
        <v>1197</v>
      </c>
      <c r="B46" s="45" t="s">
        <v>65</v>
      </c>
      <c r="C46" s="45"/>
      <c r="D46" s="45"/>
      <c r="E46" s="45">
        <v>1</v>
      </c>
      <c r="F46" s="45">
        <v>0</v>
      </c>
      <c r="G46" s="45">
        <v>1</v>
      </c>
      <c r="H46" s="45">
        <v>0</v>
      </c>
      <c r="I46" s="45">
        <v>1</v>
      </c>
    </row>
    <row r="47" spans="1:9" x14ac:dyDescent="0.3">
      <c r="A47" s="8" t="s">
        <v>1646</v>
      </c>
      <c r="C47" s="39"/>
    </row>
    <row r="48" spans="1:9" x14ac:dyDescent="0.3">
      <c r="A48" s="14" t="s">
        <v>1658</v>
      </c>
      <c r="B48" s="15">
        <f>APATechnicianHours/C15</f>
        <v>0.5</v>
      </c>
      <c r="C48" s="14" t="s">
        <v>1677</v>
      </c>
    </row>
    <row r="49" spans="1:9" x14ac:dyDescent="0.3">
      <c r="A49" s="14" t="s">
        <v>1997</v>
      </c>
      <c r="B49" s="7">
        <f>0.5</f>
        <v>0.5</v>
      </c>
      <c r="C49" s="14" t="s">
        <v>3314</v>
      </c>
    </row>
    <row r="50" spans="1:9" x14ac:dyDescent="0.3">
      <c r="A50" s="14" t="s">
        <v>1643</v>
      </c>
      <c r="B50" s="55">
        <v>0</v>
      </c>
      <c r="C50" s="14"/>
    </row>
    <row r="51" spans="1:9" x14ac:dyDescent="0.3">
      <c r="A51" s="14"/>
      <c r="B51" s="55"/>
      <c r="C51" s="14"/>
    </row>
    <row r="52" spans="1:9" x14ac:dyDescent="0.3">
      <c r="A52" s="42" t="s">
        <v>1647</v>
      </c>
      <c r="B52" s="15"/>
      <c r="C52" s="14"/>
    </row>
    <row r="53" spans="1:9" x14ac:dyDescent="0.3">
      <c r="A53" s="14" t="s">
        <v>1656</v>
      </c>
      <c r="B53" s="15">
        <v>5</v>
      </c>
      <c r="C53" s="14" t="s">
        <v>3315</v>
      </c>
    </row>
    <row r="54" spans="1:9" x14ac:dyDescent="0.3">
      <c r="A54" s="14" t="s">
        <v>1651</v>
      </c>
      <c r="B54" s="55">
        <f>ElectricalContractorHourlyRate</f>
        <v>75</v>
      </c>
      <c r="C54" s="14"/>
    </row>
    <row r="55" spans="1:9" x14ac:dyDescent="0.3">
      <c r="A55" s="14" t="s">
        <v>1649</v>
      </c>
      <c r="B55" s="55">
        <f>B53*B54</f>
        <v>375</v>
      </c>
      <c r="C55" s="14"/>
    </row>
    <row r="56" spans="1:9" x14ac:dyDescent="0.3">
      <c r="A56" s="14" t="s">
        <v>1650</v>
      </c>
      <c r="B56" s="55">
        <v>0</v>
      </c>
      <c r="C56" s="14"/>
    </row>
    <row r="57" spans="1:9" x14ac:dyDescent="0.3">
      <c r="A57" s="14"/>
      <c r="B57" s="41"/>
      <c r="C57" s="14"/>
    </row>
    <row r="58" spans="1:9" x14ac:dyDescent="0.3">
      <c r="A58" s="14"/>
      <c r="B58" s="46" t="s">
        <v>2712</v>
      </c>
      <c r="C58" s="46" t="s">
        <v>2718</v>
      </c>
      <c r="D58" s="30" t="s">
        <v>1655</v>
      </c>
      <c r="E58" s="30" t="str">
        <f>Summary!C4</f>
        <v>2015/16</v>
      </c>
      <c r="F58" s="30" t="str">
        <f>Summary!D4</f>
        <v>2016/17</v>
      </c>
      <c r="G58" s="30" t="str">
        <f>Summary!E4</f>
        <v>2017/18</v>
      </c>
      <c r="H58" s="30" t="str">
        <f>Summary!F4</f>
        <v>2018/19</v>
      </c>
      <c r="I58" s="30" t="str">
        <f>Summary!G4</f>
        <v>2019/20</v>
      </c>
    </row>
    <row r="59" spans="1:9" x14ac:dyDescent="0.3">
      <c r="A59" s="14" t="s">
        <v>1648</v>
      </c>
      <c r="B59" s="40">
        <f>B48*HourlyRateAPAMaintenanceStaff+B49*HourlyRateAPAOMSupervisor</f>
        <v>113.57550000000001</v>
      </c>
      <c r="C59" s="40">
        <f>B59*$C$15</f>
        <v>227.15100000000001</v>
      </c>
      <c r="D59" s="40">
        <f>C59*SUMPRODUCT(LabourAdjustmentFactor,E$46:I$46)</f>
        <v>734.4470643256933</v>
      </c>
      <c r="E59" s="40">
        <f>$C59*E$46*'Modelling Assumptions'!E$101</f>
        <v>232.82977499999998</v>
      </c>
      <c r="F59" s="40">
        <f>$C59*F$46*'Modelling Assumptions'!F$101</f>
        <v>0</v>
      </c>
      <c r="G59" s="40">
        <f>$C59*G$46*'Modelling Assumptions'!G$101</f>
        <v>244.61678235937498</v>
      </c>
      <c r="H59" s="40">
        <f>$C59*H$46*'Modelling Assumptions'!H$101</f>
        <v>0</v>
      </c>
      <c r="I59" s="40">
        <f>$C59*I$46*'Modelling Assumptions'!I$101</f>
        <v>257.00050696631831</v>
      </c>
    </row>
    <row r="60" spans="1:9" x14ac:dyDescent="0.3">
      <c r="A60" s="14" t="s">
        <v>1643</v>
      </c>
      <c r="B60" s="40">
        <f>B50</f>
        <v>0</v>
      </c>
      <c r="C60" s="40">
        <f>B60*$C$15</f>
        <v>0</v>
      </c>
      <c r="D60" s="40">
        <f>C60*SUMPRODUCT(MaterialsAdjustmentFactor,E$46:I$46)</f>
        <v>0</v>
      </c>
      <c r="E60" s="40">
        <f>$C60*E$46*'Modelling Assumptions'!E$102</f>
        <v>0</v>
      </c>
      <c r="F60" s="40">
        <f>$C60*F$46*'Modelling Assumptions'!F$102</f>
        <v>0</v>
      </c>
      <c r="G60" s="40">
        <f>$C60*G$46*'Modelling Assumptions'!G$102</f>
        <v>0</v>
      </c>
      <c r="H60" s="40">
        <f>$C60*H$46*'Modelling Assumptions'!H$102</f>
        <v>0</v>
      </c>
      <c r="I60" s="40">
        <f>$C60*I$46*'Modelling Assumptions'!I$102</f>
        <v>0</v>
      </c>
    </row>
    <row r="61" spans="1:9" x14ac:dyDescent="0.3">
      <c r="A61" s="14" t="s">
        <v>1649</v>
      </c>
      <c r="B61" s="40">
        <f>B55</f>
        <v>375</v>
      </c>
      <c r="C61" s="40">
        <f>B61*$C$15</f>
        <v>750</v>
      </c>
      <c r="D61" s="47">
        <f>C61*SUMPRODUCT(LabourAdjustmentFactor,E$46:I$46)</f>
        <v>2424.9741284179681</v>
      </c>
      <c r="E61" s="40">
        <f>$C61*E$46*'Modelling Assumptions'!E$101</f>
        <v>768.74999999999989</v>
      </c>
      <c r="F61" s="40">
        <f>$C61*F$46*'Modelling Assumptions'!F$101</f>
        <v>0</v>
      </c>
      <c r="G61" s="40">
        <f>$C61*G$46*'Modelling Assumptions'!G$101</f>
        <v>807.66796874999989</v>
      </c>
      <c r="H61" s="40">
        <f>$C61*H$46*'Modelling Assumptions'!H$101</f>
        <v>0</v>
      </c>
      <c r="I61" s="40">
        <f>$C61*I$46*'Modelling Assumptions'!I$101</f>
        <v>848.55615966796847</v>
      </c>
    </row>
    <row r="62" spans="1:9" x14ac:dyDescent="0.3">
      <c r="A62" s="14" t="s">
        <v>1650</v>
      </c>
      <c r="B62" s="40">
        <f>B56</f>
        <v>0</v>
      </c>
      <c r="C62" s="40">
        <f>B62*$C$15</f>
        <v>0</v>
      </c>
      <c r="D62" s="40">
        <f>C62*SUMPRODUCT(MaterialsAdjustmentFactor,E$46:I$46)</f>
        <v>0</v>
      </c>
      <c r="E62" s="40">
        <f>$C62*E$46*'Modelling Assumptions'!E$102</f>
        <v>0</v>
      </c>
      <c r="F62" s="40">
        <f>$C62*F$46*'Modelling Assumptions'!F$102</f>
        <v>0</v>
      </c>
      <c r="G62" s="40">
        <f>$C62*G$46*'Modelling Assumptions'!G$102</f>
        <v>0</v>
      </c>
      <c r="H62" s="40">
        <f>$C62*H$46*'Modelling Assumptions'!H$102</f>
        <v>0</v>
      </c>
      <c r="I62" s="40">
        <f>$C62*I$46*'Modelling Assumptions'!I$102</f>
        <v>0</v>
      </c>
    </row>
    <row r="63" spans="1:9" x14ac:dyDescent="0.3">
      <c r="B63" s="39"/>
      <c r="C63" s="39"/>
    </row>
    <row r="64" spans="1:9" x14ac:dyDescent="0.3">
      <c r="B64" s="39"/>
      <c r="C64" s="39"/>
    </row>
    <row r="65" spans="1:9" x14ac:dyDescent="0.3">
      <c r="B65" s="39"/>
      <c r="C65" s="39"/>
      <c r="E65" s="30" t="str">
        <f>Summary!C4</f>
        <v>2015/16</v>
      </c>
      <c r="F65" s="30" t="str">
        <f>Summary!D4</f>
        <v>2016/17</v>
      </c>
      <c r="G65" s="30" t="str">
        <f>Summary!E4</f>
        <v>2017/18</v>
      </c>
      <c r="H65" s="30" t="str">
        <f>Summary!F4</f>
        <v>2018/19</v>
      </c>
      <c r="I65" s="30" t="str">
        <f>Summary!G4</f>
        <v>2019/20</v>
      </c>
    </row>
    <row r="66" spans="1:9" x14ac:dyDescent="0.3">
      <c r="A66" s="45" t="s">
        <v>1198</v>
      </c>
      <c r="B66" s="45" t="s">
        <v>32</v>
      </c>
      <c r="C66" s="45"/>
      <c r="D66" s="45"/>
      <c r="E66" s="45">
        <v>1</v>
      </c>
      <c r="F66" s="45">
        <v>0</v>
      </c>
      <c r="G66" s="45">
        <v>0</v>
      </c>
      <c r="H66" s="45">
        <v>0</v>
      </c>
      <c r="I66" s="45">
        <v>0</v>
      </c>
    </row>
    <row r="67" spans="1:9" s="301" customFormat="1" x14ac:dyDescent="0.3">
      <c r="A67" s="94" t="s">
        <v>3471</v>
      </c>
      <c r="B67" s="94"/>
      <c r="C67" s="94"/>
    </row>
    <row r="68" spans="1:9" x14ac:dyDescent="0.3">
      <c r="A68" s="8" t="s">
        <v>1646</v>
      </c>
      <c r="C68" s="39"/>
    </row>
    <row r="69" spans="1:9" x14ac:dyDescent="0.3">
      <c r="A69" s="14" t="s">
        <v>1658</v>
      </c>
      <c r="B69" s="7">
        <v>0</v>
      </c>
      <c r="C69" s="14" t="s">
        <v>1677</v>
      </c>
    </row>
    <row r="70" spans="1:9" x14ac:dyDescent="0.3">
      <c r="A70" s="14" t="s">
        <v>1997</v>
      </c>
      <c r="B70" s="7">
        <f>0.5</f>
        <v>0.5</v>
      </c>
      <c r="C70" s="14" t="s">
        <v>2331</v>
      </c>
    </row>
    <row r="71" spans="1:9" x14ac:dyDescent="0.3">
      <c r="A71" s="14" t="s">
        <v>1643</v>
      </c>
      <c r="B71" s="41">
        <v>0</v>
      </c>
      <c r="C71" s="14"/>
    </row>
    <row r="72" spans="1:9" x14ac:dyDescent="0.3">
      <c r="A72" s="14"/>
      <c r="B72" s="41"/>
      <c r="C72" s="14"/>
    </row>
    <row r="73" spans="1:9" x14ac:dyDescent="0.3">
      <c r="A73" s="42" t="s">
        <v>1647</v>
      </c>
      <c r="B73" s="7"/>
      <c r="C73" s="14"/>
    </row>
    <row r="74" spans="1:9" x14ac:dyDescent="0.3">
      <c r="A74" s="14" t="s">
        <v>1656</v>
      </c>
      <c r="B74" s="7"/>
      <c r="C74" s="14" t="s">
        <v>1677</v>
      </c>
    </row>
    <row r="75" spans="1:9" x14ac:dyDescent="0.3">
      <c r="A75" s="14" t="s">
        <v>1651</v>
      </c>
      <c r="B75" s="41"/>
      <c r="C75" s="14"/>
    </row>
    <row r="76" spans="1:9" x14ac:dyDescent="0.3">
      <c r="A76" s="14" t="s">
        <v>1649</v>
      </c>
      <c r="B76" s="41">
        <v>0</v>
      </c>
      <c r="C76" s="14" t="s">
        <v>1734</v>
      </c>
    </row>
    <row r="77" spans="1:9" x14ac:dyDescent="0.3">
      <c r="A77" s="14" t="s">
        <v>1650</v>
      </c>
      <c r="B77" s="41">
        <v>0</v>
      </c>
      <c r="C77" s="14"/>
    </row>
    <row r="78" spans="1:9" x14ac:dyDescent="0.3">
      <c r="A78" s="14"/>
      <c r="B78" s="41"/>
      <c r="C78" s="14"/>
    </row>
    <row r="79" spans="1:9" x14ac:dyDescent="0.3">
      <c r="A79" s="14"/>
      <c r="B79" s="46" t="s">
        <v>2712</v>
      </c>
      <c r="C79" s="46" t="s">
        <v>2718</v>
      </c>
      <c r="D79" s="30" t="s">
        <v>1655</v>
      </c>
      <c r="E79" s="30" t="str">
        <f>Summary!C4</f>
        <v>2015/16</v>
      </c>
      <c r="F79" s="30" t="str">
        <f>Summary!D4</f>
        <v>2016/17</v>
      </c>
      <c r="G79" s="30" t="str">
        <f>Summary!E4</f>
        <v>2017/18</v>
      </c>
      <c r="H79" s="30" t="str">
        <f>Summary!F4</f>
        <v>2018/19</v>
      </c>
      <c r="I79" s="30" t="str">
        <f>Summary!G4</f>
        <v>2019/20</v>
      </c>
    </row>
    <row r="80" spans="1:9" x14ac:dyDescent="0.3">
      <c r="A80" s="14" t="s">
        <v>1648</v>
      </c>
      <c r="B80" s="40">
        <f>B69*HourlyRateAPAMaintenanceStaff+B70*HourlyRateAPAOMSupervisor</f>
        <v>63.45</v>
      </c>
      <c r="C80" s="40">
        <f>B80*$C$15</f>
        <v>126.9</v>
      </c>
      <c r="D80" s="40">
        <f>C80*SUMPRODUCT(LabourAdjustmentFactor,E$66:I$66)</f>
        <v>130.07249999999999</v>
      </c>
      <c r="E80" s="40">
        <f>$C80*E$66*'Modelling Assumptions'!E$101</f>
        <v>130.07249999999999</v>
      </c>
      <c r="F80" s="40">
        <f>$C80*F$66*'Modelling Assumptions'!F$101</f>
        <v>0</v>
      </c>
      <c r="G80" s="40">
        <f>$C80*G$66*'Modelling Assumptions'!G$101</f>
        <v>0</v>
      </c>
      <c r="H80" s="40">
        <f>$C80*H$66*'Modelling Assumptions'!H$101</f>
        <v>0</v>
      </c>
      <c r="I80" s="40">
        <f>$C80*I$66*'Modelling Assumptions'!I$101</f>
        <v>0</v>
      </c>
    </row>
    <row r="81" spans="1:9" x14ac:dyDescent="0.3">
      <c r="A81" s="14" t="s">
        <v>1643</v>
      </c>
      <c r="B81" s="40">
        <f>B71</f>
        <v>0</v>
      </c>
      <c r="C81" s="40">
        <f>B81*$C$15</f>
        <v>0</v>
      </c>
      <c r="D81" s="40">
        <f>C81*SUMPRODUCT(MaterialsAdjustmentFactor,E$66:I$66)</f>
        <v>0</v>
      </c>
      <c r="E81" s="40">
        <f>$C81*E$66*'Modelling Assumptions'!E$102</f>
        <v>0</v>
      </c>
      <c r="F81" s="40">
        <f>$C81*F$66*'Modelling Assumptions'!F$102</f>
        <v>0</v>
      </c>
      <c r="G81" s="40">
        <f>$C81*G$66*'Modelling Assumptions'!G$102</f>
        <v>0</v>
      </c>
      <c r="H81" s="40">
        <f>$C81*H$66*'Modelling Assumptions'!H$102</f>
        <v>0</v>
      </c>
      <c r="I81" s="40">
        <f>$C81*I$66*'Modelling Assumptions'!I$102</f>
        <v>0</v>
      </c>
    </row>
    <row r="82" spans="1:9" x14ac:dyDescent="0.3">
      <c r="A82" s="14" t="s">
        <v>1649</v>
      </c>
      <c r="B82" s="40">
        <f>B76</f>
        <v>0</v>
      </c>
      <c r="C82" s="40">
        <f>B82*$C$15</f>
        <v>0</v>
      </c>
      <c r="D82" s="40">
        <f>C82*SUMPRODUCT(LabourAdjustmentFactor,E$66:I$66)</f>
        <v>0</v>
      </c>
      <c r="E82" s="40">
        <f>$C82*E$66*'Modelling Assumptions'!E$101</f>
        <v>0</v>
      </c>
      <c r="F82" s="40">
        <f>$C82*F$66*'Modelling Assumptions'!F$101</f>
        <v>0</v>
      </c>
      <c r="G82" s="40">
        <f>$C82*G$66*'Modelling Assumptions'!G$101</f>
        <v>0</v>
      </c>
      <c r="H82" s="40">
        <f>$C82*H$66*'Modelling Assumptions'!H$101</f>
        <v>0</v>
      </c>
      <c r="I82" s="40">
        <f>$C82*I$66*'Modelling Assumptions'!I$101</f>
        <v>0</v>
      </c>
    </row>
    <row r="83" spans="1:9" x14ac:dyDescent="0.3">
      <c r="A83" s="14" t="s">
        <v>1650</v>
      </c>
      <c r="B83" s="40">
        <f>B77</f>
        <v>0</v>
      </c>
      <c r="C83" s="40">
        <f>B83*$C$15</f>
        <v>0</v>
      </c>
      <c r="D83" s="40">
        <f>C83*SUMPRODUCT(MaterialsAdjustmentFactor,E$66:I$66)</f>
        <v>0</v>
      </c>
      <c r="E83" s="40">
        <f>$C83*E$66*'Modelling Assumptions'!E$102</f>
        <v>0</v>
      </c>
      <c r="F83" s="40">
        <f>$C83*F$66*'Modelling Assumptions'!F$102</f>
        <v>0</v>
      </c>
      <c r="G83" s="40">
        <f>$C83*G$66*'Modelling Assumptions'!G$102</f>
        <v>0</v>
      </c>
      <c r="H83" s="40">
        <f>$C83*H$66*'Modelling Assumptions'!H$102</f>
        <v>0</v>
      </c>
      <c r="I83" s="40">
        <f>$C83*I$66*'Modelling Assumptions'!I$102</f>
        <v>0</v>
      </c>
    </row>
    <row r="84" spans="1:9" x14ac:dyDescent="0.3">
      <c r="A84" s="14"/>
      <c r="B84" s="41"/>
      <c r="C84" s="14"/>
    </row>
    <row r="85" spans="1:9" x14ac:dyDescent="0.3">
      <c r="A85" s="14"/>
      <c r="B85" s="41"/>
      <c r="C85" s="14"/>
    </row>
    <row r="89" spans="1:9" x14ac:dyDescent="0.3">
      <c r="A89" s="10" t="s">
        <v>1641</v>
      </c>
      <c r="B89" s="44"/>
      <c r="C89" s="44"/>
      <c r="D89" s="10"/>
      <c r="E89" s="10"/>
      <c r="F89" s="10"/>
      <c r="G89" s="10"/>
      <c r="H89" s="10"/>
      <c r="I89" s="10"/>
    </row>
    <row r="90" spans="1:9" x14ac:dyDescent="0.3">
      <c r="A90" t="s">
        <v>3</v>
      </c>
      <c r="B90" t="s">
        <v>2</v>
      </c>
      <c r="C90" t="s">
        <v>1</v>
      </c>
    </row>
    <row r="91" spans="1:9" x14ac:dyDescent="0.3">
      <c r="A91" t="s">
        <v>1196</v>
      </c>
      <c r="B91" t="s">
        <v>56</v>
      </c>
    </row>
    <row r="92" spans="1:9" x14ac:dyDescent="0.3">
      <c r="A92" t="s">
        <v>211</v>
      </c>
      <c r="B92" t="s">
        <v>210</v>
      </c>
      <c r="C92" t="s">
        <v>44</v>
      </c>
      <c r="D92" t="s">
        <v>184</v>
      </c>
    </row>
    <row r="93" spans="1:9" x14ac:dyDescent="0.3">
      <c r="A93" t="s">
        <v>211</v>
      </c>
      <c r="B93" t="s">
        <v>210</v>
      </c>
      <c r="C93" t="s">
        <v>93</v>
      </c>
      <c r="D93" t="s">
        <v>251</v>
      </c>
    </row>
    <row r="94" spans="1:9" x14ac:dyDescent="0.3">
      <c r="A94" t="s">
        <v>211</v>
      </c>
      <c r="B94" t="s">
        <v>210</v>
      </c>
      <c r="C94" t="s">
        <v>108</v>
      </c>
      <c r="D94" t="s">
        <v>295</v>
      </c>
    </row>
    <row r="95" spans="1:9" x14ac:dyDescent="0.3">
      <c r="A95" t="s">
        <v>211</v>
      </c>
      <c r="B95" t="s">
        <v>210</v>
      </c>
      <c r="C95" t="s">
        <v>335</v>
      </c>
      <c r="D95" t="s">
        <v>395</v>
      </c>
    </row>
    <row r="96" spans="1:9" x14ac:dyDescent="0.3">
      <c r="A96" t="s">
        <v>211</v>
      </c>
      <c r="B96" t="s">
        <v>210</v>
      </c>
      <c r="C96" t="s">
        <v>346</v>
      </c>
      <c r="D96" t="s">
        <v>440</v>
      </c>
    </row>
    <row r="97" spans="1:4" x14ac:dyDescent="0.3">
      <c r="A97" t="s">
        <v>211</v>
      </c>
      <c r="B97" t="s">
        <v>210</v>
      </c>
      <c r="C97" t="s">
        <v>358</v>
      </c>
      <c r="D97" t="s">
        <v>483</v>
      </c>
    </row>
    <row r="99" spans="1:4" x14ac:dyDescent="0.3">
      <c r="A99" t="s">
        <v>1197</v>
      </c>
      <c r="B99" t="s">
        <v>65</v>
      </c>
    </row>
    <row r="100" spans="1:4" x14ac:dyDescent="0.3">
      <c r="A100" t="s">
        <v>213</v>
      </c>
      <c r="B100" t="s">
        <v>212</v>
      </c>
      <c r="C100" t="s">
        <v>44</v>
      </c>
      <c r="D100" t="s">
        <v>184</v>
      </c>
    </row>
    <row r="101" spans="1:4" x14ac:dyDescent="0.3">
      <c r="A101" t="s">
        <v>213</v>
      </c>
      <c r="B101" t="s">
        <v>212</v>
      </c>
      <c r="C101" t="s">
        <v>93</v>
      </c>
      <c r="D101" t="s">
        <v>251</v>
      </c>
    </row>
    <row r="102" spans="1:4" x14ac:dyDescent="0.3">
      <c r="A102" t="s">
        <v>213</v>
      </c>
      <c r="B102" t="s">
        <v>212</v>
      </c>
      <c r="C102" t="s">
        <v>108</v>
      </c>
      <c r="D102" t="s">
        <v>295</v>
      </c>
    </row>
    <row r="103" spans="1:4" x14ac:dyDescent="0.3">
      <c r="A103" t="s">
        <v>213</v>
      </c>
      <c r="B103" t="s">
        <v>212</v>
      </c>
      <c r="C103" t="s">
        <v>335</v>
      </c>
      <c r="D103" t="s">
        <v>395</v>
      </c>
    </row>
    <row r="104" spans="1:4" x14ac:dyDescent="0.3">
      <c r="A104" t="s">
        <v>213</v>
      </c>
      <c r="B104" t="s">
        <v>212</v>
      </c>
      <c r="C104" t="s">
        <v>346</v>
      </c>
      <c r="D104" t="s">
        <v>440</v>
      </c>
    </row>
    <row r="105" spans="1:4" x14ac:dyDescent="0.3">
      <c r="A105" t="s">
        <v>213</v>
      </c>
      <c r="B105" t="s">
        <v>212</v>
      </c>
      <c r="C105" t="s">
        <v>358</v>
      </c>
      <c r="D105" t="s">
        <v>483</v>
      </c>
    </row>
    <row r="107" spans="1:4" x14ac:dyDescent="0.3">
      <c r="A107" t="s">
        <v>1198</v>
      </c>
      <c r="B107" t="s">
        <v>32</v>
      </c>
    </row>
    <row r="108" spans="1:4" x14ac:dyDescent="0.3">
      <c r="A108" t="s">
        <v>215</v>
      </c>
      <c r="B108" t="s">
        <v>214</v>
      </c>
      <c r="C108" t="s">
        <v>44</v>
      </c>
      <c r="D108" t="s">
        <v>184</v>
      </c>
    </row>
    <row r="109" spans="1:4" x14ac:dyDescent="0.3">
      <c r="A109" t="s">
        <v>267</v>
      </c>
      <c r="B109" t="s">
        <v>214</v>
      </c>
      <c r="C109" t="s">
        <v>93</v>
      </c>
      <c r="D109" t="s">
        <v>251</v>
      </c>
    </row>
    <row r="110" spans="1:4" x14ac:dyDescent="0.3">
      <c r="A110" t="s">
        <v>310</v>
      </c>
      <c r="B110" t="s">
        <v>214</v>
      </c>
      <c r="C110" t="s">
        <v>108</v>
      </c>
      <c r="D110" t="s">
        <v>295</v>
      </c>
    </row>
    <row r="111" spans="1:4" x14ac:dyDescent="0.3">
      <c r="A111" t="s">
        <v>412</v>
      </c>
      <c r="B111" t="s">
        <v>214</v>
      </c>
      <c r="C111" t="s">
        <v>335</v>
      </c>
      <c r="D111" t="s">
        <v>395</v>
      </c>
    </row>
    <row r="112" spans="1:4" x14ac:dyDescent="0.3">
      <c r="A112" t="s">
        <v>455</v>
      </c>
      <c r="B112" t="s">
        <v>214</v>
      </c>
      <c r="C112" t="s">
        <v>346</v>
      </c>
      <c r="D112" t="s">
        <v>440</v>
      </c>
    </row>
    <row r="113" spans="1:4" x14ac:dyDescent="0.3">
      <c r="A113" t="s">
        <v>498</v>
      </c>
      <c r="B113" t="s">
        <v>214</v>
      </c>
      <c r="C113" t="s">
        <v>358</v>
      </c>
      <c r="D113" t="s">
        <v>483</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K106"/>
  <sheetViews>
    <sheetView zoomScaleNormal="100" workbookViewId="0"/>
  </sheetViews>
  <sheetFormatPr defaultRowHeight="14.4" x14ac:dyDescent="0.3"/>
  <cols>
    <col min="1" max="1" width="41.44140625" customWidth="1"/>
    <col min="3" max="3" width="11.33203125" customWidth="1"/>
    <col min="4" max="4" width="11.109375" customWidth="1"/>
    <col min="5" max="6" width="10.88671875" customWidth="1"/>
    <col min="7" max="7" width="11" customWidth="1"/>
    <col min="8" max="8" width="11.6640625" customWidth="1"/>
    <col min="9" max="9" width="14" customWidth="1"/>
    <col min="10" max="10" width="12.109375" customWidth="1"/>
  </cols>
  <sheetData>
    <row r="1" spans="1:9" ht="18.75" x14ac:dyDescent="0.3">
      <c r="B1" s="164" t="str">
        <f ca="1">UPPER(RIGHT(CELL("filename",A1),LEN(CELL("filename",A1))-FIND("]",CELL("filename",A1))))</f>
        <v>SUMMARY</v>
      </c>
    </row>
    <row r="2" spans="1:9" s="301" customFormat="1" ht="15" x14ac:dyDescent="0.25">
      <c r="A2" s="167" t="s">
        <v>3454</v>
      </c>
    </row>
    <row r="4" spans="1:9" ht="15" x14ac:dyDescent="0.25">
      <c r="A4" s="295" t="s">
        <v>3352</v>
      </c>
      <c r="B4" s="296"/>
      <c r="C4" s="297" t="s">
        <v>2706</v>
      </c>
      <c r="D4" s="297" t="s">
        <v>2707</v>
      </c>
      <c r="E4" s="297" t="s">
        <v>2708</v>
      </c>
      <c r="F4" s="297" t="s">
        <v>2709</v>
      </c>
      <c r="G4" s="297" t="s">
        <v>2710</v>
      </c>
      <c r="I4" t="str">
        <f>'0000 (1)'!D2</f>
        <v>Total in AER Period</v>
      </c>
    </row>
    <row r="5" spans="1:9" ht="15" x14ac:dyDescent="0.25">
      <c r="A5" s="125" t="str">
        <f>'0000 (1)'!$A3</f>
        <v>APA Staff Costs</v>
      </c>
      <c r="B5" s="126"/>
      <c r="C5" s="118">
        <f>SUM('0000 (1):Blank'!E3)*MOMCSA_Multiplier</f>
        <v>1147888.7577037427</v>
      </c>
      <c r="D5" s="118">
        <f>SUM('0000 (1):Blank'!F3)*MOMCSA_Multiplier</f>
        <v>1066650.8105062242</v>
      </c>
      <c r="E5" s="118">
        <f>SUM('0000 (1):Blank'!G3)*MOMCSA_Multiplier</f>
        <v>1100631.3047713186</v>
      </c>
      <c r="F5" s="118">
        <f>SUM('0000 (1):Blank'!H3)*MOMCSA_Multiplier</f>
        <v>1126427.0271324134</v>
      </c>
      <c r="G5" s="118">
        <f>SUM('0000 (1):Blank'!I3)*MOMCSA_Multiplier</f>
        <v>1151751.7476819893</v>
      </c>
      <c r="I5" s="33">
        <f>SUM(C5:G5)</f>
        <v>5593349.6477956874</v>
      </c>
    </row>
    <row r="6" spans="1:9" ht="15" x14ac:dyDescent="0.25">
      <c r="A6" s="125" t="str">
        <f>'0000 (1)'!$A4</f>
        <v>APA Material Costs</v>
      </c>
      <c r="B6" s="126"/>
      <c r="C6" s="118">
        <f>SUM('0000 (1):Blank'!E4)*MOMCSA_Multiplier</f>
        <v>1198063.3466134237</v>
      </c>
      <c r="D6" s="118">
        <f>SUM('0000 (1):Blank'!F4)*MOMCSA_Multiplier</f>
        <v>1150031.0397791092</v>
      </c>
      <c r="E6" s="118">
        <f>SUM('0000 (1):Blank'!G4)*MOMCSA_Multiplier</f>
        <v>1194458.7541105433</v>
      </c>
      <c r="F6" s="118">
        <f>SUM('0000 (1):Blank'!H4)*MOMCSA_Multiplier</f>
        <v>1227273.107605648</v>
      </c>
      <c r="G6" s="118">
        <f>SUM('0000 (1):Blank'!I4)*MOMCSA_Multiplier</f>
        <v>1281016.4350819923</v>
      </c>
      <c r="I6" s="33">
        <f t="shared" ref="I6:I8" si="0">SUM(C6:G6)</f>
        <v>6050842.6831907164</v>
      </c>
    </row>
    <row r="7" spans="1:9" ht="15" x14ac:dyDescent="0.25">
      <c r="A7" s="125" t="str">
        <f>'0000 (1)'!$A5</f>
        <v>Contractor Labour</v>
      </c>
      <c r="B7" s="126"/>
      <c r="C7" s="118">
        <f>SUM('0000 (1):Blank'!E5)*MOMCSA_Multiplier</f>
        <v>1227375.4178590288</v>
      </c>
      <c r="D7" s="118">
        <f>SUM('0000 (1):Blank'!F5)*MOMCSA_Multiplier</f>
        <v>808596.10485628608</v>
      </c>
      <c r="E7" s="118">
        <f>SUM('0000 (1):Blank'!G5)*MOMCSA_Multiplier</f>
        <v>891801.03236050578</v>
      </c>
      <c r="F7" s="118">
        <f>SUM('0000 (1):Blank'!H5)*MOMCSA_Multiplier</f>
        <v>859825.22092002619</v>
      </c>
      <c r="G7" s="118">
        <f>SUM('0000 (1):Blank'!I5)*MOMCSA_Multiplier</f>
        <v>898305.2121124767</v>
      </c>
      <c r="I7" s="33">
        <f t="shared" si="0"/>
        <v>4685902.9881083239</v>
      </c>
    </row>
    <row r="8" spans="1:9" ht="15" x14ac:dyDescent="0.25">
      <c r="A8" s="125" t="str">
        <f>'0000 (1)'!$A6</f>
        <v>Contractor Materials</v>
      </c>
      <c r="B8" s="126"/>
      <c r="C8" s="118">
        <f>SUM('0000 (1):Blank'!E6)*MOMCSA_Multiplier</f>
        <v>5007.8600000000006</v>
      </c>
      <c r="D8" s="118">
        <f>SUM('0000 (1):Blank'!F6)*MOMCSA_Multiplier</f>
        <v>4667.96</v>
      </c>
      <c r="E8" s="118">
        <f>SUM('0000 (1):Blank'!G6)*MOMCSA_Multiplier</f>
        <v>4807.9988000000012</v>
      </c>
      <c r="F8" s="118">
        <f>SUM('0000 (1):Blank'!H6)*MOMCSA_Multiplier</f>
        <v>4952.2387639999997</v>
      </c>
      <c r="G8" s="118">
        <f>SUM('0000 (1):Blank'!I6)*MOMCSA_Multiplier</f>
        <v>5100.8059269200003</v>
      </c>
      <c r="I8" s="33">
        <f t="shared" si="0"/>
        <v>24536.863490920005</v>
      </c>
    </row>
    <row r="10" spans="1:9" ht="15" x14ac:dyDescent="0.25">
      <c r="C10" s="33">
        <f>SUM(C5:C8)</f>
        <v>3578335.3821761948</v>
      </c>
      <c r="D10" s="33">
        <f t="shared" ref="D10:G10" si="1">SUM(D5:D8)</f>
        <v>3029945.9151416197</v>
      </c>
      <c r="E10" s="33">
        <f t="shared" si="1"/>
        <v>3191699.090042368</v>
      </c>
      <c r="F10" s="33">
        <f t="shared" si="1"/>
        <v>3218477.594422088</v>
      </c>
      <c r="G10" s="33">
        <f t="shared" si="1"/>
        <v>3336174.2008033781</v>
      </c>
      <c r="I10" s="33">
        <f>SUM(C5:G8)</f>
        <v>16354632.182585647</v>
      </c>
    </row>
    <row r="11" spans="1:9" ht="15" x14ac:dyDescent="0.25">
      <c r="I11" s="101"/>
    </row>
    <row r="12" spans="1:9" ht="15" x14ac:dyDescent="0.25">
      <c r="E12" s="33"/>
      <c r="H12" t="s">
        <v>2805</v>
      </c>
      <c r="I12" s="33">
        <f>AVERAGE(C10:G10)</f>
        <v>3270926.4365171297</v>
      </c>
    </row>
    <row r="13" spans="1:9" ht="15" x14ac:dyDescent="0.25">
      <c r="E13" s="33"/>
      <c r="I13" s="33"/>
    </row>
    <row r="14" spans="1:9" ht="15" x14ac:dyDescent="0.25">
      <c r="E14" s="33"/>
      <c r="I14" s="33"/>
    </row>
    <row r="15" spans="1:9" ht="15" x14ac:dyDescent="0.25">
      <c r="E15" s="33"/>
      <c r="I15" s="33"/>
    </row>
    <row r="16" spans="1:9" ht="15" x14ac:dyDescent="0.25">
      <c r="E16" s="33"/>
      <c r="I16" s="33"/>
    </row>
    <row r="17" spans="1:9" ht="15" x14ac:dyDescent="0.25">
      <c r="E17" s="33"/>
      <c r="I17" s="33"/>
    </row>
    <row r="18" spans="1:9" ht="15" x14ac:dyDescent="0.25">
      <c r="A18" s="299" t="s">
        <v>3353</v>
      </c>
      <c r="B18" s="300"/>
      <c r="C18" s="298" t="str">
        <f>C4</f>
        <v>2015/16</v>
      </c>
      <c r="D18" s="298" t="str">
        <f t="shared" ref="D18:G18" si="2">D4</f>
        <v>2016/17</v>
      </c>
      <c r="E18" s="298" t="str">
        <f t="shared" si="2"/>
        <v>2017/18</v>
      </c>
      <c r="F18" s="298" t="str">
        <f t="shared" si="2"/>
        <v>2018/19</v>
      </c>
      <c r="G18" s="298" t="str">
        <f t="shared" si="2"/>
        <v>2019/20</v>
      </c>
      <c r="I18" s="33"/>
    </row>
    <row r="19" spans="1:9" ht="15" x14ac:dyDescent="0.25">
      <c r="A19" s="125" t="str">
        <f>A5</f>
        <v>APA Staff Costs</v>
      </c>
      <c r="B19" s="126"/>
      <c r="C19" s="118">
        <f>C5/'Modelling Assumptions'!E101</f>
        <v>1119891.4709304809</v>
      </c>
      <c r="D19" s="118">
        <f>D5/'Modelling Assumptions'!F101</f>
        <v>1015253.5971504812</v>
      </c>
      <c r="E19" s="118">
        <f>E5/'Modelling Assumptions'!G101</f>
        <v>1022045.581250481</v>
      </c>
      <c r="F19" s="118">
        <f>F5/'Modelling Assumptions'!H101</f>
        <v>1020487.291550481</v>
      </c>
      <c r="G19" s="118">
        <f>G5/'Modelling Assumptions'!I101</f>
        <v>1017980.7204504811</v>
      </c>
      <c r="I19" s="33">
        <f>SUM(C19:G19)</f>
        <v>5195658.6613324052</v>
      </c>
    </row>
    <row r="20" spans="1:9" ht="15" x14ac:dyDescent="0.25">
      <c r="A20" s="125" t="str">
        <f>A6</f>
        <v>APA Material Costs</v>
      </c>
      <c r="B20" s="126"/>
      <c r="C20" s="118">
        <f>C6/'Modelling Assumptions'!E102</f>
        <v>1163168.2976829356</v>
      </c>
      <c r="D20" s="118">
        <f>D6/'Modelling Assumptions'!F102</f>
        <v>1084014.5534726263</v>
      </c>
      <c r="E20" s="118">
        <f>E6/'Modelling Assumptions'!G102</f>
        <v>1093098.9662656302</v>
      </c>
      <c r="F20" s="118">
        <f>F6/'Modelling Assumptions'!H102</f>
        <v>1090416.2603628559</v>
      </c>
      <c r="G20" s="118">
        <f>G6/'Modelling Assumptions'!I102</f>
        <v>1105016.0298422128</v>
      </c>
      <c r="I20" s="33">
        <f t="shared" ref="I20:I22" si="3">SUM(C20:G20)</f>
        <v>5535714.1076262612</v>
      </c>
    </row>
    <row r="21" spans="1:9" ht="15" x14ac:dyDescent="0.25">
      <c r="A21" s="125" t="str">
        <f>A7</f>
        <v>Contractor Labour</v>
      </c>
      <c r="B21" s="126"/>
      <c r="C21" s="118">
        <f>C7/'Modelling Assumptions'!E101</f>
        <v>1197439.4320575891</v>
      </c>
      <c r="D21" s="118">
        <f>D7/'Modelling Assumptions'!F101</f>
        <v>769633.41330758948</v>
      </c>
      <c r="E21" s="118">
        <f>E7/'Modelling Assumptions'!G101</f>
        <v>828125.91330758948</v>
      </c>
      <c r="F21" s="118">
        <f>F7/'Modelling Assumptions'!H101</f>
        <v>778959.21330758953</v>
      </c>
      <c r="G21" s="118">
        <f>G7/'Modelling Assumptions'!I101</f>
        <v>793970.91330758936</v>
      </c>
      <c r="I21" s="33">
        <f t="shared" si="3"/>
        <v>4368128.885287947</v>
      </c>
    </row>
    <row r="22" spans="1:9" ht="15" x14ac:dyDescent="0.25">
      <c r="A22" s="125" t="str">
        <f>A8</f>
        <v>Contractor Materials</v>
      </c>
      <c r="B22" s="126"/>
      <c r="C22" s="118">
        <f>C8/'Modelling Assumptions'!E102</f>
        <v>4862</v>
      </c>
      <c r="D22" s="118">
        <f>D8/'Modelling Assumptions'!F102</f>
        <v>4400</v>
      </c>
      <c r="E22" s="118">
        <f>E8/'Modelling Assumptions'!G102</f>
        <v>4400.0000000000009</v>
      </c>
      <c r="F22" s="118">
        <f>F8/'Modelling Assumptions'!H102</f>
        <v>4400</v>
      </c>
      <c r="G22" s="118">
        <f>G8/'Modelling Assumptions'!I102</f>
        <v>4400.0000000000009</v>
      </c>
      <c r="I22" s="33">
        <f t="shared" si="3"/>
        <v>22462</v>
      </c>
    </row>
    <row r="23" spans="1:9" ht="15" x14ac:dyDescent="0.25">
      <c r="E23" s="33"/>
      <c r="I23" s="33"/>
    </row>
    <row r="24" spans="1:9" ht="15" x14ac:dyDescent="0.25">
      <c r="C24" s="33">
        <f>SUM(C19:C22)</f>
        <v>3485361.200671006</v>
      </c>
      <c r="D24" s="33">
        <f t="shared" ref="D24:G24" si="4">SUM(D19:D22)</f>
        <v>2873301.5639306968</v>
      </c>
      <c r="E24" s="33">
        <f t="shared" si="4"/>
        <v>2947670.4608237008</v>
      </c>
      <c r="F24" s="33">
        <f t="shared" si="4"/>
        <v>2894262.7652209261</v>
      </c>
      <c r="G24" s="33">
        <f t="shared" si="4"/>
        <v>2921367.6636002832</v>
      </c>
      <c r="I24" s="33">
        <f>SUM(C19:G22)</f>
        <v>15121963.65424661</v>
      </c>
    </row>
    <row r="25" spans="1:9" ht="15" x14ac:dyDescent="0.25">
      <c r="E25" s="33"/>
      <c r="I25" s="33"/>
    </row>
    <row r="26" spans="1:9" s="301" customFormat="1" ht="15" x14ac:dyDescent="0.25">
      <c r="E26" s="33"/>
      <c r="I26" s="33"/>
    </row>
    <row r="27" spans="1:9" s="301" customFormat="1" ht="15" x14ac:dyDescent="0.25">
      <c r="E27" s="33"/>
      <c r="I27" s="33"/>
    </row>
    <row r="28" spans="1:9" s="301" customFormat="1" ht="45" x14ac:dyDescent="0.25">
      <c r="A28" s="301" t="s">
        <v>3450</v>
      </c>
      <c r="C28" s="332" t="s">
        <v>3173</v>
      </c>
      <c r="D28" s="333" t="s">
        <v>3303</v>
      </c>
      <c r="E28" s="333" t="s">
        <v>3174</v>
      </c>
      <c r="I28" s="33"/>
    </row>
    <row r="29" spans="1:9" s="301" customFormat="1" x14ac:dyDescent="0.3">
      <c r="C29" s="331" t="str">
        <f>Summary!C4</f>
        <v>2015/16</v>
      </c>
      <c r="D29" s="118">
        <f>Summary!C24</f>
        <v>3485361.200671006</v>
      </c>
      <c r="E29" s="118">
        <f>Summary!C10</f>
        <v>3578335.3821761948</v>
      </c>
      <c r="I29" s="33"/>
    </row>
    <row r="30" spans="1:9" s="301" customFormat="1" x14ac:dyDescent="0.3">
      <c r="C30" s="331" t="str">
        <f>Summary!D4</f>
        <v>2016/17</v>
      </c>
      <c r="D30" s="118">
        <f>Summary!D24</f>
        <v>2873301.5639306968</v>
      </c>
      <c r="E30" s="118">
        <f>Summary!D10</f>
        <v>3029945.9151416197</v>
      </c>
      <c r="I30" s="33"/>
    </row>
    <row r="31" spans="1:9" s="301" customFormat="1" x14ac:dyDescent="0.3">
      <c r="C31" s="331" t="str">
        <f>Summary!E4</f>
        <v>2017/18</v>
      </c>
      <c r="D31" s="118">
        <f>Summary!E24</f>
        <v>2947670.4608237008</v>
      </c>
      <c r="E31" s="118">
        <f>Summary!E10</f>
        <v>3191699.090042368</v>
      </c>
      <c r="I31" s="33"/>
    </row>
    <row r="32" spans="1:9" s="301" customFormat="1" x14ac:dyDescent="0.3">
      <c r="C32" s="331" t="str">
        <f>Summary!F4</f>
        <v>2018/19</v>
      </c>
      <c r="D32" s="118">
        <f>Summary!F24</f>
        <v>2894262.7652209261</v>
      </c>
      <c r="E32" s="118">
        <f>Summary!F10</f>
        <v>3218477.594422088</v>
      </c>
      <c r="I32" s="33"/>
    </row>
    <row r="33" spans="1:11" s="301" customFormat="1" x14ac:dyDescent="0.3">
      <c r="C33" s="331" t="str">
        <f>Summary!G4</f>
        <v>2019/20</v>
      </c>
      <c r="D33" s="118">
        <f>Summary!G24</f>
        <v>2921367.6636002832</v>
      </c>
      <c r="E33" s="118">
        <f>Summary!G10</f>
        <v>3336174.2008033781</v>
      </c>
      <c r="I33" s="33"/>
    </row>
    <row r="34" spans="1:11" s="301" customFormat="1" x14ac:dyDescent="0.3">
      <c r="C34" s="331" t="s">
        <v>505</v>
      </c>
      <c r="D34" s="118">
        <f>SUM(D29:D33)</f>
        <v>15121963.654246612</v>
      </c>
      <c r="E34" s="118">
        <f>SUM(E29:E33)</f>
        <v>16354632.182585647</v>
      </c>
      <c r="I34" s="33"/>
    </row>
    <row r="35" spans="1:11" s="301" customFormat="1" x14ac:dyDescent="0.3">
      <c r="E35" s="33"/>
      <c r="I35" s="33"/>
    </row>
    <row r="36" spans="1:11" s="301" customFormat="1" x14ac:dyDescent="0.3">
      <c r="E36" s="33"/>
      <c r="I36" s="33"/>
    </row>
    <row r="37" spans="1:11" s="301" customFormat="1" x14ac:dyDescent="0.3">
      <c r="E37" s="33"/>
      <c r="I37" s="33"/>
    </row>
    <row r="38" spans="1:11" s="301" customFormat="1" x14ac:dyDescent="0.3">
      <c r="E38" s="33"/>
      <c r="I38" s="33"/>
    </row>
    <row r="39" spans="1:11" s="301" customFormat="1" x14ac:dyDescent="0.3">
      <c r="E39" s="33"/>
      <c r="I39" s="33"/>
    </row>
    <row r="40" spans="1:11" x14ac:dyDescent="0.3">
      <c r="I40" s="33"/>
    </row>
    <row r="42" spans="1:11" x14ac:dyDescent="0.3">
      <c r="F42" t="s">
        <v>2437</v>
      </c>
      <c r="G42" t="s">
        <v>2438</v>
      </c>
    </row>
    <row r="43" spans="1:11" x14ac:dyDescent="0.3">
      <c r="A43" s="30" t="s">
        <v>2071</v>
      </c>
      <c r="B43" s="9" t="str">
        <f t="shared" ref="B43:B74" si="5">HYPERLINK("#"&amp;ADDRESS(1,1,1,1,A43),"…")</f>
        <v>…</v>
      </c>
      <c r="C43" t="str">
        <f t="shared" ref="C43:C74" ca="1" si="6">INDIRECT("'"&amp;A43&amp;"'!$B$1")</f>
        <v>ELECTRICITY COSTS</v>
      </c>
      <c r="D43" s="33">
        <f t="shared" ref="D43:D74" ca="1" si="7">SUM(INDIRECT("'"&amp;A43&amp;"'!$D$3:$D$6"))*MOMCSA_Multiplier</f>
        <v>3816967.4208430848</v>
      </c>
      <c r="F43" s="93">
        <f t="shared" ref="F43:F74" ca="1" si="8">D43/TotalOPEXInAERPeriod</f>
        <v>0.23338754294378922</v>
      </c>
      <c r="G43">
        <f>ROW(G43)-ROW(G$42)</f>
        <v>1</v>
      </c>
      <c r="H43" s="33"/>
      <c r="I43" s="6"/>
      <c r="J43" s="100"/>
      <c r="K43" s="93"/>
    </row>
    <row r="44" spans="1:11" x14ac:dyDescent="0.3">
      <c r="A44" s="30" t="s">
        <v>1940</v>
      </c>
      <c r="B44" s="9" t="str">
        <f t="shared" si="5"/>
        <v>…</v>
      </c>
      <c r="C44" t="str">
        <f t="shared" ca="1" si="6"/>
        <v>CABLE REPAIRS</v>
      </c>
      <c r="D44" s="33">
        <f t="shared" ca="1" si="7"/>
        <v>2030266.9309285311</v>
      </c>
      <c r="F44" s="93">
        <f t="shared" ca="1" si="8"/>
        <v>0.12414017681732714</v>
      </c>
      <c r="G44">
        <f t="shared" ref="G44:G106" si="9">ROW(G44)-ROW(G$42)</f>
        <v>2</v>
      </c>
      <c r="H44" s="33"/>
      <c r="I44" s="6"/>
      <c r="J44" s="33"/>
      <c r="K44" s="93"/>
    </row>
    <row r="45" spans="1:11" x14ac:dyDescent="0.3">
      <c r="A45" s="30" t="s">
        <v>2355</v>
      </c>
      <c r="B45" s="9" t="str">
        <f t="shared" si="5"/>
        <v>…</v>
      </c>
      <c r="C45" t="str">
        <f t="shared" ca="1" si="6"/>
        <v>CONTROL ROOM OPERATIONS</v>
      </c>
      <c r="D45" s="33">
        <f t="shared" ca="1" si="7"/>
        <v>1111355.8246934987</v>
      </c>
      <c r="F45" s="93">
        <f t="shared" ca="1" si="8"/>
        <v>6.7953581119168563E-2</v>
      </c>
      <c r="G45">
        <f t="shared" si="9"/>
        <v>3</v>
      </c>
      <c r="H45" s="33"/>
      <c r="I45" s="6"/>
      <c r="J45" s="33"/>
      <c r="K45" s="93"/>
    </row>
    <row r="46" spans="1:11" x14ac:dyDescent="0.3">
      <c r="A46" s="30" t="s">
        <v>2373</v>
      </c>
      <c r="B46" s="9" t="str">
        <f t="shared" si="5"/>
        <v>…</v>
      </c>
      <c r="C46" t="str">
        <f t="shared" ca="1" si="6"/>
        <v>OPERATIONS MANAGER</v>
      </c>
      <c r="D46" s="33">
        <f t="shared" ca="1" si="7"/>
        <v>811137.65424346947</v>
      </c>
      <c r="F46" s="93">
        <f t="shared" ca="1" si="8"/>
        <v>4.9596814235123299E-2</v>
      </c>
      <c r="G46">
        <f t="shared" si="9"/>
        <v>4</v>
      </c>
      <c r="H46" s="33"/>
      <c r="I46" s="6"/>
      <c r="J46" s="33"/>
      <c r="K46" s="93"/>
    </row>
    <row r="47" spans="1:11" x14ac:dyDescent="0.3">
      <c r="A47" s="269" t="s">
        <v>3203</v>
      </c>
      <c r="B47" s="9" t="str">
        <f t="shared" si="5"/>
        <v>…</v>
      </c>
      <c r="C47" t="str">
        <f t="shared" ca="1" si="6"/>
        <v>SENIOR RELIABILITY ENGINEER</v>
      </c>
      <c r="D47" s="33">
        <f t="shared" ca="1" si="7"/>
        <v>729617.23521928187</v>
      </c>
      <c r="F47" s="93">
        <f t="shared" ca="1" si="8"/>
        <v>4.4612268076329814E-2</v>
      </c>
      <c r="G47">
        <f t="shared" si="9"/>
        <v>5</v>
      </c>
      <c r="H47" s="33"/>
      <c r="I47" s="6"/>
      <c r="J47" s="33"/>
      <c r="K47" s="93"/>
    </row>
    <row r="48" spans="1:11" x14ac:dyDescent="0.3">
      <c r="A48" s="30" t="s">
        <v>2155</v>
      </c>
      <c r="B48" s="9" t="str">
        <f t="shared" si="5"/>
        <v>…</v>
      </c>
      <c r="C48" t="str">
        <f t="shared" ca="1" si="6"/>
        <v>RELIABILITY ENGINEER</v>
      </c>
      <c r="D48" s="33">
        <f t="shared" ca="1" si="7"/>
        <v>698889.02888552553</v>
      </c>
      <c r="F48" s="93">
        <f t="shared" ca="1" si="8"/>
        <v>4.273339938697613E-2</v>
      </c>
      <c r="G48">
        <f t="shared" si="9"/>
        <v>6</v>
      </c>
      <c r="H48" s="33"/>
      <c r="I48" s="6"/>
      <c r="J48" s="33"/>
      <c r="K48" s="93"/>
    </row>
    <row r="49" spans="1:11" x14ac:dyDescent="0.3">
      <c r="A49" s="51" t="s">
        <v>1922</v>
      </c>
      <c r="B49" s="9" t="str">
        <f t="shared" si="5"/>
        <v>…</v>
      </c>
      <c r="C49" t="str">
        <f t="shared" ca="1" si="6"/>
        <v>PHASE REACTOR MAINTENANCE</v>
      </c>
      <c r="D49" s="33">
        <f t="shared" ca="1" si="7"/>
        <v>570175.62921896565</v>
      </c>
      <c r="F49" s="93">
        <f t="shared" ca="1" si="8"/>
        <v>3.4863249925368947E-2</v>
      </c>
      <c r="G49">
        <f t="shared" si="9"/>
        <v>7</v>
      </c>
      <c r="H49" s="33"/>
      <c r="I49" s="6"/>
      <c r="J49" s="33"/>
      <c r="K49" s="93"/>
    </row>
    <row r="50" spans="1:11" x14ac:dyDescent="0.3">
      <c r="A50" s="30" t="s">
        <v>3369</v>
      </c>
      <c r="B50" s="9" t="str">
        <f t="shared" si="5"/>
        <v>…</v>
      </c>
      <c r="C50" t="str">
        <f t="shared" ca="1" si="6"/>
        <v>WORKS PLANNER</v>
      </c>
      <c r="D50" s="33">
        <f t="shared" ca="1" si="7"/>
        <v>565289.029088813</v>
      </c>
      <c r="F50" s="93">
        <f t="shared" ca="1" si="8"/>
        <v>3.4564459951030309E-2</v>
      </c>
      <c r="G50">
        <f t="shared" si="9"/>
        <v>8</v>
      </c>
      <c r="H50" s="33"/>
      <c r="I50" s="6"/>
      <c r="J50" s="33"/>
      <c r="K50" s="93"/>
    </row>
    <row r="51" spans="1:11" x14ac:dyDescent="0.3">
      <c r="A51" s="269" t="s">
        <v>3413</v>
      </c>
      <c r="B51" s="9" t="str">
        <f t="shared" si="5"/>
        <v>…</v>
      </c>
      <c r="C51" t="str">
        <f t="shared" ca="1" si="6"/>
        <v>WORK PRACTICES SPECIALIST</v>
      </c>
      <c r="D51" s="33">
        <f t="shared" ca="1" si="7"/>
        <v>565289.029088813</v>
      </c>
      <c r="F51" s="93">
        <f t="shared" ca="1" si="8"/>
        <v>3.4564459951030309E-2</v>
      </c>
      <c r="G51">
        <f t="shared" si="9"/>
        <v>9</v>
      </c>
      <c r="H51" s="33"/>
      <c r="I51" s="6"/>
      <c r="J51" s="33"/>
      <c r="K51" s="93"/>
    </row>
    <row r="52" spans="1:11" x14ac:dyDescent="0.3">
      <c r="A52" s="51" t="s">
        <v>1970</v>
      </c>
      <c r="B52" s="9" t="str">
        <f t="shared" si="5"/>
        <v>…</v>
      </c>
      <c r="C52" t="str">
        <f t="shared" ca="1" si="6"/>
        <v>VEGETATION MANAGEMENT</v>
      </c>
      <c r="D52" s="33">
        <f t="shared" ca="1" si="7"/>
        <v>502097.69998524705</v>
      </c>
      <c r="F52" s="93">
        <f t="shared" ca="1" si="8"/>
        <v>3.0700641529552639E-2</v>
      </c>
      <c r="G52">
        <f t="shared" si="9"/>
        <v>10</v>
      </c>
      <c r="H52" s="33"/>
      <c r="I52" s="6"/>
      <c r="J52" s="33"/>
      <c r="K52" s="93"/>
    </row>
    <row r="53" spans="1:11" x14ac:dyDescent="0.3">
      <c r="A53" s="51" t="s">
        <v>1975</v>
      </c>
      <c r="B53" s="9" t="str">
        <f t="shared" si="5"/>
        <v>…</v>
      </c>
      <c r="C53" t="str">
        <f t="shared" ca="1" si="6"/>
        <v>POWER TRANSFORMER MAINTENANCE </v>
      </c>
      <c r="D53" s="33">
        <f t="shared" ca="1" si="7"/>
        <v>460285.18460182555</v>
      </c>
      <c r="F53" s="93">
        <f t="shared" ca="1" si="8"/>
        <v>2.8144025464047765E-2</v>
      </c>
      <c r="G53">
        <f t="shared" si="9"/>
        <v>11</v>
      </c>
      <c r="H53" s="33"/>
      <c r="I53" s="6"/>
      <c r="J53" s="33"/>
      <c r="K53" s="93"/>
    </row>
    <row r="54" spans="1:11" x14ac:dyDescent="0.3">
      <c r="A54" s="51" t="s">
        <v>1986</v>
      </c>
      <c r="B54" s="9" t="str">
        <f t="shared" si="5"/>
        <v>…</v>
      </c>
      <c r="C54" t="str">
        <f t="shared" ca="1" si="6"/>
        <v>CIRCUIT BREAKER MAINTENANCE</v>
      </c>
      <c r="D54" s="33">
        <f t="shared" ca="1" si="7"/>
        <v>398815.34843608731</v>
      </c>
      <c r="F54" s="93">
        <f t="shared" ca="1" si="8"/>
        <v>2.4385467308812022E-2</v>
      </c>
      <c r="G54">
        <f t="shared" si="9"/>
        <v>12</v>
      </c>
      <c r="H54" s="33"/>
      <c r="I54" s="6"/>
      <c r="J54" s="33"/>
      <c r="K54" s="93"/>
    </row>
    <row r="55" spans="1:11" x14ac:dyDescent="0.3">
      <c r="A55" s="269" t="s">
        <v>2786</v>
      </c>
      <c r="B55" s="9" t="str">
        <f t="shared" si="5"/>
        <v>…</v>
      </c>
      <c r="C55" t="str">
        <f t="shared" ca="1" si="6"/>
        <v>TRAVEL</v>
      </c>
      <c r="D55" s="33">
        <f t="shared" ca="1" si="7"/>
        <v>394698.48091857298</v>
      </c>
      <c r="F55" s="93">
        <f t="shared" ca="1" si="8"/>
        <v>2.4133742447527893E-2</v>
      </c>
      <c r="G55">
        <f t="shared" si="9"/>
        <v>13</v>
      </c>
      <c r="H55" s="33"/>
      <c r="I55" s="6"/>
      <c r="J55" s="33"/>
      <c r="K55" s="93"/>
    </row>
    <row r="56" spans="1:11" x14ac:dyDescent="0.3">
      <c r="A56" s="30" t="s">
        <v>2218</v>
      </c>
      <c r="B56" s="9" t="str">
        <f t="shared" si="5"/>
        <v>…</v>
      </c>
      <c r="C56" t="str">
        <f t="shared" ca="1" si="6"/>
        <v>SITE SECURITY</v>
      </c>
      <c r="D56" s="33">
        <f t="shared" ca="1" si="7"/>
        <v>316025.56660057593</v>
      </c>
      <c r="F56" s="93">
        <f t="shared" ca="1" si="8"/>
        <v>1.9323306270200243E-2</v>
      </c>
      <c r="G56">
        <f t="shared" si="9"/>
        <v>14</v>
      </c>
      <c r="H56" s="33"/>
      <c r="I56" s="6"/>
      <c r="J56" s="33"/>
      <c r="K56" s="93"/>
    </row>
    <row r="57" spans="1:11" x14ac:dyDescent="0.3">
      <c r="A57" s="30" t="s">
        <v>2217</v>
      </c>
      <c r="B57" s="9" t="str">
        <f t="shared" si="5"/>
        <v>…</v>
      </c>
      <c r="C57" t="str">
        <f t="shared" ca="1" si="6"/>
        <v>REMOTE COMMUNICATIONS</v>
      </c>
      <c r="D57" s="33">
        <f t="shared" ca="1" si="7"/>
        <v>287807.93931951444</v>
      </c>
      <c r="F57" s="93">
        <f t="shared" ca="1" si="8"/>
        <v>1.759794632532129E-2</v>
      </c>
      <c r="G57">
        <f t="shared" si="9"/>
        <v>15</v>
      </c>
      <c r="H57" s="33"/>
      <c r="I57" s="6"/>
      <c r="J57" s="33"/>
      <c r="K57" s="93"/>
    </row>
    <row r="58" spans="1:11" x14ac:dyDescent="0.3">
      <c r="A58" s="30" t="s">
        <v>1941</v>
      </c>
      <c r="B58" s="9" t="str">
        <f t="shared" si="5"/>
        <v>…</v>
      </c>
      <c r="C58" t="str">
        <f t="shared" ca="1" si="6"/>
        <v>CONTROL SYSTEM REPAIRS</v>
      </c>
      <c r="D58" s="33">
        <f t="shared" ca="1" si="7"/>
        <v>218096.81057713096</v>
      </c>
      <c r="F58" s="93">
        <f t="shared" ca="1" si="8"/>
        <v>1.3335476343476538E-2</v>
      </c>
      <c r="G58">
        <f t="shared" si="9"/>
        <v>16</v>
      </c>
      <c r="H58" s="33"/>
      <c r="I58" s="6"/>
      <c r="J58" s="33"/>
      <c r="K58" s="93"/>
    </row>
    <row r="59" spans="1:11" x14ac:dyDescent="0.3">
      <c r="A59" s="51" t="s">
        <v>1937</v>
      </c>
      <c r="B59" s="9" t="str">
        <f t="shared" si="5"/>
        <v>…</v>
      </c>
      <c r="C59" t="str">
        <f t="shared" ca="1" si="6"/>
        <v>REACTOR MAINTENANCE</v>
      </c>
      <c r="D59" s="33">
        <f t="shared" ca="1" si="7"/>
        <v>212865.68198344475</v>
      </c>
      <c r="F59" s="93">
        <f t="shared" ca="1" si="8"/>
        <v>1.3015620260179458E-2</v>
      </c>
      <c r="G59">
        <f t="shared" si="9"/>
        <v>17</v>
      </c>
      <c r="H59" s="33"/>
      <c r="I59" s="6"/>
      <c r="J59" s="33"/>
      <c r="K59" s="93"/>
    </row>
    <row r="60" spans="1:11" x14ac:dyDescent="0.3">
      <c r="A60" s="30" t="s">
        <v>1756</v>
      </c>
      <c r="B60" s="9" t="str">
        <f t="shared" si="5"/>
        <v>…</v>
      </c>
      <c r="C60" t="str">
        <f t="shared" ca="1" si="6"/>
        <v>OTHER COSTS</v>
      </c>
      <c r="D60" s="33">
        <f t="shared" ca="1" si="7"/>
        <v>201368.88428599297</v>
      </c>
      <c r="F60" s="93">
        <f t="shared" ca="1" si="8"/>
        <v>1.2312651366162171E-2</v>
      </c>
      <c r="G60">
        <f t="shared" si="9"/>
        <v>18</v>
      </c>
      <c r="H60" s="33"/>
      <c r="I60" s="6"/>
      <c r="J60" s="33"/>
      <c r="K60" s="93"/>
    </row>
    <row r="61" spans="1:11" x14ac:dyDescent="0.3">
      <c r="A61" s="30" t="s">
        <v>3305</v>
      </c>
      <c r="B61" s="9" t="str">
        <f t="shared" si="5"/>
        <v>…</v>
      </c>
      <c r="C61" t="str">
        <f t="shared" ca="1" si="6"/>
        <v>INCIDENTAL INVESTIGATIONS</v>
      </c>
      <c r="D61" s="33">
        <f t="shared" ca="1" si="7"/>
        <v>179573.26516142578</v>
      </c>
      <c r="F61" s="93">
        <f t="shared" ca="1" si="8"/>
        <v>1.0979963545290534E-2</v>
      </c>
      <c r="G61">
        <f t="shared" si="9"/>
        <v>19</v>
      </c>
      <c r="H61" s="33"/>
      <c r="I61" s="6"/>
      <c r="J61" s="33"/>
      <c r="K61" s="93"/>
    </row>
    <row r="62" spans="1:11" x14ac:dyDescent="0.3">
      <c r="A62" s="51" t="s">
        <v>1964</v>
      </c>
      <c r="B62" s="9" t="str">
        <f t="shared" si="5"/>
        <v>…</v>
      </c>
      <c r="C62" t="str">
        <f t="shared" ca="1" si="6"/>
        <v>ENERGISED MAINTENANCE INSPECTION </v>
      </c>
      <c r="D62" s="33">
        <f t="shared" ca="1" si="7"/>
        <v>178692.82277619865</v>
      </c>
      <c r="F62" s="93">
        <f t="shared" ca="1" si="8"/>
        <v>1.0926129110165505E-2</v>
      </c>
      <c r="G62">
        <f t="shared" si="9"/>
        <v>20</v>
      </c>
      <c r="H62" s="33"/>
      <c r="I62" s="6"/>
      <c r="J62" s="33"/>
      <c r="K62" s="93"/>
    </row>
    <row r="63" spans="1:11" x14ac:dyDescent="0.3">
      <c r="A63" s="51" t="s">
        <v>1978</v>
      </c>
      <c r="B63" s="9" t="str">
        <f t="shared" si="5"/>
        <v>…</v>
      </c>
      <c r="C63" t="str">
        <f t="shared" ca="1" si="6"/>
        <v>AIR BLAST COOLER MAINTENANCE </v>
      </c>
      <c r="D63" s="33">
        <f t="shared" ca="1" si="7"/>
        <v>172301.28131694152</v>
      </c>
      <c r="F63" s="93">
        <f t="shared" ca="1" si="8"/>
        <v>1.053531986493755E-2</v>
      </c>
      <c r="G63">
        <f t="shared" si="9"/>
        <v>21</v>
      </c>
      <c r="H63" s="33"/>
      <c r="I63" s="6"/>
      <c r="J63" s="33"/>
      <c r="K63" s="93"/>
    </row>
    <row r="64" spans="1:11" x14ac:dyDescent="0.3">
      <c r="A64" s="30" t="s">
        <v>1942</v>
      </c>
      <c r="B64" s="9" t="str">
        <f t="shared" si="5"/>
        <v>…</v>
      </c>
      <c r="C64" t="str">
        <f t="shared" ca="1" si="6"/>
        <v>DIAL BEFORE YOU DIG</v>
      </c>
      <c r="D64" s="33">
        <f t="shared" ca="1" si="7"/>
        <v>168226.2189761714</v>
      </c>
      <c r="F64" s="93">
        <f t="shared" ca="1" si="8"/>
        <v>1.0286151170999618E-2</v>
      </c>
      <c r="G64">
        <f t="shared" si="9"/>
        <v>22</v>
      </c>
      <c r="H64" s="33"/>
      <c r="I64" s="6"/>
      <c r="J64" s="33"/>
      <c r="K64" s="93"/>
    </row>
    <row r="65" spans="1:11" x14ac:dyDescent="0.3">
      <c r="A65" s="51" t="s">
        <v>2330</v>
      </c>
      <c r="B65" s="9" t="str">
        <f t="shared" si="5"/>
        <v>…</v>
      </c>
      <c r="C65" t="str">
        <f t="shared" ca="1" si="6"/>
        <v>FIRE SPRINKER SYSTEM</v>
      </c>
      <c r="D65" s="33">
        <f t="shared" ca="1" si="7"/>
        <v>150271.7525255061</v>
      </c>
      <c r="F65" s="93">
        <f t="shared" ca="1" si="8"/>
        <v>9.188329694477318E-3</v>
      </c>
      <c r="G65">
        <f t="shared" si="9"/>
        <v>23</v>
      </c>
      <c r="H65" s="33"/>
      <c r="I65" s="6"/>
      <c r="J65" s="33"/>
      <c r="K65" s="93"/>
    </row>
    <row r="66" spans="1:11" x14ac:dyDescent="0.3">
      <c r="A66" s="51" t="s">
        <v>1683</v>
      </c>
      <c r="B66" s="9" t="str">
        <f t="shared" si="5"/>
        <v>…</v>
      </c>
      <c r="C66" t="str">
        <f t="shared" ca="1" si="6"/>
        <v>YARD MAINTENANCE </v>
      </c>
      <c r="D66" s="33">
        <f t="shared" ca="1" si="7"/>
        <v>140777.79976800608</v>
      </c>
      <c r="F66" s="93">
        <f t="shared" ca="1" si="8"/>
        <v>8.6078242663204484E-3</v>
      </c>
      <c r="G66">
        <f t="shared" si="9"/>
        <v>24</v>
      </c>
      <c r="H66" s="33"/>
      <c r="I66" s="6"/>
      <c r="J66" s="33"/>
      <c r="K66" s="93"/>
    </row>
    <row r="67" spans="1:11" x14ac:dyDescent="0.3">
      <c r="A67" s="51" t="s">
        <v>1971</v>
      </c>
      <c r="B67" s="9" t="str">
        <f t="shared" si="5"/>
        <v>…</v>
      </c>
      <c r="C67" t="str">
        <f t="shared" ca="1" si="6"/>
        <v>CABLE MARKER SIGN MAINTENANCE</v>
      </c>
      <c r="D67" s="33">
        <f t="shared" ca="1" si="7"/>
        <v>140064.68242432876</v>
      </c>
      <c r="F67" s="93">
        <f t="shared" ca="1" si="8"/>
        <v>8.5642208800922534E-3</v>
      </c>
      <c r="G67">
        <f t="shared" si="9"/>
        <v>25</v>
      </c>
      <c r="H67" s="33"/>
      <c r="I67" s="6"/>
      <c r="J67" s="33"/>
      <c r="K67" s="93"/>
    </row>
    <row r="68" spans="1:11" x14ac:dyDescent="0.3">
      <c r="A68" s="30" t="s">
        <v>1938</v>
      </c>
      <c r="B68" s="9" t="str">
        <f t="shared" si="5"/>
        <v>…</v>
      </c>
      <c r="C68" t="str">
        <f t="shared" ca="1" si="6"/>
        <v>BUILDING AIR-CONDITIONERS</v>
      </c>
      <c r="D68" s="33">
        <f t="shared" ca="1" si="7"/>
        <v>137349.20433661022</v>
      </c>
      <c r="F68" s="93">
        <f t="shared" ca="1" si="8"/>
        <v>8.3981836340446189E-3</v>
      </c>
      <c r="G68">
        <f t="shared" si="9"/>
        <v>26</v>
      </c>
      <c r="H68" s="33"/>
      <c r="I68" s="6"/>
      <c r="J68" s="33"/>
      <c r="K68" s="93"/>
    </row>
    <row r="69" spans="1:11" x14ac:dyDescent="0.3">
      <c r="A69" s="51" t="s">
        <v>2430</v>
      </c>
      <c r="B69" s="9" t="str">
        <f t="shared" si="5"/>
        <v>…</v>
      </c>
      <c r="C69" t="str">
        <f t="shared" ca="1" si="6"/>
        <v>VALVE COOLING SYSTEM MAINTENANCE</v>
      </c>
      <c r="D69" s="33">
        <f t="shared" ca="1" si="7"/>
        <v>116498.89400170342</v>
      </c>
      <c r="F69" s="93">
        <f t="shared" ca="1" si="8"/>
        <v>7.1232964887923932E-3</v>
      </c>
      <c r="G69">
        <f t="shared" si="9"/>
        <v>27</v>
      </c>
      <c r="H69" s="33"/>
      <c r="I69" s="6"/>
      <c r="J69" s="33"/>
      <c r="K69" s="93"/>
    </row>
    <row r="70" spans="1:11" x14ac:dyDescent="0.3">
      <c r="A70" s="30" t="s">
        <v>2393</v>
      </c>
      <c r="B70" s="9" t="str">
        <f t="shared" si="5"/>
        <v>…</v>
      </c>
      <c r="C70" t="str">
        <f t="shared" ca="1" si="6"/>
        <v>TRAINING COURSES FOR CONTRACTORS</v>
      </c>
      <c r="D70" s="33">
        <f t="shared" ca="1" si="7"/>
        <v>106947.4360989117</v>
      </c>
      <c r="F70" s="93">
        <f t="shared" ca="1" si="8"/>
        <v>6.5392749225377834E-3</v>
      </c>
      <c r="G70">
        <f t="shared" si="9"/>
        <v>28</v>
      </c>
      <c r="H70" s="33"/>
      <c r="I70" s="6"/>
      <c r="J70" s="33"/>
      <c r="K70" s="93"/>
    </row>
    <row r="71" spans="1:11" x14ac:dyDescent="0.3">
      <c r="A71" s="30" t="s">
        <v>1955</v>
      </c>
      <c r="B71" s="9" t="str">
        <f t="shared" si="5"/>
        <v>…</v>
      </c>
      <c r="C71" t="str">
        <f t="shared" ca="1" si="6"/>
        <v>IGBT VALVE REPAIRS</v>
      </c>
      <c r="D71" s="33">
        <f t="shared" ca="1" si="7"/>
        <v>93724.656506171727</v>
      </c>
      <c r="F71" s="93">
        <f t="shared" ca="1" si="8"/>
        <v>5.7307712860683833E-3</v>
      </c>
      <c r="G71">
        <f t="shared" si="9"/>
        <v>29</v>
      </c>
      <c r="H71" s="33"/>
      <c r="I71" s="6"/>
      <c r="J71" s="33"/>
      <c r="K71" s="93"/>
    </row>
    <row r="72" spans="1:11" x14ac:dyDescent="0.3">
      <c r="A72" s="51" t="s">
        <v>2431</v>
      </c>
      <c r="B72" s="9" t="str">
        <f t="shared" si="5"/>
        <v>…</v>
      </c>
      <c r="C72" t="str">
        <f t="shared" ca="1" si="6"/>
        <v>NITROGEN BOTTLE REPLACEMENT</v>
      </c>
      <c r="D72" s="33">
        <f t="shared" ca="1" si="7"/>
        <v>87120.759036050964</v>
      </c>
      <c r="F72" s="93">
        <f t="shared" ca="1" si="8"/>
        <v>5.3269775842966884E-3</v>
      </c>
      <c r="G72">
        <f t="shared" si="9"/>
        <v>30</v>
      </c>
      <c r="H72" s="33"/>
      <c r="I72" s="6"/>
      <c r="J72" s="33"/>
      <c r="K72" s="93"/>
    </row>
    <row r="73" spans="1:11" x14ac:dyDescent="0.3">
      <c r="A73" s="51" t="s">
        <v>2329</v>
      </c>
      <c r="B73" s="9" t="str">
        <f t="shared" si="5"/>
        <v>…</v>
      </c>
      <c r="C73" t="str">
        <f t="shared" ca="1" si="6"/>
        <v>FIRE DETECTION &amp; ALARM SYSTEM</v>
      </c>
      <c r="D73" s="33">
        <f t="shared" ca="1" si="7"/>
        <v>70272.692101809123</v>
      </c>
      <c r="F73" s="93">
        <f t="shared" ca="1" si="8"/>
        <v>4.2968066366319895E-3</v>
      </c>
      <c r="G73">
        <f t="shared" si="9"/>
        <v>31</v>
      </c>
      <c r="H73" s="33"/>
      <c r="I73" s="6"/>
      <c r="J73" s="33"/>
      <c r="K73" s="93"/>
    </row>
    <row r="74" spans="1:11" x14ac:dyDescent="0.3">
      <c r="A74" s="51" t="s">
        <v>1684</v>
      </c>
      <c r="B74" s="9" t="str">
        <f t="shared" si="5"/>
        <v>…</v>
      </c>
      <c r="C74" t="str">
        <f t="shared" ca="1" si="6"/>
        <v>OIL FILLED CAPACITOR MAINTENANCE</v>
      </c>
      <c r="D74" s="33">
        <f t="shared" ca="1" si="7"/>
        <v>69234.725266928581</v>
      </c>
      <c r="F74" s="93">
        <f t="shared" ca="1" si="8"/>
        <v>4.2333404074137151E-3</v>
      </c>
      <c r="G74">
        <f t="shared" si="9"/>
        <v>32</v>
      </c>
      <c r="H74" s="33"/>
      <c r="I74" s="6"/>
      <c r="J74" s="33"/>
      <c r="K74" s="93"/>
    </row>
    <row r="75" spans="1:11" x14ac:dyDescent="0.3">
      <c r="A75" s="51" t="s">
        <v>1981</v>
      </c>
      <c r="B75" s="9" t="str">
        <f t="shared" ref="B75:B106" si="10">HYPERLINK("#"&amp;ADDRESS(1,1,1,1,A75),"…")</f>
        <v>…</v>
      </c>
      <c r="C75" t="str">
        <f t="shared" ref="C75:C106" ca="1" si="11">INDIRECT("'"&amp;A75&amp;"'!$B$1")</f>
        <v>IGBT VALVE MAINTENANCE </v>
      </c>
      <c r="D75" s="33">
        <f t="shared" ref="D75:D106" ca="1" si="12">SUM(INDIRECT("'"&amp;A75&amp;"'!$D$3:$D$6"))*MOMCSA_Multiplier</f>
        <v>67609.441010464012</v>
      </c>
      <c r="F75" s="93">
        <f t="shared" ref="F75:F102" ca="1" si="13">D75/TotalOPEXInAERPeriod</f>
        <v>4.1339627975525064E-3</v>
      </c>
      <c r="G75">
        <f t="shared" si="9"/>
        <v>33</v>
      </c>
      <c r="H75" s="33"/>
      <c r="I75" s="6"/>
      <c r="J75" s="33"/>
      <c r="K75" s="93"/>
    </row>
    <row r="76" spans="1:11" x14ac:dyDescent="0.3">
      <c r="A76" s="30" t="s">
        <v>1939</v>
      </c>
      <c r="B76" s="9" t="str">
        <f t="shared" si="10"/>
        <v>…</v>
      </c>
      <c r="C76" t="str">
        <f t="shared" ca="1" si="11"/>
        <v>PRESTART INSPECTIONS</v>
      </c>
      <c r="D76" s="33">
        <f t="shared" ca="1" si="12"/>
        <v>41032.696665215335</v>
      </c>
      <c r="F76" s="93">
        <f t="shared" ca="1" si="13"/>
        <v>2.508934239982896E-3</v>
      </c>
      <c r="G76">
        <f t="shared" si="9"/>
        <v>34</v>
      </c>
      <c r="H76" s="33"/>
      <c r="I76" s="6"/>
      <c r="J76" s="33"/>
      <c r="K76" s="93"/>
    </row>
    <row r="77" spans="1:11" x14ac:dyDescent="0.3">
      <c r="A77" s="30" t="s">
        <v>2394</v>
      </c>
      <c r="B77" s="9" t="str">
        <f t="shared" si="10"/>
        <v>…</v>
      </c>
      <c r="C77" t="str">
        <f t="shared" ca="1" si="11"/>
        <v>ONSITE TEST EQUIPMENT MAINTENANCE</v>
      </c>
      <c r="D77" s="33">
        <f t="shared" ca="1" si="12"/>
        <v>39514.557686325214</v>
      </c>
      <c r="F77" s="93">
        <f t="shared" ca="1" si="13"/>
        <v>2.4161080020130427E-3</v>
      </c>
      <c r="G77">
        <f t="shared" si="9"/>
        <v>35</v>
      </c>
      <c r="H77" s="33"/>
      <c r="I77" s="6"/>
      <c r="J77" s="33"/>
      <c r="K77" s="93"/>
    </row>
    <row r="78" spans="1:11" x14ac:dyDescent="0.3">
      <c r="A78" s="51" t="s">
        <v>1977</v>
      </c>
      <c r="B78" s="9" t="str">
        <f t="shared" si="10"/>
        <v>…</v>
      </c>
      <c r="C78" t="str">
        <f t="shared" ca="1" si="11"/>
        <v>VALVE COOLING MCC THERMOGRAPHIC IMAGING </v>
      </c>
      <c r="D78" s="33">
        <f t="shared" ca="1" si="12"/>
        <v>38363.623175605186</v>
      </c>
      <c r="F78" s="93">
        <f t="shared" ca="1" si="13"/>
        <v>2.3457343917801239E-3</v>
      </c>
      <c r="G78">
        <f t="shared" si="9"/>
        <v>36</v>
      </c>
      <c r="H78" s="33"/>
      <c r="I78" s="6"/>
      <c r="J78" s="33"/>
      <c r="K78" s="93"/>
    </row>
    <row r="79" spans="1:11" x14ac:dyDescent="0.3">
      <c r="A79" s="51" t="s">
        <v>1984</v>
      </c>
      <c r="B79" s="9" t="str">
        <f t="shared" si="10"/>
        <v>…</v>
      </c>
      <c r="C79" t="str">
        <f t="shared" ca="1" si="11"/>
        <v>CONVERTER STATION THERMOGRAPHIC INSPECTION </v>
      </c>
      <c r="D79" s="33">
        <f t="shared" ca="1" si="12"/>
        <v>38363.623175605186</v>
      </c>
      <c r="F79" s="93">
        <f t="shared" ca="1" si="13"/>
        <v>2.3457343917801239E-3</v>
      </c>
      <c r="G79">
        <f t="shared" si="9"/>
        <v>37</v>
      </c>
      <c r="H79" s="33"/>
      <c r="I79" s="6"/>
      <c r="J79" s="33"/>
      <c r="K79" s="93"/>
    </row>
    <row r="80" spans="1:11" x14ac:dyDescent="0.3">
      <c r="A80" s="51" t="s">
        <v>1958</v>
      </c>
      <c r="B80" s="9" t="str">
        <f t="shared" si="10"/>
        <v>…</v>
      </c>
      <c r="C80" t="str">
        <f t="shared" ca="1" si="11"/>
        <v>ZINC OXIDE SURGE ARRESTOR MAINTENANCE </v>
      </c>
      <c r="D80" s="33">
        <f t="shared" ca="1" si="12"/>
        <v>36385.668372944208</v>
      </c>
      <c r="F80" s="93">
        <f t="shared" ca="1" si="13"/>
        <v>2.2247928272998724E-3</v>
      </c>
      <c r="G80">
        <f t="shared" si="9"/>
        <v>38</v>
      </c>
      <c r="H80" s="33"/>
      <c r="I80" s="6"/>
      <c r="J80" s="33"/>
      <c r="K80" s="93"/>
    </row>
    <row r="81" spans="1:11" x14ac:dyDescent="0.3">
      <c r="A81" s="51" t="s">
        <v>1979</v>
      </c>
      <c r="B81" s="9" t="str">
        <f t="shared" si="10"/>
        <v>…</v>
      </c>
      <c r="C81" t="str">
        <f t="shared" ca="1" si="11"/>
        <v>VALVE DEHUMIDIFIER MAINTENANCE </v>
      </c>
      <c r="D81" s="33">
        <f t="shared" ca="1" si="12"/>
        <v>35496.69181273914</v>
      </c>
      <c r="F81" s="93">
        <f t="shared" ca="1" si="13"/>
        <v>2.1704365721251675E-3</v>
      </c>
      <c r="G81">
        <f t="shared" si="9"/>
        <v>39</v>
      </c>
      <c r="H81" s="33"/>
      <c r="I81" s="6"/>
      <c r="J81" s="33"/>
      <c r="K81" s="93"/>
    </row>
    <row r="82" spans="1:11" x14ac:dyDescent="0.3">
      <c r="A82" s="51" t="s">
        <v>1965</v>
      </c>
      <c r="B82" s="9" t="str">
        <f t="shared" si="10"/>
        <v>…</v>
      </c>
      <c r="C82" t="str">
        <f t="shared" ca="1" si="11"/>
        <v>UNINTERRUPTIBLE POWER SUPPLY </v>
      </c>
      <c r="D82" s="33">
        <f t="shared" ca="1" si="12"/>
        <v>34083.178364982312</v>
      </c>
      <c r="F82" s="93">
        <f t="shared" ca="1" si="13"/>
        <v>2.0840076367644607E-3</v>
      </c>
      <c r="G82">
        <f t="shared" si="9"/>
        <v>40</v>
      </c>
      <c r="H82" s="33"/>
      <c r="I82" s="6"/>
      <c r="J82" s="33"/>
      <c r="K82" s="93"/>
    </row>
    <row r="83" spans="1:11" x14ac:dyDescent="0.3">
      <c r="A83" s="51" t="s">
        <v>1972</v>
      </c>
      <c r="B83" s="9" t="str">
        <f t="shared" si="10"/>
        <v>…</v>
      </c>
      <c r="C83" t="str">
        <f t="shared" ca="1" si="11"/>
        <v>OUTDOOR POST TYPE CURRENT TRANSFORMER</v>
      </c>
      <c r="D83" s="33">
        <f t="shared" ca="1" si="12"/>
        <v>31086.568840483273</v>
      </c>
      <c r="F83" s="93">
        <f t="shared" ca="1" si="13"/>
        <v>1.9007806775125239E-3</v>
      </c>
      <c r="G83">
        <f t="shared" si="9"/>
        <v>41</v>
      </c>
      <c r="H83" s="33"/>
      <c r="I83" s="6"/>
      <c r="J83" s="33"/>
      <c r="K83" s="93"/>
    </row>
    <row r="84" spans="1:11" x14ac:dyDescent="0.3">
      <c r="A84" s="51" t="s">
        <v>1976</v>
      </c>
      <c r="B84" s="9" t="str">
        <f t="shared" si="10"/>
        <v>…</v>
      </c>
      <c r="C84" t="str">
        <f t="shared" ca="1" si="11"/>
        <v>AC FILTER RESISTOR MAINTENANCE </v>
      </c>
      <c r="D84" s="33">
        <f t="shared" ca="1" si="12"/>
        <v>31051.80901171374</v>
      </c>
      <c r="F84" s="93">
        <f t="shared" ca="1" si="13"/>
        <v>1.8986552962516388E-3</v>
      </c>
      <c r="G84">
        <f t="shared" si="9"/>
        <v>42</v>
      </c>
      <c r="H84" s="33"/>
      <c r="I84" s="6"/>
      <c r="J84" s="33"/>
      <c r="K84" s="93"/>
    </row>
    <row r="85" spans="1:11" x14ac:dyDescent="0.3">
      <c r="A85" s="51" t="s">
        <v>1989</v>
      </c>
      <c r="B85" s="9" t="str">
        <f t="shared" si="10"/>
        <v>…</v>
      </c>
      <c r="C85" t="str">
        <f t="shared" ca="1" si="11"/>
        <v>VALVE COOLING SYSTEM PUMP MAINTENANCE </v>
      </c>
      <c r="D85" s="33">
        <f t="shared" ca="1" si="12"/>
        <v>28384.879331098506</v>
      </c>
      <c r="F85" s="93">
        <f t="shared" ca="1" si="13"/>
        <v>1.7355865307275222E-3</v>
      </c>
      <c r="G85">
        <f t="shared" si="9"/>
        <v>43</v>
      </c>
      <c r="H85" s="33"/>
      <c r="I85" s="6"/>
      <c r="J85" s="33"/>
      <c r="K85" s="93"/>
    </row>
    <row r="86" spans="1:11" x14ac:dyDescent="0.3">
      <c r="A86" s="51" t="s">
        <v>1956</v>
      </c>
      <c r="B86" s="9" t="str">
        <f t="shared" si="10"/>
        <v>…</v>
      </c>
      <c r="C86" t="str">
        <f t="shared" ca="1" si="11"/>
        <v>PHASE REACTOR FAN MAINTENANCE</v>
      </c>
      <c r="D86" s="33">
        <f t="shared" ca="1" si="12"/>
        <v>26914.427786489141</v>
      </c>
      <c r="F86" s="93">
        <f t="shared" ca="1" si="13"/>
        <v>1.6456761293077275E-3</v>
      </c>
      <c r="G86">
        <f t="shared" si="9"/>
        <v>44</v>
      </c>
      <c r="H86" s="33"/>
      <c r="I86" s="6"/>
      <c r="J86" s="33"/>
      <c r="K86" s="93"/>
    </row>
    <row r="87" spans="1:11" x14ac:dyDescent="0.3">
      <c r="A87" s="51" t="s">
        <v>1962</v>
      </c>
      <c r="B87" s="9" t="str">
        <f t="shared" si="10"/>
        <v>…</v>
      </c>
      <c r="C87" t="str">
        <f t="shared" ca="1" si="11"/>
        <v>PORTABLE FIRE EXTINGUISHER INSPECTION </v>
      </c>
      <c r="D87" s="33">
        <f t="shared" ca="1" si="12"/>
        <v>26271.936136761477</v>
      </c>
      <c r="F87" s="93">
        <f t="shared" ca="1" si="13"/>
        <v>1.6063911339281442E-3</v>
      </c>
      <c r="G87">
        <f t="shared" si="9"/>
        <v>45</v>
      </c>
      <c r="H87" s="33"/>
      <c r="I87" s="6"/>
      <c r="J87" s="33"/>
      <c r="K87" s="93"/>
    </row>
    <row r="88" spans="1:11" x14ac:dyDescent="0.3">
      <c r="A88" s="51" t="s">
        <v>1963</v>
      </c>
      <c r="B88" s="9" t="str">
        <f t="shared" si="10"/>
        <v>…</v>
      </c>
      <c r="C88" t="str">
        <f t="shared" ca="1" si="11"/>
        <v>EMERGENCY LIGHTING MAINTENANCE </v>
      </c>
      <c r="D88" s="33">
        <f t="shared" ca="1" si="12"/>
        <v>25807.158051903676</v>
      </c>
      <c r="F88" s="93">
        <f t="shared" ca="1" si="13"/>
        <v>1.5779723911726394E-3</v>
      </c>
      <c r="G88">
        <f t="shared" si="9"/>
        <v>46</v>
      </c>
      <c r="H88" s="33"/>
      <c r="I88" s="6"/>
      <c r="J88" s="33"/>
      <c r="K88" s="93"/>
    </row>
    <row r="89" spans="1:11" x14ac:dyDescent="0.3">
      <c r="A89" s="51" t="s">
        <v>1983</v>
      </c>
      <c r="B89" s="9" t="str">
        <f t="shared" si="10"/>
        <v>…</v>
      </c>
      <c r="C89" t="str">
        <f t="shared" ca="1" si="11"/>
        <v>NITROGEN DISCHARGE UNIT MAINTENANCE</v>
      </c>
      <c r="D89" s="33">
        <f t="shared" ca="1" si="12"/>
        <v>19124.564333266087</v>
      </c>
      <c r="F89" s="93">
        <f t="shared" ca="1" si="13"/>
        <v>1.1693668264597143E-3</v>
      </c>
      <c r="G89">
        <f t="shared" si="9"/>
        <v>47</v>
      </c>
      <c r="H89" s="33"/>
      <c r="I89" s="6"/>
      <c r="J89" s="33"/>
      <c r="K89" s="93"/>
    </row>
    <row r="90" spans="1:11" x14ac:dyDescent="0.3">
      <c r="A90" s="51" t="s">
        <v>1969</v>
      </c>
      <c r="B90" s="9" t="str">
        <f t="shared" si="10"/>
        <v>…</v>
      </c>
      <c r="C90" t="str">
        <f t="shared" ca="1" si="11"/>
        <v>ROGOWSKI CURRENT TRANSDUCER MAINTENANCE </v>
      </c>
      <c r="D90" s="33">
        <f t="shared" ca="1" si="12"/>
        <v>19050.625448945189</v>
      </c>
      <c r="F90" s="93">
        <f t="shared" ca="1" si="13"/>
        <v>1.1648458513931134E-3</v>
      </c>
      <c r="G90">
        <f t="shared" si="9"/>
        <v>48</v>
      </c>
      <c r="H90" s="33"/>
      <c r="I90" s="6"/>
      <c r="J90" s="33"/>
      <c r="K90" s="93"/>
    </row>
    <row r="91" spans="1:11" x14ac:dyDescent="0.3">
      <c r="A91" s="51" t="s">
        <v>1982</v>
      </c>
      <c r="B91" s="9" t="str">
        <f t="shared" si="10"/>
        <v>…</v>
      </c>
      <c r="C91" t="str">
        <f t="shared" ca="1" si="11"/>
        <v>DIRECT VOLTAGE DIVIDER MAINTENANCE</v>
      </c>
      <c r="D91" s="33">
        <f t="shared" ca="1" si="12"/>
        <v>17147.861921652257</v>
      </c>
      <c r="F91" s="93">
        <f t="shared" ca="1" si="13"/>
        <v>1.0485018391248955E-3</v>
      </c>
      <c r="G91">
        <f t="shared" si="9"/>
        <v>49</v>
      </c>
      <c r="H91" s="33"/>
      <c r="I91" s="6"/>
      <c r="J91" s="33"/>
      <c r="K91" s="93"/>
    </row>
    <row r="92" spans="1:11" x14ac:dyDescent="0.3">
      <c r="A92" s="51" t="s">
        <v>1966</v>
      </c>
      <c r="B92" s="9" t="str">
        <f t="shared" si="10"/>
        <v>…</v>
      </c>
      <c r="C92" t="str">
        <f t="shared" ca="1" si="11"/>
        <v>INSPECT SPILL KITS </v>
      </c>
      <c r="D92" s="33">
        <f t="shared" ca="1" si="12"/>
        <v>16469.487932900149</v>
      </c>
      <c r="F92" s="93">
        <f t="shared" ca="1" si="13"/>
        <v>1.0070228268683902E-3</v>
      </c>
      <c r="G92">
        <f t="shared" si="9"/>
        <v>50</v>
      </c>
      <c r="H92" s="33"/>
      <c r="I92" s="6"/>
      <c r="J92" s="33"/>
      <c r="K92" s="93"/>
    </row>
    <row r="93" spans="1:11" x14ac:dyDescent="0.3">
      <c r="A93" s="51" t="s">
        <v>1974</v>
      </c>
      <c r="B93" s="9" t="str">
        <f t="shared" si="10"/>
        <v>…</v>
      </c>
      <c r="C93" t="str">
        <f t="shared" ca="1" si="11"/>
        <v>CAPACITIVE VOLTAGE TRANSFORMER MAINTENANCE</v>
      </c>
      <c r="D93" s="33">
        <f t="shared" ca="1" si="12"/>
        <v>15494.719208124878</v>
      </c>
      <c r="F93" s="93">
        <f t="shared" ca="1" si="13"/>
        <v>9.4742083069429084E-4</v>
      </c>
      <c r="G93">
        <f t="shared" si="9"/>
        <v>51</v>
      </c>
      <c r="H93" s="33"/>
      <c r="I93" s="6"/>
      <c r="J93" s="33"/>
      <c r="K93" s="93"/>
    </row>
    <row r="94" spans="1:11" x14ac:dyDescent="0.3">
      <c r="A94" s="51" t="s">
        <v>1968</v>
      </c>
      <c r="B94" s="9" t="str">
        <f t="shared" si="10"/>
        <v>…</v>
      </c>
      <c r="C94" t="str">
        <f t="shared" ca="1" si="11"/>
        <v>HALL EFFECT CURRENT TRANSDUCER MAINTENANCE </v>
      </c>
      <c r="D94" s="33">
        <f t="shared" ca="1" si="12"/>
        <v>13716.766087714721</v>
      </c>
      <c r="F94" s="93">
        <f t="shared" ca="1" si="13"/>
        <v>8.387083203448796E-4</v>
      </c>
      <c r="G94">
        <f t="shared" si="9"/>
        <v>52</v>
      </c>
      <c r="I94" s="6"/>
      <c r="J94" s="33"/>
      <c r="K94" s="93"/>
    </row>
    <row r="95" spans="1:11" x14ac:dyDescent="0.3">
      <c r="A95" s="51" t="s">
        <v>1973</v>
      </c>
      <c r="B95" s="9" t="str">
        <f t="shared" si="10"/>
        <v>…</v>
      </c>
      <c r="C95" t="str">
        <f t="shared" ca="1" si="11"/>
        <v>CABLE SCREEN CURRENT TRANSFORMER </v>
      </c>
      <c r="D95" s="33">
        <f t="shared" ca="1" si="12"/>
        <v>12383.301247407104</v>
      </c>
      <c r="F95" s="93">
        <f t="shared" ca="1" si="13"/>
        <v>7.5717393758282115E-4</v>
      </c>
      <c r="G95">
        <f t="shared" si="9"/>
        <v>53</v>
      </c>
      <c r="I95" s="6"/>
      <c r="J95" s="33"/>
      <c r="K95" s="93"/>
    </row>
    <row r="96" spans="1:11" x14ac:dyDescent="0.3">
      <c r="A96" s="51" t="s">
        <v>2236</v>
      </c>
      <c r="B96" s="9" t="str">
        <f t="shared" si="10"/>
        <v>…</v>
      </c>
      <c r="C96" t="str">
        <f t="shared" ca="1" si="11"/>
        <v>DC ZERO SEQUENCE SMOOTHING REACTOR MAINTENANCE</v>
      </c>
      <c r="D96" s="33">
        <f t="shared" ca="1" si="12"/>
        <v>8382.9067264842542</v>
      </c>
      <c r="F96" s="93">
        <f t="shared" ca="1" si="13"/>
        <v>5.1257078929664601E-4</v>
      </c>
      <c r="G96">
        <f t="shared" si="9"/>
        <v>54</v>
      </c>
      <c r="I96" s="6"/>
      <c r="J96" s="33"/>
      <c r="K96" s="93"/>
    </row>
    <row r="97" spans="1:11" x14ac:dyDescent="0.3">
      <c r="A97" s="51" t="s">
        <v>1959</v>
      </c>
      <c r="B97" s="9" t="str">
        <f t="shared" si="10"/>
        <v>…</v>
      </c>
      <c r="C97" t="str">
        <f t="shared" ca="1" si="11"/>
        <v>AIR GAP SURGE LIMITER MAINTENANCE </v>
      </c>
      <c r="D97" s="33">
        <f t="shared" ca="1" si="12"/>
        <v>8382.9067264842542</v>
      </c>
      <c r="F97" s="93">
        <f t="shared" ca="1" si="13"/>
        <v>5.1257078929664601E-4</v>
      </c>
      <c r="G97">
        <f t="shared" si="9"/>
        <v>55</v>
      </c>
      <c r="I97" s="6"/>
      <c r="J97" s="33"/>
      <c r="K97" s="93"/>
    </row>
    <row r="98" spans="1:11" x14ac:dyDescent="0.3">
      <c r="A98" s="51" t="s">
        <v>1967</v>
      </c>
      <c r="B98" s="9" t="str">
        <f t="shared" si="10"/>
        <v>…</v>
      </c>
      <c r="C98" t="str">
        <f t="shared" ca="1" si="11"/>
        <v>FUNCTIONAL TEST OF HIGH VOLTAGE TEST EQUIPMENT </v>
      </c>
      <c r="D98" s="33">
        <f t="shared" ca="1" si="12"/>
        <v>4474.8413111043019</v>
      </c>
      <c r="F98" s="93">
        <f t="shared" ca="1" si="13"/>
        <v>2.7361308167291569E-4</v>
      </c>
      <c r="G98">
        <f t="shared" si="9"/>
        <v>56</v>
      </c>
    </row>
    <row r="99" spans="1:11" x14ac:dyDescent="0.3">
      <c r="A99" s="51" t="s">
        <v>1961</v>
      </c>
      <c r="B99" s="9" t="str">
        <f t="shared" si="10"/>
        <v>…</v>
      </c>
      <c r="C99" t="str">
        <f t="shared" ca="1" si="11"/>
        <v>CHECK EYE WASH STATION </v>
      </c>
      <c r="D99" s="33">
        <f t="shared" ca="1" si="12"/>
        <v>3880.7027168568402</v>
      </c>
      <c r="F99" s="93">
        <f t="shared" ca="1" si="13"/>
        <v>2.3728462208945294E-4</v>
      </c>
      <c r="G99">
        <f t="shared" si="9"/>
        <v>57</v>
      </c>
    </row>
    <row r="100" spans="1:11" x14ac:dyDescent="0.3">
      <c r="A100" s="51" t="s">
        <v>1786</v>
      </c>
      <c r="B100" s="9" t="str">
        <f t="shared" si="10"/>
        <v>…</v>
      </c>
      <c r="C100" t="str">
        <f t="shared" ca="1" si="11"/>
        <v>DISCONNECTOR &amp; EARTH SWITCH MAINTENANCE</v>
      </c>
      <c r="D100" s="33">
        <f t="shared" ca="1" si="12"/>
        <v>3629.8043595154681</v>
      </c>
      <c r="F100" s="93">
        <f t="shared" ca="1" si="13"/>
        <v>2.2194350316116987E-4</v>
      </c>
      <c r="G100">
        <f t="shared" si="9"/>
        <v>58</v>
      </c>
    </row>
    <row r="101" spans="1:11" x14ac:dyDescent="0.3">
      <c r="A101" s="51" t="s">
        <v>1787</v>
      </c>
      <c r="B101" s="9" t="str">
        <f t="shared" si="10"/>
        <v>…</v>
      </c>
      <c r="C101" t="str">
        <f t="shared" ca="1" si="11"/>
        <v>MOTORISED OPERATING MECHANISM MAINTENANCE</v>
      </c>
      <c r="D101" s="33">
        <f t="shared" ca="1" si="12"/>
        <v>3629.8043595154681</v>
      </c>
      <c r="F101" s="93">
        <f t="shared" ca="1" si="13"/>
        <v>2.2194350316116987E-4</v>
      </c>
      <c r="G101">
        <f t="shared" si="9"/>
        <v>59</v>
      </c>
    </row>
    <row r="102" spans="1:11" x14ac:dyDescent="0.3">
      <c r="A102" s="51" t="s">
        <v>1987</v>
      </c>
      <c r="B102" s="9" t="str">
        <f t="shared" si="10"/>
        <v>…</v>
      </c>
      <c r="C102" t="str">
        <f t="shared" ca="1" si="11"/>
        <v>INSULATING WALL BUSHING MAINTENANCE </v>
      </c>
      <c r="D102" s="33">
        <f t="shared" ca="1" si="12"/>
        <v>3008.2116864937502</v>
      </c>
      <c r="F102" s="93">
        <f t="shared" ca="1" si="13"/>
        <v>1.839363706202383E-4</v>
      </c>
      <c r="G102">
        <f t="shared" si="9"/>
        <v>60</v>
      </c>
    </row>
    <row r="103" spans="1:11" x14ac:dyDescent="0.3">
      <c r="A103" s="51" t="s">
        <v>1988</v>
      </c>
      <c r="B103" s="9" t="str">
        <f t="shared" si="10"/>
        <v>…</v>
      </c>
      <c r="C103" t="str">
        <f t="shared" ca="1" si="11"/>
        <v>PLC FILTER TUNING UNIT MAINTENANCE </v>
      </c>
      <c r="D103" s="33">
        <f t="shared" ca="1" si="12"/>
        <v>2413.6742024999999</v>
      </c>
      <c r="F103" s="93">
        <f t="shared" ref="F103" ca="1" si="14">D103/TotalOPEXInAERPeriod</f>
        <v>1.4758352102042818E-4</v>
      </c>
      <c r="G103">
        <f t="shared" si="9"/>
        <v>61</v>
      </c>
    </row>
    <row r="104" spans="1:11" x14ac:dyDescent="0.3">
      <c r="A104" s="51" t="s">
        <v>1985</v>
      </c>
      <c r="B104" s="9" t="str">
        <f t="shared" si="10"/>
        <v>…</v>
      </c>
      <c r="C104" t="str">
        <f t="shared" ca="1" si="11"/>
        <v>FUNCTIONAL TEST OF EMERGENCY STOP BUTTON </v>
      </c>
      <c r="D104" s="33">
        <f t="shared" ca="1" si="12"/>
        <v>970.17567921420982</v>
      </c>
      <c r="F104" s="93">
        <f t="shared" ref="F104" ca="1" si="15">D104/TotalOPEXInAERPeriod</f>
        <v>5.932115552236322E-5</v>
      </c>
      <c r="G104">
        <f t="shared" si="9"/>
        <v>62</v>
      </c>
    </row>
    <row r="105" spans="1:11" x14ac:dyDescent="0.3">
      <c r="A105" s="51" t="s">
        <v>1980</v>
      </c>
      <c r="B105" s="9" t="str">
        <f t="shared" si="10"/>
        <v>…</v>
      </c>
      <c r="C105" t="str">
        <f t="shared" ca="1" si="11"/>
        <v>VALVE HUMIDITY CONTROL SYSTEM </v>
      </c>
      <c r="D105" s="33">
        <f t="shared" ca="1" si="12"/>
        <v>0</v>
      </c>
      <c r="F105" s="93">
        <f t="shared" ref="F105" ca="1" si="16">D105/TotalOPEXInAERPeriod</f>
        <v>0</v>
      </c>
      <c r="G105" s="301">
        <f t="shared" si="9"/>
        <v>63</v>
      </c>
    </row>
    <row r="106" spans="1:11" x14ac:dyDescent="0.3">
      <c r="A106" s="51" t="s">
        <v>1990</v>
      </c>
      <c r="B106" s="9" t="str">
        <f t="shared" si="10"/>
        <v>…</v>
      </c>
      <c r="C106" t="str">
        <f t="shared" ca="1" si="11"/>
        <v>MANUAL OPERATING MECHANISM MAINTENANCE</v>
      </c>
      <c r="D106" s="33">
        <f t="shared" ca="1" si="12"/>
        <v>0</v>
      </c>
      <c r="E106" s="301"/>
      <c r="F106" s="93">
        <f t="shared" ref="F106" ca="1" si="17">D106/TotalOPEXInAERPeriod</f>
        <v>0</v>
      </c>
      <c r="G106" s="301">
        <f t="shared" si="9"/>
        <v>64</v>
      </c>
    </row>
  </sheetData>
  <sortState ref="A28:D91">
    <sortCondition descending="1" ref="D28:D91"/>
  </sortState>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8C800"/>
    <pageSetUpPr fitToPage="1"/>
  </sheetPr>
  <dimension ref="A1:I55"/>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2674</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34130.493239163741</v>
      </c>
      <c r="E3" s="33">
        <f>E50</f>
        <v>6493.2191999999995</v>
      </c>
      <c r="F3" s="33">
        <f t="shared" ref="F3:I3" si="0">F50</f>
        <v>6655.5496799999992</v>
      </c>
      <c r="G3" s="33">
        <f t="shared" si="0"/>
        <v>6821.9384219999993</v>
      </c>
      <c r="H3" s="33">
        <f t="shared" si="0"/>
        <v>6992.4868825499989</v>
      </c>
      <c r="I3" s="33">
        <f t="shared" si="0"/>
        <v>7167.299054613748</v>
      </c>
    </row>
    <row r="4" spans="1:9" ht="15" x14ac:dyDescent="0.25">
      <c r="A4" t="s">
        <v>1643</v>
      </c>
      <c r="B4" s="33"/>
      <c r="C4" s="33"/>
      <c r="D4" s="33">
        <f>SUM(E4:I4)</f>
        <v>45070.196793609859</v>
      </c>
      <c r="E4" s="33">
        <f t="shared" ref="E4:I4" si="1">E51</f>
        <v>8489.1776000000009</v>
      </c>
      <c r="F4" s="33">
        <f t="shared" si="1"/>
        <v>8743.8529280000002</v>
      </c>
      <c r="G4" s="33">
        <f t="shared" si="1"/>
        <v>9006.1685158399996</v>
      </c>
      <c r="H4" s="33">
        <f t="shared" si="1"/>
        <v>9276.3535713151996</v>
      </c>
      <c r="I4" s="33">
        <f t="shared" si="1"/>
        <v>9554.644178454655</v>
      </c>
    </row>
    <row r="5" spans="1:9" ht="15" x14ac:dyDescent="0.25">
      <c r="A5" t="s">
        <v>1649</v>
      </c>
      <c r="B5" s="33"/>
      <c r="C5" s="33"/>
      <c r="D5" s="33">
        <f t="shared" ref="D5:D6" si="2">SUM(E5:I5)</f>
        <v>0</v>
      </c>
      <c r="E5" s="33">
        <f t="shared" ref="E5:I5" si="3">E52</f>
        <v>0</v>
      </c>
      <c r="F5" s="33">
        <f t="shared" si="3"/>
        <v>0</v>
      </c>
      <c r="G5" s="33">
        <f t="shared" si="3"/>
        <v>0</v>
      </c>
      <c r="H5" s="33">
        <f t="shared" si="3"/>
        <v>0</v>
      </c>
      <c r="I5" s="33">
        <f t="shared" si="3"/>
        <v>0</v>
      </c>
    </row>
    <row r="6" spans="1:9" ht="15" x14ac:dyDescent="0.25">
      <c r="A6" t="s">
        <v>1650</v>
      </c>
      <c r="B6" s="33"/>
      <c r="D6" s="33">
        <f t="shared" si="2"/>
        <v>0</v>
      </c>
      <c r="E6" s="33">
        <f t="shared" ref="E6:I6" si="4">E53</f>
        <v>0</v>
      </c>
      <c r="F6" s="33">
        <f t="shared" si="4"/>
        <v>0</v>
      </c>
      <c r="G6" s="33">
        <f t="shared" si="4"/>
        <v>0</v>
      </c>
      <c r="H6" s="33">
        <f t="shared" si="4"/>
        <v>0</v>
      </c>
      <c r="I6" s="33">
        <f t="shared" si="4"/>
        <v>0</v>
      </c>
    </row>
    <row r="9" spans="1:9" ht="15" x14ac:dyDescent="0.25">
      <c r="A9" t="s">
        <v>1497</v>
      </c>
      <c r="B9" t="s">
        <v>1498</v>
      </c>
    </row>
    <row r="10" spans="1:9" ht="15" x14ac:dyDescent="0.25">
      <c r="A10" t="s">
        <v>1500</v>
      </c>
      <c r="B10" s="14" t="s">
        <v>3098</v>
      </c>
    </row>
    <row r="13" spans="1:9" ht="15" x14ac:dyDescent="0.25">
      <c r="A13" t="s">
        <v>2432</v>
      </c>
    </row>
    <row r="14" spans="1:9" ht="15" x14ac:dyDescent="0.25">
      <c r="B14" s="39" t="s">
        <v>1678</v>
      </c>
      <c r="C14" s="39">
        <v>2</v>
      </c>
      <c r="D14" t="s">
        <v>2199</v>
      </c>
    </row>
    <row r="15" spans="1:9" ht="15" x14ac:dyDescent="0.25">
      <c r="A15" s="12" t="s">
        <v>1640</v>
      </c>
      <c r="B15" s="12"/>
      <c r="C15" s="12">
        <f>C14</f>
        <v>2</v>
      </c>
    </row>
    <row r="16" spans="1:9" ht="15" x14ac:dyDescent="0.25">
      <c r="B16" s="39"/>
      <c r="C16" s="39"/>
    </row>
    <row r="17" spans="1:9" ht="15" x14ac:dyDescent="0.25">
      <c r="A17" t="s">
        <v>1992</v>
      </c>
      <c r="B17" s="39"/>
      <c r="C17" s="39"/>
    </row>
    <row r="18" spans="1:9" ht="15" x14ac:dyDescent="0.25">
      <c r="A18" s="33" t="s">
        <v>2433</v>
      </c>
      <c r="B18" s="39"/>
      <c r="C18" s="39"/>
    </row>
    <row r="19" spans="1:9" ht="15" x14ac:dyDescent="0.25">
      <c r="A19" t="s">
        <v>2434</v>
      </c>
      <c r="B19" s="39"/>
      <c r="C19" s="39"/>
    </row>
    <row r="20" spans="1:9" ht="15" x14ac:dyDescent="0.25">
      <c r="A20" t="s">
        <v>3217</v>
      </c>
      <c r="B20" s="39"/>
      <c r="C20" s="39"/>
    </row>
    <row r="21" spans="1:9" ht="15" x14ac:dyDescent="0.25">
      <c r="A21" t="s">
        <v>2435</v>
      </c>
      <c r="B21" s="39"/>
      <c r="C21" s="39"/>
    </row>
    <row r="22" spans="1:9" ht="15" x14ac:dyDescent="0.25">
      <c r="A22" t="s">
        <v>2436</v>
      </c>
      <c r="B22" s="39"/>
      <c r="C22" s="39"/>
    </row>
    <row r="23" spans="1:9" ht="15" x14ac:dyDescent="0.25">
      <c r="A23" t="s">
        <v>3482</v>
      </c>
      <c r="B23" s="39"/>
      <c r="C23" s="39"/>
    </row>
    <row r="24" spans="1:9" ht="15" x14ac:dyDescent="0.25">
      <c r="A24" t="s">
        <v>3483</v>
      </c>
      <c r="B24" s="39"/>
      <c r="C24" s="39"/>
    </row>
    <row r="25" spans="1:9" ht="15" x14ac:dyDescent="0.25">
      <c r="B25" s="39"/>
      <c r="C25" s="39"/>
      <c r="E25" s="30" t="str">
        <f>Summary!C4</f>
        <v>2015/16</v>
      </c>
      <c r="F25" s="30" t="str">
        <f>Summary!D4</f>
        <v>2016/17</v>
      </c>
      <c r="G25" s="30" t="str">
        <f>Summary!E4</f>
        <v>2017/18</v>
      </c>
      <c r="H25" s="30" t="str">
        <f>Summary!F4</f>
        <v>2018/19</v>
      </c>
      <c r="I25" s="30" t="str">
        <f>Summary!G4</f>
        <v>2019/20</v>
      </c>
    </row>
    <row r="26" spans="1:9" x14ac:dyDescent="0.3">
      <c r="A26" s="68" t="s">
        <v>2429</v>
      </c>
      <c r="B26" s="45" t="s">
        <v>47</v>
      </c>
      <c r="C26" s="45"/>
      <c r="D26" s="45"/>
      <c r="E26" s="45">
        <v>12</v>
      </c>
      <c r="F26" s="45">
        <v>12</v>
      </c>
      <c r="G26" s="45">
        <v>12</v>
      </c>
      <c r="H26" s="45">
        <v>12</v>
      </c>
      <c r="I26" s="45">
        <v>12</v>
      </c>
    </row>
    <row r="27" spans="1:9" ht="15" x14ac:dyDescent="0.25">
      <c r="A27" s="8" t="s">
        <v>1646</v>
      </c>
      <c r="C27" s="39"/>
    </row>
    <row r="28" spans="1:9" ht="15" x14ac:dyDescent="0.25">
      <c r="A28" s="14" t="s">
        <v>1658</v>
      </c>
      <c r="B28" s="74">
        <f>(1+1*3)/C15</f>
        <v>2</v>
      </c>
      <c r="C28" s="14" t="s">
        <v>3036</v>
      </c>
    </row>
    <row r="29" spans="1:9" ht="15" x14ac:dyDescent="0.25">
      <c r="A29" s="14" t="s">
        <v>1997</v>
      </c>
      <c r="B29" s="74">
        <f>1/C15</f>
        <v>0.5</v>
      </c>
      <c r="C29" s="14" t="s">
        <v>3037</v>
      </c>
    </row>
    <row r="30" spans="1:9" ht="15" x14ac:dyDescent="0.25">
      <c r="A30" s="14" t="s">
        <v>1643</v>
      </c>
      <c r="B30" s="56">
        <f>B39/C15/12</f>
        <v>343.41333333333336</v>
      </c>
      <c r="C30" s="14" t="s">
        <v>3048</v>
      </c>
    </row>
    <row r="31" spans="1:9" x14ac:dyDescent="0.3">
      <c r="A31" s="14"/>
      <c r="B31" s="55"/>
      <c r="C31" s="14"/>
    </row>
    <row r="32" spans="1:9" x14ac:dyDescent="0.3">
      <c r="A32" s="42" t="s">
        <v>1647</v>
      </c>
      <c r="B32" s="15"/>
      <c r="C32" s="14"/>
    </row>
    <row r="33" spans="1:3" x14ac:dyDescent="0.3">
      <c r="A33" s="14" t="s">
        <v>1656</v>
      </c>
      <c r="B33" s="15"/>
      <c r="C33" s="14"/>
    </row>
    <row r="34" spans="1:3" x14ac:dyDescent="0.3">
      <c r="A34" s="14" t="s">
        <v>1651</v>
      </c>
      <c r="B34" s="55"/>
      <c r="C34" s="14"/>
    </row>
    <row r="35" spans="1:3" x14ac:dyDescent="0.3">
      <c r="A35" s="14" t="s">
        <v>1649</v>
      </c>
      <c r="B35" s="55">
        <v>0</v>
      </c>
      <c r="C35" s="14" t="s">
        <v>1788</v>
      </c>
    </row>
    <row r="36" spans="1:3" x14ac:dyDescent="0.3">
      <c r="A36" s="14" t="s">
        <v>1650</v>
      </c>
      <c r="B36" s="55">
        <v>0</v>
      </c>
      <c r="C36" s="14"/>
    </row>
    <row r="37" spans="1:3" x14ac:dyDescent="0.3">
      <c r="A37" s="14"/>
      <c r="B37" s="55"/>
      <c r="C37" s="14"/>
    </row>
    <row r="38" spans="1:3" x14ac:dyDescent="0.3">
      <c r="A38" s="127" t="s">
        <v>2127</v>
      </c>
      <c r="B38" s="128"/>
      <c r="C38" s="127" t="s">
        <v>3218</v>
      </c>
    </row>
    <row r="39" spans="1:3" x14ac:dyDescent="0.3">
      <c r="A39" s="14" t="s">
        <v>3040</v>
      </c>
      <c r="B39" s="55">
        <f>B40*B41+B42*B43*12</f>
        <v>8241.92</v>
      </c>
      <c r="C39" s="14" t="s">
        <v>3041</v>
      </c>
    </row>
    <row r="40" spans="1:3" x14ac:dyDescent="0.3">
      <c r="A40" s="14" t="s">
        <v>3042</v>
      </c>
      <c r="B40" s="56">
        <v>33.04</v>
      </c>
      <c r="C40" s="14" t="s">
        <v>3043</v>
      </c>
    </row>
    <row r="41" spans="1:3" x14ac:dyDescent="0.3">
      <c r="A41" s="14" t="s">
        <v>3039</v>
      </c>
      <c r="B41" s="73">
        <v>26</v>
      </c>
      <c r="C41" s="14" t="s">
        <v>3038</v>
      </c>
    </row>
    <row r="42" spans="1:3" x14ac:dyDescent="0.3">
      <c r="A42" s="14" t="s">
        <v>3044</v>
      </c>
      <c r="B42" s="56">
        <v>51.27</v>
      </c>
      <c r="C42" s="14" t="s">
        <v>3046</v>
      </c>
    </row>
    <row r="43" spans="1:3" x14ac:dyDescent="0.3">
      <c r="A43" s="14" t="s">
        <v>3045</v>
      </c>
      <c r="B43" s="73">
        <v>12</v>
      </c>
      <c r="C43" s="14" t="s">
        <v>3047</v>
      </c>
    </row>
    <row r="44" spans="1:3" x14ac:dyDescent="0.3">
      <c r="A44" s="14"/>
      <c r="B44" s="73"/>
      <c r="C44" s="14"/>
    </row>
    <row r="45" spans="1:3" x14ac:dyDescent="0.3">
      <c r="A45" s="14"/>
      <c r="B45" s="73"/>
      <c r="C45" s="14"/>
    </row>
    <row r="46" spans="1:3" x14ac:dyDescent="0.3">
      <c r="A46" s="14"/>
      <c r="B46" s="73"/>
      <c r="C46" s="14"/>
    </row>
    <row r="47" spans="1:3" x14ac:dyDescent="0.3">
      <c r="A47" s="14"/>
      <c r="B47" s="73"/>
      <c r="C47" s="14"/>
    </row>
    <row r="48" spans="1:3" x14ac:dyDescent="0.3">
      <c r="A48" s="14"/>
      <c r="B48" s="41"/>
      <c r="C48" s="14"/>
    </row>
    <row r="49" spans="1:9" x14ac:dyDescent="0.3">
      <c r="A49" s="14"/>
      <c r="B49" s="46" t="s">
        <v>2712</v>
      </c>
      <c r="C49" s="46" t="s">
        <v>2718</v>
      </c>
      <c r="D49" s="30" t="s">
        <v>1655</v>
      </c>
      <c r="E49" s="30" t="str">
        <f>Summary!C4</f>
        <v>2015/16</v>
      </c>
      <c r="F49" s="30" t="str">
        <f>Summary!D4</f>
        <v>2016/17</v>
      </c>
      <c r="G49" s="30" t="str">
        <f>Summary!E4</f>
        <v>2017/18</v>
      </c>
      <c r="H49" s="30" t="str">
        <f>Summary!F4</f>
        <v>2018/19</v>
      </c>
      <c r="I49" s="30" t="str">
        <f>Summary!G4</f>
        <v>2019/20</v>
      </c>
    </row>
    <row r="50" spans="1:9" x14ac:dyDescent="0.3">
      <c r="A50" s="14" t="s">
        <v>1648</v>
      </c>
      <c r="B50" s="40">
        <f>B28*HourlyRateAPAMaintenanceStaff+B29*HourlyRateAPAOMSupervisor</f>
        <v>263.952</v>
      </c>
      <c r="C50" s="40">
        <f>B50*$C$15</f>
        <v>527.904</v>
      </c>
      <c r="D50" s="40">
        <f>C50*SUMPRODUCT(LabourAdjustmentFactor,E$26:I$26)</f>
        <v>34130.493239163749</v>
      </c>
      <c r="E50" s="40">
        <f>$C50*E$26*'Modelling Assumptions'!E$101</f>
        <v>6493.2191999999995</v>
      </c>
      <c r="F50" s="40">
        <f>$C50*F$26*'Modelling Assumptions'!F$101</f>
        <v>6655.5496799999992</v>
      </c>
      <c r="G50" s="40">
        <f>$C50*G$26*'Modelling Assumptions'!G$101</f>
        <v>6821.9384219999993</v>
      </c>
      <c r="H50" s="40">
        <f>$C50*H$26*'Modelling Assumptions'!H$101</f>
        <v>6992.4868825499989</v>
      </c>
      <c r="I50" s="40">
        <f>$C50*I$26*'Modelling Assumptions'!I$101</f>
        <v>7167.299054613748</v>
      </c>
    </row>
    <row r="51" spans="1:9" x14ac:dyDescent="0.3">
      <c r="A51" s="14" t="s">
        <v>1643</v>
      </c>
      <c r="B51" s="40">
        <f>B30</f>
        <v>343.41333333333336</v>
      </c>
      <c r="C51" s="40">
        <f>B51*$C$15</f>
        <v>686.82666666666671</v>
      </c>
      <c r="D51" s="40">
        <f>C51*SUMPRODUCT(MaterialsAdjustmentFactor,E$26:I$26)</f>
        <v>45070.196793609859</v>
      </c>
      <c r="E51" s="40">
        <f>$C51*E$26*'Modelling Assumptions'!E$102</f>
        <v>8489.1776000000009</v>
      </c>
      <c r="F51" s="40">
        <f>$C51*F$26*'Modelling Assumptions'!F$102</f>
        <v>8743.8529280000002</v>
      </c>
      <c r="G51" s="40">
        <f>$C51*G$26*'Modelling Assumptions'!G$102</f>
        <v>9006.1685158399996</v>
      </c>
      <c r="H51" s="40">
        <f>$C51*H$26*'Modelling Assumptions'!H$102</f>
        <v>9276.3535713151996</v>
      </c>
      <c r="I51" s="40">
        <f>$C51*I$26*'Modelling Assumptions'!I$102</f>
        <v>9554.644178454655</v>
      </c>
    </row>
    <row r="52" spans="1:9" x14ac:dyDescent="0.3">
      <c r="A52" s="14" t="s">
        <v>1649</v>
      </c>
      <c r="B52" s="40">
        <f>B35</f>
        <v>0</v>
      </c>
      <c r="C52" s="40">
        <f>B52*$C$15</f>
        <v>0</v>
      </c>
      <c r="D52" s="47">
        <f>C52*SUMPRODUCT(LabourAdjustmentFactor,E$26:I$26)</f>
        <v>0</v>
      </c>
      <c r="E52" s="40">
        <f>$C52*E$26*'Modelling Assumptions'!E$101</f>
        <v>0</v>
      </c>
      <c r="F52" s="40">
        <f>$C52*F$26*'Modelling Assumptions'!F$101</f>
        <v>0</v>
      </c>
      <c r="G52" s="40">
        <f>$C52*G$26*'Modelling Assumptions'!G$101</f>
        <v>0</v>
      </c>
      <c r="H52" s="40">
        <f>$C52*H$26*'Modelling Assumptions'!H$101</f>
        <v>0</v>
      </c>
      <c r="I52" s="40">
        <f>$C52*I$26*'Modelling Assumptions'!I$101</f>
        <v>0</v>
      </c>
    </row>
    <row r="53" spans="1:9" x14ac:dyDescent="0.3">
      <c r="A53" s="14" t="s">
        <v>1650</v>
      </c>
      <c r="B53" s="40">
        <f>B36</f>
        <v>0</v>
      </c>
      <c r="C53" s="40">
        <f>B53*$C$15</f>
        <v>0</v>
      </c>
      <c r="D53" s="40">
        <f>C53*SUMPRODUCT(MaterialsAdjustmentFactor,E$26:I$26)</f>
        <v>0</v>
      </c>
      <c r="E53" s="40">
        <f>$C53*E$26*'Modelling Assumptions'!E$102</f>
        <v>0</v>
      </c>
      <c r="F53" s="40">
        <f>$C53*F$26*'Modelling Assumptions'!F$102</f>
        <v>0</v>
      </c>
      <c r="G53" s="40">
        <f>$C53*G$26*'Modelling Assumptions'!G$102</f>
        <v>0</v>
      </c>
      <c r="H53" s="40">
        <f>$C53*H$26*'Modelling Assumptions'!H$102</f>
        <v>0</v>
      </c>
      <c r="I53" s="40">
        <f>$C53*I$26*'Modelling Assumptions'!I$102</f>
        <v>0</v>
      </c>
    </row>
    <row r="54" spans="1:9" x14ac:dyDescent="0.3">
      <c r="B54" s="39"/>
      <c r="C54" s="39"/>
    </row>
    <row r="55" spans="1:9" x14ac:dyDescent="0.3">
      <c r="B55" s="39"/>
      <c r="C55" s="39"/>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C8C800"/>
    <pageSetUpPr fitToPage="1"/>
  </sheetPr>
  <dimension ref="A1:I61"/>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216</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D35</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19395.852222656245</v>
      </c>
      <c r="E5" s="33">
        <f t="shared" si="0"/>
        <v>3689.9999999999995</v>
      </c>
      <c r="F5" s="33">
        <f t="shared" si="0"/>
        <v>3782.2499999999995</v>
      </c>
      <c r="G5" s="33">
        <f t="shared" si="0"/>
        <v>3876.8062499999996</v>
      </c>
      <c r="H5" s="33">
        <f t="shared" si="0"/>
        <v>3973.7264062499989</v>
      </c>
      <c r="I5" s="33">
        <f t="shared" si="0"/>
        <v>4073.0695664062487</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2" spans="1:9" ht="15" x14ac:dyDescent="0.25">
      <c r="A12" t="s">
        <v>1744</v>
      </c>
    </row>
    <row r="13" spans="1:9" ht="15" x14ac:dyDescent="0.25">
      <c r="B13" s="39" t="s">
        <v>2334</v>
      </c>
      <c r="C13" s="39">
        <v>12</v>
      </c>
    </row>
    <row r="14" spans="1:9" ht="15" x14ac:dyDescent="0.25">
      <c r="A14" s="12" t="s">
        <v>1640</v>
      </c>
      <c r="B14" s="12"/>
      <c r="C14" s="12">
        <f>SUM(C12:C13)</f>
        <v>12</v>
      </c>
      <c r="D14" t="s">
        <v>2736</v>
      </c>
    </row>
    <row r="16" spans="1:9" ht="15" x14ac:dyDescent="0.25">
      <c r="A16" t="s">
        <v>1992</v>
      </c>
    </row>
    <row r="17" spans="1:9" ht="15" x14ac:dyDescent="0.25">
      <c r="A17" t="s">
        <v>2332</v>
      </c>
    </row>
    <row r="18" spans="1:9" ht="15" x14ac:dyDescent="0.25">
      <c r="A18" t="s">
        <v>2333</v>
      </c>
    </row>
    <row r="19" spans="1:9" ht="15" x14ac:dyDescent="0.25">
      <c r="A19" t="s">
        <v>2336</v>
      </c>
    </row>
    <row r="20" spans="1:9" ht="15" x14ac:dyDescent="0.25">
      <c r="A20" t="s">
        <v>3254</v>
      </c>
    </row>
    <row r="21" spans="1:9" ht="15" x14ac:dyDescent="0.25">
      <c r="E21" s="30" t="str">
        <f>Summary!C4</f>
        <v>2015/16</v>
      </c>
      <c r="F21" s="30" t="str">
        <f>Summary!D4</f>
        <v>2016/17</v>
      </c>
      <c r="G21" s="30" t="str">
        <f>Summary!E4</f>
        <v>2017/18</v>
      </c>
      <c r="H21" s="30" t="str">
        <f>Summary!F4</f>
        <v>2018/19</v>
      </c>
      <c r="I21" s="30" t="str">
        <f>Summary!G4</f>
        <v>2019/20</v>
      </c>
    </row>
    <row r="22" spans="1:9" x14ac:dyDescent="0.3">
      <c r="A22" s="16" t="s">
        <v>1187</v>
      </c>
      <c r="B22" s="16" t="s">
        <v>56</v>
      </c>
      <c r="C22" s="43"/>
      <c r="D22" s="16"/>
      <c r="E22" s="16">
        <v>1</v>
      </c>
      <c r="F22" s="16">
        <v>1</v>
      </c>
      <c r="G22" s="16">
        <v>1</v>
      </c>
      <c r="H22" s="16">
        <v>1</v>
      </c>
      <c r="I22" s="16">
        <v>1</v>
      </c>
    </row>
    <row r="23" spans="1:9" ht="15" x14ac:dyDescent="0.25">
      <c r="A23" s="8" t="s">
        <v>1646</v>
      </c>
      <c r="C23" s="39"/>
    </row>
    <row r="24" spans="1:9" ht="15" x14ac:dyDescent="0.25">
      <c r="A24" s="14" t="s">
        <v>1658</v>
      </c>
      <c r="B24" s="74">
        <f>APATechnicianHours/C14</f>
        <v>8.3333333333333329E-2</v>
      </c>
      <c r="C24" s="14" t="s">
        <v>2335</v>
      </c>
    </row>
    <row r="25" spans="1:9" ht="15" x14ac:dyDescent="0.25">
      <c r="A25" s="14" t="s">
        <v>1997</v>
      </c>
      <c r="B25" s="74">
        <f>APASupervisorHours/C14</f>
        <v>0.71527777777777779</v>
      </c>
      <c r="C25" s="14" t="s">
        <v>2335</v>
      </c>
    </row>
    <row r="26" spans="1:9" ht="15" x14ac:dyDescent="0.25">
      <c r="A26" s="14" t="s">
        <v>1643</v>
      </c>
      <c r="B26" s="55">
        <v>0</v>
      </c>
      <c r="C26" s="14"/>
    </row>
    <row r="27" spans="1:9" ht="15" x14ac:dyDescent="0.25">
      <c r="A27" s="14"/>
      <c r="B27" s="55"/>
      <c r="C27" s="14"/>
    </row>
    <row r="28" spans="1:9" ht="15" x14ac:dyDescent="0.25">
      <c r="A28" s="42" t="s">
        <v>1647</v>
      </c>
      <c r="B28" s="15"/>
      <c r="C28" s="14"/>
    </row>
    <row r="29" spans="1:9" ht="15" x14ac:dyDescent="0.25">
      <c r="A29" s="14" t="s">
        <v>1656</v>
      </c>
      <c r="B29" s="15">
        <v>4</v>
      </c>
      <c r="C29" s="14" t="s">
        <v>3273</v>
      </c>
    </row>
    <row r="30" spans="1:9" ht="15" x14ac:dyDescent="0.25">
      <c r="A30" s="14" t="s">
        <v>1651</v>
      </c>
      <c r="B30" s="55">
        <f>ElectricalContractorHourlyRate</f>
        <v>75</v>
      </c>
      <c r="C30" s="14"/>
    </row>
    <row r="31" spans="1:9" x14ac:dyDescent="0.3">
      <c r="A31" s="14" t="s">
        <v>1649</v>
      </c>
      <c r="B31" s="55">
        <f>B29*B30</f>
        <v>300</v>
      </c>
      <c r="C31" s="14"/>
    </row>
    <row r="32" spans="1:9" x14ac:dyDescent="0.3">
      <c r="A32" s="14" t="s">
        <v>1650</v>
      </c>
      <c r="B32" s="55">
        <v>0</v>
      </c>
      <c r="C32" s="7"/>
    </row>
    <row r="34" spans="1:9" x14ac:dyDescent="0.3">
      <c r="A34" s="14"/>
      <c r="B34" s="46" t="s">
        <v>2712</v>
      </c>
      <c r="C34" s="46" t="s">
        <v>2720</v>
      </c>
      <c r="D34" s="30"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99.123000000000019</v>
      </c>
      <c r="C35" s="40">
        <f>B35*$C$14</f>
        <v>1189.4760000000001</v>
      </c>
      <c r="D35" s="40">
        <f>C35*SUMPRODUCT(LabourAdjustmentFactor,E$22:I$22)</f>
        <v>6408.5835328878511</v>
      </c>
      <c r="E35" s="40">
        <f>$C35*E$22*'Modelling Assumptions'!E$101</f>
        <v>1219.2129</v>
      </c>
      <c r="F35" s="40">
        <f>$C35*F$22*'Modelling Assumptions'!F$101</f>
        <v>1249.6932225</v>
      </c>
      <c r="G35" s="40">
        <f>$C35*G$22*'Modelling Assumptions'!G$101</f>
        <v>1280.9355530625</v>
      </c>
      <c r="H35" s="40">
        <f>$C35*H$22*'Modelling Assumptions'!H$101</f>
        <v>1312.9589418890623</v>
      </c>
      <c r="I35" s="40">
        <f>$C35*I$22*'Modelling Assumptions'!I$101</f>
        <v>1345.7829154362887</v>
      </c>
    </row>
    <row r="36" spans="1:9" x14ac:dyDescent="0.3">
      <c r="A36" s="14" t="s">
        <v>1643</v>
      </c>
      <c r="B36" s="40">
        <f>B26</f>
        <v>0</v>
      </c>
      <c r="C36" s="40">
        <f t="shared" ref="C36:C38" si="1">B36*$C$14</f>
        <v>0</v>
      </c>
      <c r="D36" s="40">
        <f>C36*SUMPRODUCT(MaterialsAdjustmentFactor,E$22:I$22)</f>
        <v>0</v>
      </c>
      <c r="E36" s="47">
        <f>$C36*E$22*'Modelling Assumptions'!E$102</f>
        <v>0</v>
      </c>
      <c r="F36" s="47">
        <f>$C36*F$22*'Modelling Assumptions'!F$102</f>
        <v>0</v>
      </c>
      <c r="G36" s="47">
        <f>$C36*G$22*'Modelling Assumptions'!G$102</f>
        <v>0</v>
      </c>
      <c r="H36" s="47">
        <f>$C36*H$22*'Modelling Assumptions'!H$102</f>
        <v>0</v>
      </c>
      <c r="I36" s="47">
        <f>$C36*I$22*'Modelling Assumptions'!I$102</f>
        <v>0</v>
      </c>
    </row>
    <row r="37" spans="1:9" x14ac:dyDescent="0.3">
      <c r="A37" s="14" t="s">
        <v>1649</v>
      </c>
      <c r="B37" s="40">
        <f>B31</f>
        <v>300</v>
      </c>
      <c r="C37" s="40">
        <f t="shared" si="1"/>
        <v>3600</v>
      </c>
      <c r="D37" s="40">
        <f>C37*SUMPRODUCT(LabourAdjustmentFactor,E$22:I$22)</f>
        <v>19395.852222656245</v>
      </c>
      <c r="E37" s="40">
        <f>$C37*E$22*'Modelling Assumptions'!E$101</f>
        <v>3689.9999999999995</v>
      </c>
      <c r="F37" s="40">
        <f>$C37*F$22*'Modelling Assumptions'!F$101</f>
        <v>3782.2499999999995</v>
      </c>
      <c r="G37" s="40">
        <f>$C37*G$22*'Modelling Assumptions'!G$101</f>
        <v>3876.8062499999996</v>
      </c>
      <c r="H37" s="40">
        <f>$C37*H$22*'Modelling Assumptions'!H$101</f>
        <v>3973.7264062499989</v>
      </c>
      <c r="I37" s="40">
        <f>$C37*I$22*'Modelling Assumptions'!I$101</f>
        <v>4073.0695664062487</v>
      </c>
    </row>
    <row r="38" spans="1:9" x14ac:dyDescent="0.3">
      <c r="A38" s="14" t="s">
        <v>1650</v>
      </c>
      <c r="B38" s="40">
        <f>B32</f>
        <v>0</v>
      </c>
      <c r="C38" s="40">
        <f t="shared" si="1"/>
        <v>0</v>
      </c>
      <c r="D38" s="40">
        <f>C38*SUMPRODUCT(MaterialsAdjustmentFactor,E$22:I$22)</f>
        <v>0</v>
      </c>
      <c r="E38" s="40">
        <f>$C38*E$22*'Modelling Assumptions'!E$102</f>
        <v>0</v>
      </c>
      <c r="F38" s="40">
        <f>$C38*F$22*'Modelling Assumptions'!F$102</f>
        <v>0</v>
      </c>
      <c r="G38" s="40">
        <f>$C38*G$22*'Modelling Assumptions'!G$102</f>
        <v>0</v>
      </c>
      <c r="H38" s="40">
        <f>$C38*H$22*'Modelling Assumptions'!H$102</f>
        <v>0</v>
      </c>
      <c r="I38" s="40">
        <f>$C38*I$22*'Modelling Assumptions'!I$102</f>
        <v>0</v>
      </c>
    </row>
    <row r="41" spans="1:9" x14ac:dyDescent="0.3">
      <c r="A41" s="10" t="s">
        <v>1641</v>
      </c>
      <c r="B41" s="44"/>
      <c r="C41" s="44"/>
      <c r="D41" s="10"/>
      <c r="E41" s="10"/>
      <c r="F41" s="10"/>
      <c r="G41" s="10"/>
      <c r="H41" s="10"/>
      <c r="I41" s="10"/>
    </row>
    <row r="42" spans="1:9" x14ac:dyDescent="0.3">
      <c r="A42" t="s">
        <v>3</v>
      </c>
      <c r="B42" t="s">
        <v>2</v>
      </c>
      <c r="C42" t="s">
        <v>1</v>
      </c>
    </row>
    <row r="43" spans="1:9" x14ac:dyDescent="0.3">
      <c r="A43" t="s">
        <v>1187</v>
      </c>
      <c r="B43" t="s">
        <v>56</v>
      </c>
    </row>
    <row r="44" spans="1:9" x14ac:dyDescent="0.3">
      <c r="A44" t="s">
        <v>217</v>
      </c>
      <c r="B44" t="s">
        <v>216</v>
      </c>
      <c r="C44" t="s">
        <v>44</v>
      </c>
      <c r="D44" t="s">
        <v>184</v>
      </c>
    </row>
    <row r="45" spans="1:9" x14ac:dyDescent="0.3">
      <c r="A45" t="s">
        <v>266</v>
      </c>
      <c r="B45" t="s">
        <v>216</v>
      </c>
      <c r="C45" t="s">
        <v>93</v>
      </c>
      <c r="D45" t="s">
        <v>251</v>
      </c>
    </row>
    <row r="46" spans="1:9" x14ac:dyDescent="0.3">
      <c r="A46" t="s">
        <v>309</v>
      </c>
      <c r="B46" t="s">
        <v>216</v>
      </c>
      <c r="C46" t="s">
        <v>108</v>
      </c>
      <c r="D46" t="s">
        <v>295</v>
      </c>
    </row>
    <row r="47" spans="1:9" x14ac:dyDescent="0.3">
      <c r="A47" t="s">
        <v>411</v>
      </c>
      <c r="B47" t="s">
        <v>216</v>
      </c>
      <c r="C47" t="s">
        <v>335</v>
      </c>
      <c r="D47" t="s">
        <v>395</v>
      </c>
    </row>
    <row r="48" spans="1:9" x14ac:dyDescent="0.3">
      <c r="A48" t="s">
        <v>454</v>
      </c>
      <c r="B48" t="s">
        <v>216</v>
      </c>
      <c r="C48" t="s">
        <v>346</v>
      </c>
      <c r="D48" t="s">
        <v>440</v>
      </c>
    </row>
    <row r="49" spans="1:5" x14ac:dyDescent="0.3">
      <c r="A49" t="s">
        <v>497</v>
      </c>
      <c r="B49" t="s">
        <v>216</v>
      </c>
      <c r="C49" t="s">
        <v>358</v>
      </c>
      <c r="D49" t="s">
        <v>483</v>
      </c>
    </row>
    <row r="55" spans="1:5" x14ac:dyDescent="0.3">
      <c r="A55" t="s">
        <v>1098</v>
      </c>
      <c r="B55" t="s">
        <v>533</v>
      </c>
    </row>
    <row r="56" spans="1:5" x14ac:dyDescent="0.3">
      <c r="A56" t="s">
        <v>1188</v>
      </c>
      <c r="B56" t="s">
        <v>1121</v>
      </c>
      <c r="C56" t="s">
        <v>1101</v>
      </c>
      <c r="D56" s="29">
        <v>41535.60833333333</v>
      </c>
      <c r="E56" t="s">
        <v>1153</v>
      </c>
    </row>
    <row r="57" spans="1:5" x14ac:dyDescent="0.3">
      <c r="A57" t="s">
        <v>1189</v>
      </c>
      <c r="B57" t="s">
        <v>1114</v>
      </c>
      <c r="C57" t="s">
        <v>1101</v>
      </c>
      <c r="D57" s="29">
        <v>41508.616666666669</v>
      </c>
      <c r="E57" t="s">
        <v>1190</v>
      </c>
    </row>
    <row r="58" spans="1:5" x14ac:dyDescent="0.3">
      <c r="A58" t="s">
        <v>1191</v>
      </c>
      <c r="B58" t="s">
        <v>1114</v>
      </c>
      <c r="C58" t="s">
        <v>1101</v>
      </c>
      <c r="D58" s="29">
        <v>41508.616666666669</v>
      </c>
      <c r="E58" t="s">
        <v>1190</v>
      </c>
    </row>
    <row r="59" spans="1:5" x14ac:dyDescent="0.3">
      <c r="A59" t="s">
        <v>1192</v>
      </c>
      <c r="B59" t="s">
        <v>1100</v>
      </c>
      <c r="C59" t="s">
        <v>1101</v>
      </c>
      <c r="D59" s="29">
        <v>41508.615972222222</v>
      </c>
      <c r="E59" t="s">
        <v>1193</v>
      </c>
    </row>
    <row r="60" spans="1:5" x14ac:dyDescent="0.3">
      <c r="A60" t="s">
        <v>1194</v>
      </c>
      <c r="B60" t="s">
        <v>1114</v>
      </c>
      <c r="C60" t="s">
        <v>1101</v>
      </c>
      <c r="D60" s="29">
        <v>41508.616666666669</v>
      </c>
      <c r="E60" t="s">
        <v>1190</v>
      </c>
    </row>
    <row r="61" spans="1:5" x14ac:dyDescent="0.3">
      <c r="A61" t="s">
        <v>1195</v>
      </c>
      <c r="B61" t="s">
        <v>1114</v>
      </c>
      <c r="C61" t="s">
        <v>1101</v>
      </c>
      <c r="D61" s="29">
        <v>41508.616666666669</v>
      </c>
      <c r="E61" t="s">
        <v>1190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C8C800"/>
    <pageSetUpPr fitToPage="1"/>
  </sheetPr>
  <dimension ref="A1:I55"/>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207</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D34</f>
        <v>7775.9911145851165</v>
      </c>
      <c r="E3" s="33">
        <f t="shared" si="0"/>
        <v>1479.3579</v>
      </c>
      <c r="F3" s="33">
        <f t="shared" si="0"/>
        <v>1516.3418474999999</v>
      </c>
      <c r="G3" s="33">
        <f t="shared" si="0"/>
        <v>1554.2503936874998</v>
      </c>
      <c r="H3" s="33">
        <f t="shared" si="0"/>
        <v>1593.1066535296873</v>
      </c>
      <c r="I3" s="33">
        <f t="shared" si="0"/>
        <v>1632.9343198679292</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16163.210185546872</v>
      </c>
      <c r="E5" s="33">
        <f t="shared" si="0"/>
        <v>3074.9999999999995</v>
      </c>
      <c r="F5" s="33">
        <f t="shared" si="0"/>
        <v>3151.8749999999995</v>
      </c>
      <c r="G5" s="33">
        <f t="shared" si="0"/>
        <v>3230.6718749999995</v>
      </c>
      <c r="H5" s="33">
        <f t="shared" si="0"/>
        <v>3311.4386718749993</v>
      </c>
      <c r="I5" s="33">
        <f t="shared" si="0"/>
        <v>3394.2246386718739</v>
      </c>
    </row>
    <row r="6" spans="1:9" ht="15" x14ac:dyDescent="0.25">
      <c r="A6" t="s">
        <v>1650</v>
      </c>
      <c r="B6" s="33"/>
      <c r="C6" s="33"/>
      <c r="D6" s="33">
        <f t="shared" si="0"/>
        <v>10936.8197686</v>
      </c>
      <c r="E6" s="33">
        <f t="shared" si="0"/>
        <v>2060</v>
      </c>
      <c r="F6" s="33">
        <f t="shared" si="0"/>
        <v>2121.7999999999997</v>
      </c>
      <c r="G6" s="33">
        <f t="shared" si="0"/>
        <v>2185.4540000000002</v>
      </c>
      <c r="H6" s="33">
        <f t="shared" si="0"/>
        <v>2251.0176199999996</v>
      </c>
      <c r="I6" s="33">
        <f t="shared" si="0"/>
        <v>2318.5481485999999</v>
      </c>
    </row>
    <row r="9" spans="1:9" ht="15" x14ac:dyDescent="0.25">
      <c r="A9" t="s">
        <v>1497</v>
      </c>
      <c r="B9" t="s">
        <v>1498</v>
      </c>
    </row>
    <row r="10" spans="1:9" ht="15" x14ac:dyDescent="0.25">
      <c r="A10" t="s">
        <v>1500</v>
      </c>
      <c r="B10" s="14" t="s">
        <v>3098</v>
      </c>
    </row>
    <row r="12" spans="1:9" ht="15" x14ac:dyDescent="0.25">
      <c r="A12" t="s">
        <v>1745</v>
      </c>
    </row>
    <row r="13" spans="1:9" ht="15" x14ac:dyDescent="0.25">
      <c r="B13" s="39" t="s">
        <v>1678</v>
      </c>
      <c r="C13" s="39">
        <v>2</v>
      </c>
    </row>
    <row r="14" spans="1:9" ht="15" x14ac:dyDescent="0.25">
      <c r="A14" s="12" t="s">
        <v>1640</v>
      </c>
      <c r="B14" s="12"/>
      <c r="C14" s="12">
        <f>SUM(C12:C13)</f>
        <v>2</v>
      </c>
    </row>
    <row r="16" spans="1:9" ht="15" x14ac:dyDescent="0.25">
      <c r="A16" t="s">
        <v>2065</v>
      </c>
    </row>
    <row r="17" spans="1:9" ht="15" x14ac:dyDescent="0.25">
      <c r="A17" t="s">
        <v>2200</v>
      </c>
    </row>
    <row r="18" spans="1:9" s="301" customFormat="1" ht="15" x14ac:dyDescent="0.25">
      <c r="A18" s="301" t="s">
        <v>3296</v>
      </c>
    </row>
    <row r="19" spans="1:9" s="301" customFormat="1" ht="15" x14ac:dyDescent="0.25">
      <c r="A19" s="301" t="s">
        <v>3254</v>
      </c>
    </row>
    <row r="20" spans="1:9" ht="15" x14ac:dyDescent="0.25">
      <c r="E20" s="30" t="str">
        <f>Summary!C4</f>
        <v>2015/16</v>
      </c>
      <c r="F20" s="30" t="str">
        <f>Summary!D4</f>
        <v>2016/17</v>
      </c>
      <c r="G20" s="30" t="str">
        <f>Summary!E4</f>
        <v>2017/18</v>
      </c>
      <c r="H20" s="30" t="str">
        <f>Summary!F4</f>
        <v>2018/19</v>
      </c>
      <c r="I20" s="30" t="str">
        <f>Summary!G4</f>
        <v>2019/20</v>
      </c>
    </row>
    <row r="21" spans="1:9" x14ac:dyDescent="0.3">
      <c r="A21" s="16" t="s">
        <v>1185</v>
      </c>
      <c r="B21" s="16" t="s">
        <v>56</v>
      </c>
      <c r="C21" s="43"/>
      <c r="D21" s="16"/>
      <c r="E21" s="16">
        <v>1</v>
      </c>
      <c r="F21" s="16">
        <v>1</v>
      </c>
      <c r="G21" s="16">
        <v>1</v>
      </c>
      <c r="H21" s="16">
        <v>1</v>
      </c>
      <c r="I21" s="16">
        <v>1</v>
      </c>
    </row>
    <row r="22" spans="1:9" ht="15" x14ac:dyDescent="0.25">
      <c r="A22" s="8" t="s">
        <v>1646</v>
      </c>
      <c r="C22" s="39"/>
    </row>
    <row r="23" spans="1:9" ht="15" x14ac:dyDescent="0.25">
      <c r="A23" s="14" t="s">
        <v>1658</v>
      </c>
      <c r="B23" s="15">
        <f>APATechnicianHours/C14</f>
        <v>0.5</v>
      </c>
      <c r="C23" s="14" t="s">
        <v>1677</v>
      </c>
    </row>
    <row r="24" spans="1:9" ht="15" x14ac:dyDescent="0.25">
      <c r="A24" s="14" t="s">
        <v>1997</v>
      </c>
      <c r="B24" s="15">
        <f>1+(APASupervisorHours/C14)</f>
        <v>5.291666666666667</v>
      </c>
      <c r="C24" s="14" t="s">
        <v>2201</v>
      </c>
    </row>
    <row r="25" spans="1:9" ht="15" x14ac:dyDescent="0.25">
      <c r="A25" s="14" t="s">
        <v>1643</v>
      </c>
      <c r="B25" s="55">
        <v>0</v>
      </c>
      <c r="C25" s="7"/>
    </row>
    <row r="26" spans="1:9" ht="15" x14ac:dyDescent="0.25">
      <c r="A26" s="14"/>
      <c r="B26" s="41"/>
      <c r="C26" s="14"/>
    </row>
    <row r="27" spans="1:9" ht="15" x14ac:dyDescent="0.25">
      <c r="A27" s="42" t="s">
        <v>1647</v>
      </c>
      <c r="B27" s="7"/>
      <c r="C27" s="14"/>
    </row>
    <row r="28" spans="1:9" ht="15" x14ac:dyDescent="0.25">
      <c r="A28" s="14" t="s">
        <v>1656</v>
      </c>
      <c r="B28" s="7"/>
      <c r="C28" s="14"/>
    </row>
    <row r="29" spans="1:9" ht="15" x14ac:dyDescent="0.25">
      <c r="A29" s="14" t="s">
        <v>1651</v>
      </c>
      <c r="B29" s="41"/>
      <c r="C29" s="14"/>
    </row>
    <row r="30" spans="1:9" ht="15" x14ac:dyDescent="0.25">
      <c r="A30" s="14" t="s">
        <v>1649</v>
      </c>
      <c r="B30" s="55">
        <f>3000/C14</f>
        <v>1500</v>
      </c>
      <c r="C30" s="15" t="s">
        <v>3316</v>
      </c>
    </row>
    <row r="31" spans="1:9" x14ac:dyDescent="0.3">
      <c r="A31" s="14" t="s">
        <v>1650</v>
      </c>
      <c r="B31" s="55">
        <f>2000/C14</f>
        <v>1000</v>
      </c>
      <c r="C31" s="15" t="s">
        <v>3317</v>
      </c>
    </row>
    <row r="33" spans="1:9" x14ac:dyDescent="0.3">
      <c r="A33" s="14"/>
      <c r="B33" s="46" t="s">
        <v>2712</v>
      </c>
      <c r="C33" s="46" t="s">
        <v>2720</v>
      </c>
      <c r="D33" s="30" t="s">
        <v>1655</v>
      </c>
      <c r="E33" s="30" t="str">
        <f>Summary!C4</f>
        <v>2015/16</v>
      </c>
      <c r="F33" s="30" t="str">
        <f>Summary!D4</f>
        <v>2016/17</v>
      </c>
      <c r="G33" s="30" t="str">
        <f>Summary!E4</f>
        <v>2017/18</v>
      </c>
      <c r="H33" s="30" t="str">
        <f>Summary!F4</f>
        <v>2018/19</v>
      </c>
      <c r="I33" s="30" t="str">
        <f>Summary!G4</f>
        <v>2019/20</v>
      </c>
    </row>
    <row r="34" spans="1:9" x14ac:dyDescent="0.3">
      <c r="A34" s="14" t="s">
        <v>1648</v>
      </c>
      <c r="B34" s="40">
        <f>B23*HourlyRateAPAMaintenanceStaff+B24*HourlyRateAPAOMSupervisor</f>
        <v>721.63800000000003</v>
      </c>
      <c r="C34" s="40">
        <f>B34*$C$14</f>
        <v>1443.2760000000001</v>
      </c>
      <c r="D34" s="40">
        <f>C34*SUMPRODUCT(LabourAdjustmentFactor,E$21:I$21)</f>
        <v>7775.9911145851165</v>
      </c>
      <c r="E34" s="40">
        <f>$C34*E$21*'Modelling Assumptions'!E$101</f>
        <v>1479.3579</v>
      </c>
      <c r="F34" s="40">
        <f>$C34*F$21*'Modelling Assumptions'!F$101</f>
        <v>1516.3418474999999</v>
      </c>
      <c r="G34" s="40">
        <f>$C34*G$21*'Modelling Assumptions'!G$101</f>
        <v>1554.2503936874998</v>
      </c>
      <c r="H34" s="40">
        <f>$C34*H$21*'Modelling Assumptions'!H$101</f>
        <v>1593.1066535296873</v>
      </c>
      <c r="I34" s="40">
        <f>$C34*I$21*'Modelling Assumptions'!I$101</f>
        <v>1632.9343198679292</v>
      </c>
    </row>
    <row r="35" spans="1:9" x14ac:dyDescent="0.3">
      <c r="A35" s="14" t="s">
        <v>1643</v>
      </c>
      <c r="B35" s="40">
        <f>B25</f>
        <v>0</v>
      </c>
      <c r="C35" s="40">
        <f t="shared" ref="C35:C37" si="1">B35*$C$14</f>
        <v>0</v>
      </c>
      <c r="D35" s="40">
        <f>C35*SUMPRODUCT(MaterialsAdjustmentFactor,E$21:I$21)</f>
        <v>0</v>
      </c>
      <c r="E35" s="47">
        <f>$C35*E$21*'Modelling Assumptions'!E$102</f>
        <v>0</v>
      </c>
      <c r="F35" s="47">
        <f>$C35*F$21*'Modelling Assumptions'!F$102</f>
        <v>0</v>
      </c>
      <c r="G35" s="47">
        <f>$C35*G$21*'Modelling Assumptions'!G$102</f>
        <v>0</v>
      </c>
      <c r="H35" s="47">
        <f>$C35*H$21*'Modelling Assumptions'!H$102</f>
        <v>0</v>
      </c>
      <c r="I35" s="47">
        <f>$C35*I$21*'Modelling Assumptions'!I$102</f>
        <v>0</v>
      </c>
    </row>
    <row r="36" spans="1:9" x14ac:dyDescent="0.3">
      <c r="A36" s="14" t="s">
        <v>1649</v>
      </c>
      <c r="B36" s="40">
        <f>B30</f>
        <v>1500</v>
      </c>
      <c r="C36" s="40">
        <f t="shared" si="1"/>
        <v>3000</v>
      </c>
      <c r="D36" s="40">
        <f>C36*SUMPRODUCT(LabourAdjustmentFactor,E$21:I$21)</f>
        <v>16163.210185546872</v>
      </c>
      <c r="E36" s="40">
        <f>$C36*E$21*'Modelling Assumptions'!E$101</f>
        <v>3074.9999999999995</v>
      </c>
      <c r="F36" s="40">
        <f>$C36*F$21*'Modelling Assumptions'!F$101</f>
        <v>3151.8749999999995</v>
      </c>
      <c r="G36" s="40">
        <f>$C36*G$21*'Modelling Assumptions'!G$101</f>
        <v>3230.6718749999995</v>
      </c>
      <c r="H36" s="40">
        <f>$C36*H$21*'Modelling Assumptions'!H$101</f>
        <v>3311.4386718749993</v>
      </c>
      <c r="I36" s="40">
        <f>$C36*I$21*'Modelling Assumptions'!I$101</f>
        <v>3394.2246386718739</v>
      </c>
    </row>
    <row r="37" spans="1:9" x14ac:dyDescent="0.3">
      <c r="A37" s="14" t="s">
        <v>1650</v>
      </c>
      <c r="B37" s="40">
        <f>B31</f>
        <v>1000</v>
      </c>
      <c r="C37" s="40">
        <f t="shared" si="1"/>
        <v>2000</v>
      </c>
      <c r="D37" s="40">
        <f>C37*SUMPRODUCT(MaterialsAdjustmentFactor,E$21:I$21)</f>
        <v>10936.8197686</v>
      </c>
      <c r="E37" s="40">
        <f>$C37*E$21*'Modelling Assumptions'!E$102</f>
        <v>2060</v>
      </c>
      <c r="F37" s="40">
        <f>$C37*F$21*'Modelling Assumptions'!F$102</f>
        <v>2121.7999999999997</v>
      </c>
      <c r="G37" s="40">
        <f>$C37*G$21*'Modelling Assumptions'!G$102</f>
        <v>2185.4540000000002</v>
      </c>
      <c r="H37" s="40">
        <f>$C37*H$21*'Modelling Assumptions'!H$102</f>
        <v>2251.0176199999996</v>
      </c>
      <c r="I37" s="40">
        <f>$C37*I$21*'Modelling Assumptions'!I$102</f>
        <v>2318.5481485999999</v>
      </c>
    </row>
    <row r="40" spans="1:9" x14ac:dyDescent="0.3">
      <c r="A40" s="10" t="s">
        <v>1641</v>
      </c>
      <c r="B40" s="44"/>
      <c r="C40" s="44"/>
      <c r="D40" s="10"/>
      <c r="E40" s="10"/>
      <c r="F40" s="10"/>
      <c r="G40" s="10"/>
      <c r="H40" s="10"/>
      <c r="I40" s="10"/>
    </row>
    <row r="41" spans="1:9" x14ac:dyDescent="0.3">
      <c r="A41" t="s">
        <v>3</v>
      </c>
      <c r="B41" t="s">
        <v>2</v>
      </c>
      <c r="C41" t="s">
        <v>1</v>
      </c>
    </row>
    <row r="42" spans="1:9" x14ac:dyDescent="0.3">
      <c r="A42" t="s">
        <v>1185</v>
      </c>
      <c r="B42" t="s">
        <v>56</v>
      </c>
    </row>
    <row r="43" spans="1:9" x14ac:dyDescent="0.3">
      <c r="A43" t="s">
        <v>208</v>
      </c>
      <c r="B43" t="s">
        <v>207</v>
      </c>
      <c r="C43" t="s">
        <v>200</v>
      </c>
      <c r="D43" t="s">
        <v>206</v>
      </c>
      <c r="E43">
        <v>1</v>
      </c>
      <c r="F43">
        <v>1</v>
      </c>
      <c r="G43">
        <v>1</v>
      </c>
      <c r="H43">
        <v>1</v>
      </c>
    </row>
    <row r="44" spans="1:9" x14ac:dyDescent="0.3">
      <c r="A44" t="s">
        <v>208</v>
      </c>
      <c r="B44" t="s">
        <v>207</v>
      </c>
      <c r="C44" t="s">
        <v>260</v>
      </c>
      <c r="D44" t="s">
        <v>264</v>
      </c>
      <c r="E44">
        <v>1</v>
      </c>
      <c r="F44">
        <v>1</v>
      </c>
      <c r="G44">
        <v>1</v>
      </c>
      <c r="H44">
        <v>1</v>
      </c>
    </row>
    <row r="45" spans="1:9" x14ac:dyDescent="0.3">
      <c r="A45" t="s">
        <v>208</v>
      </c>
      <c r="B45" t="s">
        <v>207</v>
      </c>
      <c r="C45" t="s">
        <v>303</v>
      </c>
      <c r="D45" t="s">
        <v>307</v>
      </c>
      <c r="E45">
        <v>1</v>
      </c>
      <c r="F45">
        <v>1</v>
      </c>
      <c r="G45">
        <v>1</v>
      </c>
      <c r="H45">
        <v>1</v>
      </c>
    </row>
    <row r="46" spans="1:9" x14ac:dyDescent="0.3">
      <c r="A46" t="s">
        <v>208</v>
      </c>
      <c r="B46" t="s">
        <v>207</v>
      </c>
      <c r="C46" t="s">
        <v>405</v>
      </c>
      <c r="D46" t="s">
        <v>409</v>
      </c>
      <c r="E46">
        <v>1</v>
      </c>
      <c r="F46">
        <v>1</v>
      </c>
      <c r="G46">
        <v>1</v>
      </c>
      <c r="H46">
        <v>1</v>
      </c>
    </row>
    <row r="47" spans="1:9" x14ac:dyDescent="0.3">
      <c r="A47" t="s">
        <v>208</v>
      </c>
      <c r="B47" t="s">
        <v>207</v>
      </c>
      <c r="C47" t="s">
        <v>448</v>
      </c>
      <c r="D47" t="s">
        <v>452</v>
      </c>
      <c r="E47">
        <v>1</v>
      </c>
      <c r="F47">
        <v>1</v>
      </c>
      <c r="G47">
        <v>1</v>
      </c>
      <c r="H47">
        <v>1</v>
      </c>
    </row>
    <row r="48" spans="1:9" x14ac:dyDescent="0.3">
      <c r="A48" t="s">
        <v>208</v>
      </c>
      <c r="B48" t="s">
        <v>207</v>
      </c>
      <c r="C48" t="s">
        <v>491</v>
      </c>
      <c r="D48" t="s">
        <v>495</v>
      </c>
      <c r="E48">
        <v>1</v>
      </c>
      <c r="F48">
        <v>1</v>
      </c>
      <c r="G48">
        <v>1</v>
      </c>
      <c r="H48">
        <v>1</v>
      </c>
    </row>
    <row r="54" spans="1:5" x14ac:dyDescent="0.3">
      <c r="A54" t="s">
        <v>1098</v>
      </c>
      <c r="B54" t="s">
        <v>532</v>
      </c>
    </row>
    <row r="55" spans="1:5" x14ac:dyDescent="0.3">
      <c r="A55" t="s">
        <v>1186</v>
      </c>
      <c r="B55" t="s">
        <v>1100</v>
      </c>
      <c r="C55" t="s">
        <v>1101</v>
      </c>
      <c r="D55" s="29">
        <v>41508.618750000001</v>
      </c>
      <c r="E55" t="s">
        <v>1115</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C8C800"/>
    <pageSetUpPr fitToPage="1"/>
  </sheetPr>
  <dimension ref="A1:I113"/>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9.109375" customWidth="1"/>
  </cols>
  <sheetData>
    <row r="1" spans="1:9" x14ac:dyDescent="0.3">
      <c r="A1" t="s">
        <v>1642</v>
      </c>
      <c r="B1" t="s">
        <v>220</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42190.318971926281</v>
      </c>
      <c r="E3" s="33">
        <f>E33+E52+E72</f>
        <v>8514.1122750000013</v>
      </c>
      <c r="F3" s="33">
        <f t="shared" ref="F3:I3" si="0">F33+F52+F72</f>
        <v>7477.2718593749996</v>
      </c>
      <c r="G3" s="33">
        <f t="shared" si="0"/>
        <v>8945.1392089218753</v>
      </c>
      <c r="H3" s="33">
        <f t="shared" si="0"/>
        <v>7855.8087472558582</v>
      </c>
      <c r="I3" s="33">
        <f t="shared" si="0"/>
        <v>9397.9868813735429</v>
      </c>
    </row>
    <row r="4" spans="1:9" ht="15" x14ac:dyDescent="0.25">
      <c r="A4" t="s">
        <v>1643</v>
      </c>
      <c r="B4" s="33"/>
      <c r="C4" s="33"/>
      <c r="D4" s="33">
        <f t="shared" ref="D4:D6" si="1">SUM(E4:I4)</f>
        <v>48245.415792209998</v>
      </c>
      <c r="E4" s="33">
        <f t="shared" ref="E4:I4" si="2">E34+E53+E73</f>
        <v>15141</v>
      </c>
      <c r="F4" s="33">
        <f t="shared" si="2"/>
        <v>0</v>
      </c>
      <c r="G4" s="33">
        <f t="shared" si="2"/>
        <v>16063.0869</v>
      </c>
      <c r="H4" s="33">
        <f t="shared" si="2"/>
        <v>0</v>
      </c>
      <c r="I4" s="33">
        <f t="shared" si="2"/>
        <v>17041.328892209996</v>
      </c>
    </row>
    <row r="5" spans="1:9" ht="15" x14ac:dyDescent="0.25">
      <c r="A5" t="s">
        <v>1649</v>
      </c>
      <c r="B5" s="33"/>
      <c r="C5" s="33"/>
      <c r="D5" s="33">
        <f t="shared" si="1"/>
        <v>66201.793705810531</v>
      </c>
      <c r="E5" s="33">
        <f t="shared" ref="E5:I5" si="3">E35+E54+E74</f>
        <v>20986.874999999996</v>
      </c>
      <c r="F5" s="33">
        <f t="shared" si="3"/>
        <v>0</v>
      </c>
      <c r="G5" s="33">
        <f t="shared" si="3"/>
        <v>22049.335546874994</v>
      </c>
      <c r="H5" s="33">
        <f t="shared" si="3"/>
        <v>0</v>
      </c>
      <c r="I5" s="33">
        <f t="shared" si="3"/>
        <v>23165.58315893554</v>
      </c>
    </row>
    <row r="6" spans="1:9" ht="15" x14ac:dyDescent="0.25">
      <c r="A6" t="s">
        <v>1650</v>
      </c>
      <c r="B6" s="33"/>
      <c r="C6" s="33"/>
      <c r="D6" s="33">
        <f t="shared" si="1"/>
        <v>0</v>
      </c>
      <c r="E6" s="33">
        <f t="shared" ref="E6:I6" si="4">E36+E55+E75</f>
        <v>0</v>
      </c>
      <c r="F6" s="33">
        <f t="shared" si="4"/>
        <v>0</v>
      </c>
      <c r="G6" s="33">
        <f t="shared" si="4"/>
        <v>0</v>
      </c>
      <c r="H6" s="33">
        <f t="shared" si="4"/>
        <v>0</v>
      </c>
      <c r="I6" s="33">
        <f t="shared" si="4"/>
        <v>0</v>
      </c>
    </row>
    <row r="9" spans="1:9" ht="15" x14ac:dyDescent="0.25">
      <c r="A9" t="s">
        <v>1497</v>
      </c>
      <c r="B9" t="s">
        <v>1498</v>
      </c>
    </row>
    <row r="10" spans="1:9" ht="15" x14ac:dyDescent="0.25">
      <c r="A10" t="s">
        <v>1500</v>
      </c>
      <c r="B10" s="14" t="s">
        <v>3098</v>
      </c>
    </row>
    <row r="12" spans="1:9" ht="15" x14ac:dyDescent="0.25">
      <c r="A12" t="s">
        <v>1747</v>
      </c>
    </row>
    <row r="13" spans="1:9" ht="15" x14ac:dyDescent="0.25">
      <c r="B13" s="39" t="s">
        <v>1746</v>
      </c>
      <c r="C13" s="39">
        <f>35*6</f>
        <v>210</v>
      </c>
      <c r="D13" t="s">
        <v>2704</v>
      </c>
    </row>
    <row r="14" spans="1:9" ht="15" x14ac:dyDescent="0.25">
      <c r="A14" s="12" t="s">
        <v>1640</v>
      </c>
      <c r="B14" s="12"/>
      <c r="C14" s="12">
        <f>SUM(C12:C13)</f>
        <v>210</v>
      </c>
    </row>
    <row r="16" spans="1:9" ht="15" x14ac:dyDescent="0.25">
      <c r="A16" s="38" t="s">
        <v>2065</v>
      </c>
      <c r="B16" s="38"/>
      <c r="C16" s="38"/>
    </row>
    <row r="17" spans="1:9" ht="15" x14ac:dyDescent="0.25">
      <c r="A17" s="38" t="s">
        <v>2133</v>
      </c>
      <c r="B17" s="38"/>
      <c r="C17" s="38" t="s">
        <v>2135</v>
      </c>
    </row>
    <row r="18" spans="1:9" ht="15" x14ac:dyDescent="0.25">
      <c r="A18" s="38" t="s">
        <v>2134</v>
      </c>
      <c r="B18" s="38"/>
      <c r="C18" s="38" t="s">
        <v>2136</v>
      </c>
    </row>
    <row r="19" spans="1:9" ht="15" x14ac:dyDescent="0.25">
      <c r="E19" s="30" t="str">
        <f>Summary!C4</f>
        <v>2015/16</v>
      </c>
      <c r="F19" s="30" t="str">
        <f>Summary!D4</f>
        <v>2016/17</v>
      </c>
      <c r="G19" s="30" t="str">
        <f>Summary!E4</f>
        <v>2017/18</v>
      </c>
      <c r="H19" s="30" t="str">
        <f>Summary!F4</f>
        <v>2018/19</v>
      </c>
      <c r="I19" s="30" t="str">
        <f>Summary!G4</f>
        <v>2019/20</v>
      </c>
    </row>
    <row r="20" spans="1:9" x14ac:dyDescent="0.3">
      <c r="A20" s="68" t="s">
        <v>2147</v>
      </c>
      <c r="B20" s="16" t="s">
        <v>2148</v>
      </c>
      <c r="C20" s="43" t="s">
        <v>2149</v>
      </c>
      <c r="D20" s="16"/>
      <c r="E20" s="16">
        <v>4</v>
      </c>
      <c r="F20" s="16">
        <v>4</v>
      </c>
      <c r="G20" s="16">
        <v>4</v>
      </c>
      <c r="H20" s="16">
        <v>4</v>
      </c>
      <c r="I20" s="16">
        <v>4</v>
      </c>
    </row>
    <row r="21" spans="1:9" ht="15" x14ac:dyDescent="0.25">
      <c r="A21" s="8" t="s">
        <v>1646</v>
      </c>
      <c r="C21" s="39"/>
    </row>
    <row r="22" spans="1:9" ht="15" x14ac:dyDescent="0.25">
      <c r="A22" s="14" t="s">
        <v>1658</v>
      </c>
      <c r="B22" s="74">
        <f>1/60</f>
        <v>1.6666666666666666E-2</v>
      </c>
      <c r="C22" s="14" t="s">
        <v>2152</v>
      </c>
    </row>
    <row r="23" spans="1:9" ht="15" x14ac:dyDescent="0.25">
      <c r="A23" s="14" t="s">
        <v>1997</v>
      </c>
      <c r="B23" s="74">
        <f>2/$C$14</f>
        <v>9.5238095238095247E-3</v>
      </c>
      <c r="C23" s="14" t="s">
        <v>2132</v>
      </c>
    </row>
    <row r="24" spans="1:9" ht="15" x14ac:dyDescent="0.25">
      <c r="A24" s="14" t="s">
        <v>1643</v>
      </c>
      <c r="B24" s="55">
        <v>0</v>
      </c>
      <c r="C24" s="14"/>
    </row>
    <row r="25" spans="1:9" ht="15" x14ac:dyDescent="0.25">
      <c r="A25" s="14"/>
      <c r="B25" s="55"/>
      <c r="C25" s="14"/>
    </row>
    <row r="26" spans="1:9" ht="15" x14ac:dyDescent="0.25">
      <c r="A26" s="42" t="s">
        <v>1647</v>
      </c>
      <c r="B26" s="15"/>
      <c r="C26" s="14"/>
    </row>
    <row r="27" spans="1:9" ht="15" x14ac:dyDescent="0.25">
      <c r="A27" s="14" t="s">
        <v>1656</v>
      </c>
      <c r="B27" s="15"/>
      <c r="C27" s="14"/>
    </row>
    <row r="28" spans="1:9" ht="15" x14ac:dyDescent="0.25">
      <c r="A28" s="14" t="s">
        <v>1651</v>
      </c>
      <c r="B28" s="55"/>
      <c r="C28" s="14"/>
    </row>
    <row r="29" spans="1:9" ht="15" x14ac:dyDescent="0.25">
      <c r="A29" s="14" t="s">
        <v>1649</v>
      </c>
      <c r="B29" s="55">
        <v>0</v>
      </c>
      <c r="C29" s="14"/>
    </row>
    <row r="30" spans="1:9" ht="15" x14ac:dyDescent="0.25">
      <c r="A30" s="14" t="s">
        <v>1650</v>
      </c>
      <c r="B30" s="55">
        <v>0</v>
      </c>
      <c r="C30" s="7"/>
    </row>
    <row r="32" spans="1:9" x14ac:dyDescent="0.3">
      <c r="A32" s="14"/>
      <c r="B32" s="46" t="s">
        <v>2712</v>
      </c>
      <c r="C32" s="46" t="s">
        <v>2720</v>
      </c>
      <c r="D32" s="30" t="s">
        <v>1655</v>
      </c>
      <c r="E32" s="30" t="str">
        <f>Summary!C4</f>
        <v>2015/16</v>
      </c>
      <c r="F32" s="30" t="str">
        <f>Summary!D4</f>
        <v>2016/17</v>
      </c>
      <c r="G32" s="30" t="str">
        <f>Summary!E4</f>
        <v>2017/18</v>
      </c>
      <c r="H32" s="30" t="str">
        <f>Summary!F4</f>
        <v>2018/19</v>
      </c>
      <c r="I32" s="30" t="str">
        <f>Summary!G4</f>
        <v>2019/20</v>
      </c>
    </row>
    <row r="33" spans="1:9" x14ac:dyDescent="0.3">
      <c r="A33" s="14" t="s">
        <v>1648</v>
      </c>
      <c r="B33" s="40">
        <f>B22*HourlyRateAPAMaintenanceStaff+B23*HourlyRateAPAOMSupervisor</f>
        <v>2.8794214285714288</v>
      </c>
      <c r="C33" s="40">
        <f>B33*$C$14</f>
        <v>604.6785000000001</v>
      </c>
      <c r="D33" s="40">
        <f>SUM(E33:I33)</f>
        <v>13031.394253574943</v>
      </c>
      <c r="E33" s="40">
        <f>$C33*E$20*'Modelling Assumptions'!E$101</f>
        <v>2479.1818500000004</v>
      </c>
      <c r="F33" s="40">
        <f>$C33*F$20*'Modelling Assumptions'!F$101</f>
        <v>2541.1613962500001</v>
      </c>
      <c r="G33" s="40">
        <f>$C33*G$20*'Modelling Assumptions'!G$101</f>
        <v>2604.6904311562503</v>
      </c>
      <c r="H33" s="40">
        <f>$C33*H$20*'Modelling Assumptions'!H$101</f>
        <v>2669.8076919351561</v>
      </c>
      <c r="I33" s="40">
        <f>$C33*I$20*'Modelling Assumptions'!I$101</f>
        <v>2736.5528842335348</v>
      </c>
    </row>
    <row r="34" spans="1:9" x14ac:dyDescent="0.3">
      <c r="A34" s="14" t="s">
        <v>1643</v>
      </c>
      <c r="B34" s="40">
        <f>B24</f>
        <v>0</v>
      </c>
      <c r="C34" s="40">
        <f t="shared" ref="C34:C36" si="5">B34*$C$14</f>
        <v>0</v>
      </c>
      <c r="D34" s="40">
        <f t="shared" ref="D34:D36" si="6">SUM(E34:I34)</f>
        <v>0</v>
      </c>
      <c r="E34" s="40">
        <f>$C34*E$59*'Modelling Assumptions'!E$102</f>
        <v>0</v>
      </c>
      <c r="F34" s="40">
        <f>$C34*F$59*'Modelling Assumptions'!F$102</f>
        <v>0</v>
      </c>
      <c r="G34" s="40">
        <f>$C34*G$59*'Modelling Assumptions'!G$102</f>
        <v>0</v>
      </c>
      <c r="H34" s="40">
        <f>$C34*H$59*'Modelling Assumptions'!H$102</f>
        <v>0</v>
      </c>
      <c r="I34" s="40">
        <f>$C34*I$59*'Modelling Assumptions'!I$102</f>
        <v>0</v>
      </c>
    </row>
    <row r="35" spans="1:9" x14ac:dyDescent="0.3">
      <c r="A35" s="14" t="s">
        <v>1649</v>
      </c>
      <c r="B35" s="40">
        <f>B29</f>
        <v>0</v>
      </c>
      <c r="C35" s="40">
        <f t="shared" si="5"/>
        <v>0</v>
      </c>
      <c r="D35" s="40">
        <f t="shared" si="6"/>
        <v>0</v>
      </c>
      <c r="E35" s="40">
        <f>$C35*E$59*'Modelling Assumptions'!E$101</f>
        <v>0</v>
      </c>
      <c r="F35" s="40">
        <f>$C35*F$59*'Modelling Assumptions'!F$101</f>
        <v>0</v>
      </c>
      <c r="G35" s="40">
        <f>$C35*G$59*'Modelling Assumptions'!G$101</f>
        <v>0</v>
      </c>
      <c r="H35" s="40">
        <f>$C35*H$59*'Modelling Assumptions'!H$101</f>
        <v>0</v>
      </c>
      <c r="I35" s="40">
        <f>$C35*I$59*'Modelling Assumptions'!I$101</f>
        <v>0</v>
      </c>
    </row>
    <row r="36" spans="1:9" x14ac:dyDescent="0.3">
      <c r="A36" s="14" t="s">
        <v>1650</v>
      </c>
      <c r="B36" s="40">
        <f>B30</f>
        <v>0</v>
      </c>
      <c r="C36" s="40">
        <f t="shared" si="5"/>
        <v>0</v>
      </c>
      <c r="D36" s="40">
        <f t="shared" si="6"/>
        <v>0</v>
      </c>
      <c r="E36" s="40">
        <f>$C36*E$59*'Modelling Assumptions'!E$102</f>
        <v>0</v>
      </c>
      <c r="F36" s="40">
        <f>$C36*F$59*'Modelling Assumptions'!F$102</f>
        <v>0</v>
      </c>
      <c r="G36" s="40">
        <f>$C36*G$59*'Modelling Assumptions'!G$102</f>
        <v>0</v>
      </c>
      <c r="H36" s="40">
        <f>$C36*H$59*'Modelling Assumptions'!H$102</f>
        <v>0</v>
      </c>
      <c r="I36" s="40">
        <f>$C36*I$59*'Modelling Assumptions'!I$102</f>
        <v>0</v>
      </c>
    </row>
    <row r="38" spans="1:9" ht="16.5" customHeight="1" x14ac:dyDescent="0.3">
      <c r="E38" s="30" t="str">
        <f>Summary!C4</f>
        <v>2015/16</v>
      </c>
      <c r="F38" s="30" t="str">
        <f>Summary!D4</f>
        <v>2016/17</v>
      </c>
      <c r="G38" s="30" t="str">
        <f>Summary!E4</f>
        <v>2017/18</v>
      </c>
      <c r="H38" s="30" t="str">
        <f>Summary!F4</f>
        <v>2018/19</v>
      </c>
      <c r="I38" s="30" t="str">
        <f>Summary!G4</f>
        <v>2019/20</v>
      </c>
    </row>
    <row r="39" spans="1:9" x14ac:dyDescent="0.3">
      <c r="A39" s="68" t="s">
        <v>2150</v>
      </c>
      <c r="B39" s="16" t="s">
        <v>56</v>
      </c>
      <c r="C39" s="43" t="s">
        <v>2151</v>
      </c>
      <c r="D39" s="16"/>
      <c r="E39" s="16">
        <v>1</v>
      </c>
      <c r="F39" s="16">
        <v>1</v>
      </c>
      <c r="G39" s="16">
        <v>1</v>
      </c>
      <c r="H39" s="16">
        <v>1</v>
      </c>
      <c r="I39" s="16">
        <v>1</v>
      </c>
    </row>
    <row r="40" spans="1:9" x14ac:dyDescent="0.3">
      <c r="A40" s="8" t="s">
        <v>1646</v>
      </c>
      <c r="C40" s="39"/>
    </row>
    <row r="41" spans="1:9" x14ac:dyDescent="0.3">
      <c r="A41" s="14" t="s">
        <v>1658</v>
      </c>
      <c r="B41" s="74">
        <f>APATechnicianHours/C14+10/60</f>
        <v>0.17142857142857143</v>
      </c>
      <c r="C41" s="14" t="s">
        <v>2153</v>
      </c>
    </row>
    <row r="42" spans="1:9" x14ac:dyDescent="0.3">
      <c r="A42" s="14" t="s">
        <v>1997</v>
      </c>
      <c r="B42" s="74">
        <f>APASupervisorHours/$C$14</f>
        <v>4.0873015873015874E-2</v>
      </c>
      <c r="C42" s="14" t="s">
        <v>2132</v>
      </c>
    </row>
    <row r="43" spans="1:9" x14ac:dyDescent="0.3">
      <c r="A43" s="14" t="s">
        <v>1643</v>
      </c>
      <c r="B43" s="40">
        <f>B82+B88</f>
        <v>70</v>
      </c>
      <c r="C43" s="14" t="s">
        <v>2705</v>
      </c>
    </row>
    <row r="44" spans="1:9" x14ac:dyDescent="0.3">
      <c r="A44" s="14"/>
      <c r="B44" s="55"/>
      <c r="C44" s="14"/>
    </row>
    <row r="45" spans="1:9" x14ac:dyDescent="0.3">
      <c r="A45" s="42" t="s">
        <v>1647</v>
      </c>
      <c r="B45" s="15"/>
      <c r="C45" s="14"/>
    </row>
    <row r="46" spans="1:9" x14ac:dyDescent="0.3">
      <c r="A46" s="14" t="s">
        <v>1656</v>
      </c>
      <c r="B46" s="15">
        <f>B84+B90</f>
        <v>0.8</v>
      </c>
      <c r="C46" s="14" t="s">
        <v>2349</v>
      </c>
    </row>
    <row r="47" spans="1:9" x14ac:dyDescent="0.3">
      <c r="A47" s="14" t="s">
        <v>1651</v>
      </c>
      <c r="B47" s="55">
        <f>ElectricalContractorHourlyRate</f>
        <v>75</v>
      </c>
      <c r="C47" s="14" t="s">
        <v>1721</v>
      </c>
    </row>
    <row r="48" spans="1:9" x14ac:dyDescent="0.3">
      <c r="A48" s="14" t="s">
        <v>1649</v>
      </c>
      <c r="B48" s="55">
        <f>B46*B47</f>
        <v>60</v>
      </c>
      <c r="C48" s="14"/>
    </row>
    <row r="49" spans="1:9" x14ac:dyDescent="0.3">
      <c r="A49" s="14" t="s">
        <v>1650</v>
      </c>
      <c r="B49" s="55">
        <v>0</v>
      </c>
      <c r="C49" s="7"/>
    </row>
    <row r="51" spans="1:9" x14ac:dyDescent="0.3">
      <c r="A51" s="14"/>
      <c r="B51" s="46" t="s">
        <v>2712</v>
      </c>
      <c r="C51" s="46" t="s">
        <v>2720</v>
      </c>
      <c r="D51" s="30" t="s">
        <v>1655</v>
      </c>
      <c r="E51" s="30" t="str">
        <f>Summary!C4</f>
        <v>2015/16</v>
      </c>
      <c r="F51" s="30" t="str">
        <f>Summary!D4</f>
        <v>2016/17</v>
      </c>
      <c r="G51" s="30" t="str">
        <f>Summary!E4</f>
        <v>2017/18</v>
      </c>
      <c r="H51" s="30" t="str">
        <f>Summary!F4</f>
        <v>2018/19</v>
      </c>
      <c r="I51" s="30" t="str">
        <f>Summary!G4</f>
        <v>2019/20</v>
      </c>
    </row>
    <row r="52" spans="1:9" x14ac:dyDescent="0.3">
      <c r="A52" s="14" t="s">
        <v>1648</v>
      </c>
      <c r="B52" s="40">
        <f>B41*HourlyRateAPAMaintenanceStaff+B42*HourlyRateAPAOMSupervisor</f>
        <v>22.372671428571429</v>
      </c>
      <c r="C52" s="40">
        <f>B52*$C$14</f>
        <v>4698.2610000000004</v>
      </c>
      <c r="D52" s="40">
        <f>SUM(E52:I52)</f>
        <v>25312.993349852546</v>
      </c>
      <c r="E52" s="40">
        <f>$C52*E$39*'Modelling Assumptions'!E$101</f>
        <v>4815.717525</v>
      </c>
      <c r="F52" s="40">
        <f>$C52*F$39*'Modelling Assumptions'!F$101</f>
        <v>4936.110463125</v>
      </c>
      <c r="G52" s="40">
        <f>$C52*G$39*'Modelling Assumptions'!G$101</f>
        <v>5059.5132247031252</v>
      </c>
      <c r="H52" s="40">
        <f>$C52*H$39*'Modelling Assumptions'!H$101</f>
        <v>5186.0010553207021</v>
      </c>
      <c r="I52" s="40">
        <f>$C52*I$39*'Modelling Assumptions'!I$101</f>
        <v>5315.6510817037197</v>
      </c>
    </row>
    <row r="53" spans="1:9" x14ac:dyDescent="0.3">
      <c r="A53" s="14" t="s">
        <v>1643</v>
      </c>
      <c r="B53" s="40">
        <f>B43</f>
        <v>70</v>
      </c>
      <c r="C53" s="40">
        <f t="shared" ref="C53:C55" si="7">B53*$C$14</f>
        <v>14700</v>
      </c>
      <c r="D53" s="40">
        <f>SUM(E53:I53)</f>
        <v>48245.415792209998</v>
      </c>
      <c r="E53" s="40">
        <f>$C53*E$59*'Modelling Assumptions'!E$102</f>
        <v>15141</v>
      </c>
      <c r="F53" s="40">
        <f>$C53*F$59*'Modelling Assumptions'!F$102</f>
        <v>0</v>
      </c>
      <c r="G53" s="40">
        <f>$C53*G$59*'Modelling Assumptions'!G$102</f>
        <v>16063.0869</v>
      </c>
      <c r="H53" s="40">
        <f>$C53*H$59*'Modelling Assumptions'!H$102</f>
        <v>0</v>
      </c>
      <c r="I53" s="40">
        <f>$C53*I$59*'Modelling Assumptions'!I$102</f>
        <v>17041.328892209996</v>
      </c>
    </row>
    <row r="54" spans="1:9" x14ac:dyDescent="0.3">
      <c r="A54" s="14" t="s">
        <v>1649</v>
      </c>
      <c r="B54" s="40">
        <f>B48</f>
        <v>60</v>
      </c>
      <c r="C54" s="40">
        <f t="shared" si="7"/>
        <v>12600</v>
      </c>
      <c r="D54" s="40">
        <f t="shared" ref="D54:D55" si="8">SUM(E54:I54)</f>
        <v>40739.565357421867</v>
      </c>
      <c r="E54" s="40">
        <f>$C54*E$59*'Modelling Assumptions'!E$101</f>
        <v>12914.999999999998</v>
      </c>
      <c r="F54" s="40">
        <f>$C54*F$59*'Modelling Assumptions'!F$101</f>
        <v>0</v>
      </c>
      <c r="G54" s="40">
        <f>$C54*G$59*'Modelling Assumptions'!G$101</f>
        <v>13568.821874999998</v>
      </c>
      <c r="H54" s="40">
        <f>$C54*H$59*'Modelling Assumptions'!H$101</f>
        <v>0</v>
      </c>
      <c r="I54" s="40">
        <f>$C54*I$59*'Modelling Assumptions'!I$101</f>
        <v>14255.743482421871</v>
      </c>
    </row>
    <row r="55" spans="1:9" x14ac:dyDescent="0.3">
      <c r="A55" s="14" t="s">
        <v>1650</v>
      </c>
      <c r="B55" s="40">
        <f>B49</f>
        <v>0</v>
      </c>
      <c r="C55" s="40">
        <f t="shared" si="7"/>
        <v>0</v>
      </c>
      <c r="D55" s="40">
        <f t="shared" si="8"/>
        <v>0</v>
      </c>
      <c r="E55" s="40">
        <f>$C55*E$59*'Modelling Assumptions'!E$102</f>
        <v>0</v>
      </c>
      <c r="F55" s="40">
        <f>$C55*F$59*'Modelling Assumptions'!F$102</f>
        <v>0</v>
      </c>
      <c r="G55" s="40">
        <f>$C55*G$59*'Modelling Assumptions'!G$102</f>
        <v>0</v>
      </c>
      <c r="H55" s="40">
        <f>$C55*H$59*'Modelling Assumptions'!H$102</f>
        <v>0</v>
      </c>
      <c r="I55" s="40">
        <f>$C55*I$59*'Modelling Assumptions'!I$102</f>
        <v>0</v>
      </c>
    </row>
    <row r="58" spans="1:9" x14ac:dyDescent="0.3">
      <c r="E58" s="30" t="str">
        <f>Summary!C4</f>
        <v>2015/16</v>
      </c>
      <c r="F58" s="30" t="str">
        <f>Summary!D4</f>
        <v>2016/17</v>
      </c>
      <c r="G58" s="30" t="str">
        <f>Summary!E4</f>
        <v>2017/18</v>
      </c>
      <c r="H58" s="30" t="str">
        <f>Summary!F4</f>
        <v>2018/19</v>
      </c>
      <c r="I58" s="30" t="str">
        <f>Summary!G4</f>
        <v>2019/20</v>
      </c>
    </row>
    <row r="59" spans="1:9" x14ac:dyDescent="0.3">
      <c r="A59" s="16" t="s">
        <v>1175</v>
      </c>
      <c r="B59" s="16" t="s">
        <v>65</v>
      </c>
      <c r="C59" s="43" t="s">
        <v>2154</v>
      </c>
      <c r="D59" s="16"/>
      <c r="E59" s="16">
        <v>1</v>
      </c>
      <c r="F59" s="16">
        <v>0</v>
      </c>
      <c r="G59" s="16">
        <v>1</v>
      </c>
      <c r="H59" s="16">
        <v>0</v>
      </c>
      <c r="I59" s="16">
        <v>1</v>
      </c>
    </row>
    <row r="60" spans="1:9" x14ac:dyDescent="0.3">
      <c r="A60" s="8" t="s">
        <v>1646</v>
      </c>
      <c r="C60" s="39"/>
    </row>
    <row r="61" spans="1:9" x14ac:dyDescent="0.3">
      <c r="A61" s="14" t="s">
        <v>1658</v>
      </c>
      <c r="B61" s="74">
        <f>APATechnicianHours/C14</f>
        <v>4.7619047619047623E-3</v>
      </c>
      <c r="C61" s="14" t="s">
        <v>2132</v>
      </c>
    </row>
    <row r="62" spans="1:9" x14ac:dyDescent="0.3">
      <c r="A62" s="14" t="s">
        <v>1997</v>
      </c>
      <c r="B62" s="74">
        <f>APASupervisorHours/C14</f>
        <v>4.0873015873015874E-2</v>
      </c>
      <c r="C62" s="14" t="s">
        <v>2132</v>
      </c>
    </row>
    <row r="63" spans="1:9" x14ac:dyDescent="0.3">
      <c r="A63" s="14" t="s">
        <v>1643</v>
      </c>
      <c r="B63" s="55">
        <v>0</v>
      </c>
      <c r="C63" s="14"/>
    </row>
    <row r="64" spans="1:9" x14ac:dyDescent="0.3">
      <c r="A64" s="14"/>
      <c r="B64" s="55"/>
      <c r="C64" s="14"/>
    </row>
    <row r="65" spans="1:9" x14ac:dyDescent="0.3">
      <c r="A65" s="42" t="s">
        <v>1647</v>
      </c>
      <c r="B65" s="15"/>
      <c r="C65" s="14"/>
    </row>
    <row r="66" spans="1:9" x14ac:dyDescent="0.3">
      <c r="A66" s="14" t="s">
        <v>1656</v>
      </c>
      <c r="B66" s="15">
        <v>0.5</v>
      </c>
      <c r="C66" s="14" t="s">
        <v>2132</v>
      </c>
    </row>
    <row r="67" spans="1:9" x14ac:dyDescent="0.3">
      <c r="A67" s="14" t="s">
        <v>1651</v>
      </c>
      <c r="B67" s="55">
        <f>ElectricalContractorHourlyRate</f>
        <v>75</v>
      </c>
    </row>
    <row r="68" spans="1:9" x14ac:dyDescent="0.3">
      <c r="A68" s="14" t="s">
        <v>1649</v>
      </c>
      <c r="B68" s="55">
        <f>B66*B67</f>
        <v>37.5</v>
      </c>
      <c r="C68" s="14"/>
    </row>
    <row r="69" spans="1:9" x14ac:dyDescent="0.3">
      <c r="A69" s="14" t="s">
        <v>1650</v>
      </c>
      <c r="B69" s="55">
        <v>0</v>
      </c>
      <c r="C69" s="7"/>
    </row>
    <row r="71" spans="1:9" x14ac:dyDescent="0.3">
      <c r="A71" s="14"/>
      <c r="B71" s="46" t="s">
        <v>2712</v>
      </c>
      <c r="C71" s="46" t="s">
        <v>2720</v>
      </c>
      <c r="D71" s="30" t="s">
        <v>1655</v>
      </c>
      <c r="E71" s="30" t="str">
        <f>Summary!C4</f>
        <v>2015/16</v>
      </c>
      <c r="F71" s="30" t="str">
        <f>Summary!D4</f>
        <v>2016/17</v>
      </c>
      <c r="G71" s="30" t="str">
        <f>Summary!E4</f>
        <v>2017/18</v>
      </c>
      <c r="H71" s="30" t="str">
        <f>Summary!F4</f>
        <v>2018/19</v>
      </c>
      <c r="I71" s="30" t="str">
        <f>Summary!G4</f>
        <v>2019/20</v>
      </c>
    </row>
    <row r="72" spans="1:9" x14ac:dyDescent="0.3">
      <c r="A72" s="14" t="s">
        <v>1648</v>
      </c>
      <c r="B72" s="40">
        <f>B61*HourlyRateAPAMaintenanceStaff+B62*HourlyRateAPAOMSupervisor</f>
        <v>5.6641714285714286</v>
      </c>
      <c r="C72" s="40">
        <f>B72*$C$14</f>
        <v>1189.4760000000001</v>
      </c>
      <c r="D72" s="40">
        <f>C72*SUMPRODUCT(LabourAdjustmentFactor,E$59:I$59)</f>
        <v>3845.9313684987887</v>
      </c>
      <c r="E72" s="40">
        <f>$C72*E$59*'Modelling Assumptions'!E$101</f>
        <v>1219.2129</v>
      </c>
      <c r="F72" s="40">
        <f>$C72*F$59*'Modelling Assumptions'!F$101</f>
        <v>0</v>
      </c>
      <c r="G72" s="40">
        <f>$C72*G$59*'Modelling Assumptions'!G$101</f>
        <v>1280.9355530625</v>
      </c>
      <c r="H72" s="40">
        <f>$C72*H$59*'Modelling Assumptions'!H$101</f>
        <v>0</v>
      </c>
      <c r="I72" s="40">
        <f>$C72*I$59*'Modelling Assumptions'!I$101</f>
        <v>1345.7829154362887</v>
      </c>
    </row>
    <row r="73" spans="1:9" x14ac:dyDescent="0.3">
      <c r="A73" s="14" t="s">
        <v>1643</v>
      </c>
      <c r="B73" s="40">
        <f>B63</f>
        <v>0</v>
      </c>
      <c r="C73" s="40">
        <f t="shared" ref="C73:C75" si="9">B73*$C$14</f>
        <v>0</v>
      </c>
      <c r="D73" s="40">
        <f>C73*SUMPRODUCT(MaterialsAdjustmentFactor,E$59:I$59)</f>
        <v>0</v>
      </c>
      <c r="E73" s="40">
        <f>$C73*E$59*'Modelling Assumptions'!E$102</f>
        <v>0</v>
      </c>
      <c r="F73" s="40">
        <f>$C73*F$59*'Modelling Assumptions'!F$102</f>
        <v>0</v>
      </c>
      <c r="G73" s="40">
        <f>$C73*G$59*'Modelling Assumptions'!G$102</f>
        <v>0</v>
      </c>
      <c r="H73" s="40">
        <f>$C73*H$59*'Modelling Assumptions'!H$102</f>
        <v>0</v>
      </c>
      <c r="I73" s="40">
        <f>$C73*I$59*'Modelling Assumptions'!I$102</f>
        <v>0</v>
      </c>
    </row>
    <row r="74" spans="1:9" x14ac:dyDescent="0.3">
      <c r="A74" s="14" t="s">
        <v>1649</v>
      </c>
      <c r="B74" s="40">
        <f>B68</f>
        <v>37.5</v>
      </c>
      <c r="C74" s="40">
        <f t="shared" si="9"/>
        <v>7875</v>
      </c>
      <c r="D74" s="40">
        <f>C74*SUMPRODUCT(LabourAdjustmentFactor,E$59:I$59)</f>
        <v>25462.228348388668</v>
      </c>
      <c r="E74" s="40">
        <f>$C74*E$59*'Modelling Assumptions'!E$101</f>
        <v>8071.8749999999991</v>
      </c>
      <c r="F74" s="40">
        <f>$C74*F$59*'Modelling Assumptions'!F$101</f>
        <v>0</v>
      </c>
      <c r="G74" s="40">
        <f>$C74*G$59*'Modelling Assumptions'!G$101</f>
        <v>8480.5136718749982</v>
      </c>
      <c r="H74" s="40">
        <f>$C74*H$59*'Modelling Assumptions'!H$101</f>
        <v>0</v>
      </c>
      <c r="I74" s="40">
        <f>$C74*I$59*'Modelling Assumptions'!I$101</f>
        <v>8909.8396765136695</v>
      </c>
    </row>
    <row r="75" spans="1:9" x14ac:dyDescent="0.3">
      <c r="A75" s="14" t="s">
        <v>1650</v>
      </c>
      <c r="B75" s="40">
        <f>B69</f>
        <v>0</v>
      </c>
      <c r="C75" s="40">
        <f t="shared" si="9"/>
        <v>0</v>
      </c>
      <c r="D75" s="40">
        <f>C75*SUMPRODUCT(MaterialsAdjustmentFactor,E$59:I$59)</f>
        <v>0</v>
      </c>
      <c r="E75" s="40">
        <f>$C75*E$59*'Modelling Assumptions'!E$102</f>
        <v>0</v>
      </c>
      <c r="F75" s="40">
        <f>$C75*F$59*'Modelling Assumptions'!F$102</f>
        <v>0</v>
      </c>
      <c r="G75" s="40">
        <f>$C75*G$59*'Modelling Assumptions'!G$102</f>
        <v>0</v>
      </c>
      <c r="H75" s="40">
        <f>$C75*H$59*'Modelling Assumptions'!H$102</f>
        <v>0</v>
      </c>
      <c r="I75" s="40">
        <f>$C75*I$59*'Modelling Assumptions'!I$102</f>
        <v>0</v>
      </c>
    </row>
    <row r="77" spans="1:9" x14ac:dyDescent="0.3">
      <c r="A77" s="48" t="s">
        <v>1663</v>
      </c>
      <c r="B77" s="11"/>
      <c r="C77" s="11"/>
      <c r="D77" s="11"/>
      <c r="E77" s="11"/>
      <c r="F77" s="11"/>
      <c r="G77" s="11"/>
      <c r="H77" s="11"/>
      <c r="I77" s="11"/>
    </row>
    <row r="79" spans="1:9" s="301" customFormat="1" x14ac:dyDescent="0.3">
      <c r="A79" s="301" t="s">
        <v>3318</v>
      </c>
    </row>
    <row r="80" spans="1:9" x14ac:dyDescent="0.3">
      <c r="A80" t="s">
        <v>1797</v>
      </c>
      <c r="B80" s="55">
        <v>250</v>
      </c>
    </row>
    <row r="81" spans="1:9" x14ac:dyDescent="0.3">
      <c r="A81" t="s">
        <v>1799</v>
      </c>
      <c r="B81" s="15">
        <v>5</v>
      </c>
      <c r="C81" t="s">
        <v>1800</v>
      </c>
    </row>
    <row r="82" spans="1:9" x14ac:dyDescent="0.3">
      <c r="A82" t="s">
        <v>1803</v>
      </c>
      <c r="B82" s="33">
        <f>B80/B81</f>
        <v>50</v>
      </c>
    </row>
    <row r="83" spans="1:9" x14ac:dyDescent="0.3">
      <c r="A83" t="s">
        <v>1804</v>
      </c>
      <c r="B83" s="15">
        <v>2</v>
      </c>
      <c r="C83" t="s">
        <v>1736</v>
      </c>
    </row>
    <row r="84" spans="1:9" x14ac:dyDescent="0.3">
      <c r="A84" t="s">
        <v>1807</v>
      </c>
      <c r="B84">
        <f>B83/B81</f>
        <v>0.4</v>
      </c>
      <c r="C84" t="s">
        <v>1809</v>
      </c>
    </row>
    <row r="86" spans="1:9" x14ac:dyDescent="0.3">
      <c r="A86" t="s">
        <v>1805</v>
      </c>
      <c r="B86" s="55">
        <v>100</v>
      </c>
    </row>
    <row r="87" spans="1:9" x14ac:dyDescent="0.3">
      <c r="A87" t="s">
        <v>1801</v>
      </c>
      <c r="B87" s="15">
        <v>5</v>
      </c>
      <c r="C87" t="s">
        <v>1800</v>
      </c>
    </row>
    <row r="88" spans="1:9" x14ac:dyDescent="0.3">
      <c r="A88" t="s">
        <v>1802</v>
      </c>
      <c r="B88" s="33">
        <f>B86/B87</f>
        <v>20</v>
      </c>
      <c r="C88" t="s">
        <v>1808</v>
      </c>
    </row>
    <row r="89" spans="1:9" x14ac:dyDescent="0.3">
      <c r="A89" t="s">
        <v>1798</v>
      </c>
      <c r="B89" s="15">
        <v>2</v>
      </c>
      <c r="C89" t="s">
        <v>1736</v>
      </c>
    </row>
    <row r="90" spans="1:9" x14ac:dyDescent="0.3">
      <c r="A90" t="s">
        <v>1806</v>
      </c>
      <c r="B90">
        <f>B89/B87</f>
        <v>0.4</v>
      </c>
      <c r="C90" t="s">
        <v>1809</v>
      </c>
    </row>
    <row r="93" spans="1:9" x14ac:dyDescent="0.3">
      <c r="A93" s="10" t="s">
        <v>1641</v>
      </c>
      <c r="B93" s="44"/>
      <c r="C93" s="44"/>
      <c r="D93" s="10"/>
      <c r="E93" s="10"/>
      <c r="F93" s="10"/>
      <c r="G93" s="10"/>
      <c r="H93" s="10"/>
      <c r="I93" s="10"/>
    </row>
    <row r="94" spans="1:9" x14ac:dyDescent="0.3">
      <c r="A94" t="s">
        <v>3</v>
      </c>
      <c r="B94" t="s">
        <v>2</v>
      </c>
      <c r="C94" t="s">
        <v>1</v>
      </c>
    </row>
    <row r="95" spans="1:9" x14ac:dyDescent="0.3">
      <c r="A95" t="s">
        <v>1175</v>
      </c>
      <c r="B95" t="s">
        <v>65</v>
      </c>
    </row>
    <row r="96" spans="1:9" x14ac:dyDescent="0.3">
      <c r="A96" t="s">
        <v>221</v>
      </c>
      <c r="B96" t="s">
        <v>220</v>
      </c>
      <c r="C96" t="s">
        <v>184</v>
      </c>
      <c r="D96" t="s">
        <v>219</v>
      </c>
    </row>
    <row r="97" spans="1:5" x14ac:dyDescent="0.3">
      <c r="A97" t="s">
        <v>221</v>
      </c>
      <c r="B97" t="s">
        <v>220</v>
      </c>
      <c r="C97" t="s">
        <v>251</v>
      </c>
      <c r="D97" t="s">
        <v>269</v>
      </c>
    </row>
    <row r="98" spans="1:5" x14ac:dyDescent="0.3">
      <c r="A98" t="s">
        <v>221</v>
      </c>
      <c r="B98" t="s">
        <v>220</v>
      </c>
      <c r="C98" t="s">
        <v>295</v>
      </c>
      <c r="D98" t="s">
        <v>312</v>
      </c>
    </row>
    <row r="99" spans="1:5" x14ac:dyDescent="0.3">
      <c r="A99" t="s">
        <v>221</v>
      </c>
      <c r="B99" t="s">
        <v>220</v>
      </c>
      <c r="C99" t="s">
        <v>395</v>
      </c>
      <c r="D99" t="s">
        <v>414</v>
      </c>
    </row>
    <row r="100" spans="1:5" x14ac:dyDescent="0.3">
      <c r="A100" t="s">
        <v>221</v>
      </c>
      <c r="B100" t="s">
        <v>220</v>
      </c>
      <c r="C100" t="s">
        <v>440</v>
      </c>
      <c r="D100" t="s">
        <v>457</v>
      </c>
    </row>
    <row r="101" spans="1:5" x14ac:dyDescent="0.3">
      <c r="A101" t="s">
        <v>221</v>
      </c>
      <c r="B101" t="s">
        <v>220</v>
      </c>
      <c r="C101" t="s">
        <v>483</v>
      </c>
      <c r="D101" t="s">
        <v>500</v>
      </c>
    </row>
    <row r="107" spans="1:5" x14ac:dyDescent="0.3">
      <c r="A107" t="s">
        <v>1098</v>
      </c>
      <c r="B107" t="s">
        <v>509</v>
      </c>
    </row>
    <row r="108" spans="1:5" x14ac:dyDescent="0.3">
      <c r="A108" t="s">
        <v>1176</v>
      </c>
      <c r="B108" t="s">
        <v>1100</v>
      </c>
      <c r="C108" t="s">
        <v>1101</v>
      </c>
      <c r="D108" s="29">
        <v>41617.412499999999</v>
      </c>
      <c r="E108" t="s">
        <v>1177</v>
      </c>
    </row>
    <row r="109" spans="1:5" x14ac:dyDescent="0.3">
      <c r="A109" t="s">
        <v>1178</v>
      </c>
      <c r="B109" t="s">
        <v>1179</v>
      </c>
      <c r="C109" t="s">
        <v>1101</v>
      </c>
      <c r="D109" s="29">
        <v>41617.413888888892</v>
      </c>
      <c r="E109" t="s">
        <v>1180</v>
      </c>
    </row>
    <row r="110" spans="1:5" x14ac:dyDescent="0.3">
      <c r="A110" t="s">
        <v>1181</v>
      </c>
      <c r="B110" t="s">
        <v>1179</v>
      </c>
      <c r="C110" t="s">
        <v>1101</v>
      </c>
      <c r="D110" s="29">
        <v>41617.413888888892</v>
      </c>
      <c r="E110" t="s">
        <v>1180</v>
      </c>
    </row>
    <row r="111" spans="1:5" x14ac:dyDescent="0.3">
      <c r="A111" t="s">
        <v>1182</v>
      </c>
      <c r="B111" t="s">
        <v>1100</v>
      </c>
      <c r="C111" t="s">
        <v>1101</v>
      </c>
      <c r="D111" s="29">
        <v>41536.418055555558</v>
      </c>
      <c r="E111" t="s">
        <v>1119</v>
      </c>
    </row>
    <row r="112" spans="1:5" x14ac:dyDescent="0.3">
      <c r="A112" t="s">
        <v>1183</v>
      </c>
      <c r="B112" t="s">
        <v>1179</v>
      </c>
      <c r="C112" t="s">
        <v>1101</v>
      </c>
      <c r="D112" s="29">
        <v>41617.413888888892</v>
      </c>
      <c r="E112" t="s">
        <v>1180</v>
      </c>
    </row>
    <row r="113" spans="1:5" x14ac:dyDescent="0.3">
      <c r="A113" t="s">
        <v>1184</v>
      </c>
      <c r="B113" t="s">
        <v>1179</v>
      </c>
      <c r="C113" t="s">
        <v>1101</v>
      </c>
      <c r="D113" s="29">
        <v>41617.413888888892</v>
      </c>
      <c r="E113" t="s">
        <v>1180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C8C800"/>
    <pageSetUpPr fitToPage="1"/>
  </sheetPr>
  <dimension ref="A1:I71"/>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165</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D37</f>
        <v>6408.5835328878511</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25861.136296874996</v>
      </c>
      <c r="E5" s="33">
        <f t="shared" si="0"/>
        <v>4920</v>
      </c>
      <c r="F5" s="33">
        <f t="shared" si="0"/>
        <v>5043</v>
      </c>
      <c r="G5" s="33">
        <f t="shared" si="0"/>
        <v>5169.0749999999998</v>
      </c>
      <c r="H5" s="33">
        <f t="shared" si="0"/>
        <v>5298.3018749999992</v>
      </c>
      <c r="I5" s="33">
        <f t="shared" si="0"/>
        <v>5430.7594218749982</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1924</v>
      </c>
    </row>
    <row r="12" spans="1:9" ht="15" x14ac:dyDescent="0.25">
      <c r="A12" t="s">
        <v>1748</v>
      </c>
    </row>
    <row r="13" spans="1:9" ht="15" x14ac:dyDescent="0.25">
      <c r="B13" s="39" t="s">
        <v>1678</v>
      </c>
      <c r="C13" s="39">
        <v>2</v>
      </c>
    </row>
    <row r="14" spans="1:9" ht="15" x14ac:dyDescent="0.25">
      <c r="A14" s="12" t="s">
        <v>1640</v>
      </c>
      <c r="B14" s="12"/>
      <c r="C14" s="12">
        <f>SUM(C12:C13)</f>
        <v>2</v>
      </c>
    </row>
    <row r="16" spans="1:9" ht="15" x14ac:dyDescent="0.25">
      <c r="A16" t="s">
        <v>1992</v>
      </c>
    </row>
    <row r="17" spans="1:9" s="301" customFormat="1" ht="15" x14ac:dyDescent="0.25">
      <c r="A17" s="301" t="s">
        <v>3283</v>
      </c>
    </row>
    <row r="18" spans="1:9" x14ac:dyDescent="0.3">
      <c r="A18" t="s">
        <v>3284</v>
      </c>
    </row>
    <row r="19" spans="1:9" ht="15" x14ac:dyDescent="0.25">
      <c r="A19" s="28" t="s">
        <v>3506</v>
      </c>
    </row>
    <row r="20" spans="1:9" ht="15" x14ac:dyDescent="0.25">
      <c r="A20" s="28" t="s">
        <v>3285</v>
      </c>
    </row>
    <row r="21" spans="1:9" s="301" customFormat="1" ht="15" x14ac:dyDescent="0.25">
      <c r="A21" s="28" t="s">
        <v>3286</v>
      </c>
    </row>
    <row r="22" spans="1:9" s="301" customFormat="1" ht="15" x14ac:dyDescent="0.25">
      <c r="A22" s="28" t="s">
        <v>3254</v>
      </c>
    </row>
    <row r="23" spans="1:9" ht="15" x14ac:dyDescent="0.25">
      <c r="E23" s="30" t="str">
        <f>Summary!C4</f>
        <v>2015/16</v>
      </c>
      <c r="F23" s="30" t="str">
        <f>Summary!D4</f>
        <v>2016/17</v>
      </c>
      <c r="G23" s="30" t="str">
        <f>Summary!E4</f>
        <v>2017/18</v>
      </c>
      <c r="H23" s="30" t="str">
        <f>Summary!F4</f>
        <v>2018/19</v>
      </c>
      <c r="I23" s="30" t="str">
        <f>Summary!G4</f>
        <v>2019/20</v>
      </c>
    </row>
    <row r="24" spans="1:9" x14ac:dyDescent="0.3">
      <c r="A24" s="16" t="s">
        <v>1163</v>
      </c>
      <c r="B24" s="16" t="s">
        <v>56</v>
      </c>
      <c r="C24" s="43"/>
      <c r="D24" s="16"/>
      <c r="E24" s="16">
        <v>1</v>
      </c>
      <c r="F24" s="16">
        <v>1</v>
      </c>
      <c r="G24" s="16">
        <v>1</v>
      </c>
      <c r="H24" s="16">
        <v>1</v>
      </c>
      <c r="I24" s="16">
        <v>1</v>
      </c>
    </row>
    <row r="25" spans="1:9" ht="15" x14ac:dyDescent="0.25">
      <c r="A25" s="8" t="s">
        <v>1646</v>
      </c>
      <c r="C25" s="39"/>
    </row>
    <row r="26" spans="1:9" ht="15" x14ac:dyDescent="0.25">
      <c r="A26" s="14" t="s">
        <v>1658</v>
      </c>
      <c r="B26" s="15">
        <f>APATechnicianHours/C14</f>
        <v>0.5</v>
      </c>
      <c r="C26" s="14" t="s">
        <v>1677</v>
      </c>
    </row>
    <row r="27" spans="1:9" ht="15" x14ac:dyDescent="0.25">
      <c r="A27" s="14" t="s">
        <v>1997</v>
      </c>
      <c r="B27" s="15">
        <f>APASupervisorHours/C14</f>
        <v>4.291666666666667</v>
      </c>
      <c r="C27" s="14" t="s">
        <v>1677</v>
      </c>
    </row>
    <row r="28" spans="1:9" ht="15" x14ac:dyDescent="0.25">
      <c r="A28" s="14" t="s">
        <v>1643</v>
      </c>
      <c r="B28" s="55">
        <v>0</v>
      </c>
      <c r="C28" s="14"/>
    </row>
    <row r="29" spans="1:9" ht="15" x14ac:dyDescent="0.25">
      <c r="A29" s="14"/>
      <c r="B29" s="41"/>
      <c r="C29" s="14"/>
    </row>
    <row r="30" spans="1:9" ht="15" x14ac:dyDescent="0.25">
      <c r="A30" s="42" t="s">
        <v>1647</v>
      </c>
      <c r="B30" s="7"/>
      <c r="C30" s="14"/>
    </row>
    <row r="31" spans="1:9" x14ac:dyDescent="0.3">
      <c r="A31" s="14" t="s">
        <v>1656</v>
      </c>
      <c r="B31" s="15">
        <v>32</v>
      </c>
      <c r="C31" s="14" t="s">
        <v>3288</v>
      </c>
    </row>
    <row r="32" spans="1:9" x14ac:dyDescent="0.3">
      <c r="A32" s="14" t="s">
        <v>1651</v>
      </c>
      <c r="B32" s="55">
        <v>75</v>
      </c>
      <c r="C32" s="14" t="s">
        <v>3287</v>
      </c>
    </row>
    <row r="33" spans="1:9" x14ac:dyDescent="0.3">
      <c r="A33" s="14" t="s">
        <v>1649</v>
      </c>
      <c r="B33" s="55">
        <f>B31*B32</f>
        <v>2400</v>
      </c>
      <c r="C33" s="14" t="s">
        <v>3289</v>
      </c>
    </row>
    <row r="34" spans="1:9" x14ac:dyDescent="0.3">
      <c r="A34" s="14" t="s">
        <v>1650</v>
      </c>
      <c r="B34" s="55">
        <v>0</v>
      </c>
      <c r="C34" s="15" t="s">
        <v>3290</v>
      </c>
    </row>
    <row r="36" spans="1:9" x14ac:dyDescent="0.3">
      <c r="A36" s="14"/>
      <c r="B36" s="46" t="s">
        <v>2712</v>
      </c>
      <c r="C36" s="46" t="s">
        <v>2720</v>
      </c>
      <c r="D36" s="30" t="s">
        <v>1655</v>
      </c>
      <c r="E36" s="30" t="str">
        <f>Summary!C4</f>
        <v>2015/16</v>
      </c>
      <c r="F36" s="30" t="str">
        <f>Summary!D4</f>
        <v>2016/17</v>
      </c>
      <c r="G36" s="30" t="str">
        <f>Summary!E4</f>
        <v>2017/18</v>
      </c>
      <c r="H36" s="30" t="str">
        <f>Summary!F4</f>
        <v>2018/19</v>
      </c>
      <c r="I36" s="30" t="str">
        <f>Summary!G4</f>
        <v>2019/20</v>
      </c>
    </row>
    <row r="37" spans="1:9" x14ac:dyDescent="0.3">
      <c r="A37" s="14" t="s">
        <v>1648</v>
      </c>
      <c r="B37" s="40">
        <f>B26*HourlyRateAPAMaintenanceStaff+B27*HourlyRateAPAOMSupervisor</f>
        <v>594.73800000000006</v>
      </c>
      <c r="C37" s="40">
        <f>B37*$C$14</f>
        <v>1189.4760000000001</v>
      </c>
      <c r="D37" s="40">
        <f>C37*SUMPRODUCT(LabourAdjustmentFactor,E$24:I$24)</f>
        <v>6408.5835328878511</v>
      </c>
      <c r="E37" s="40">
        <f>$C37*E$24*'Modelling Assumptions'!E$101</f>
        <v>1219.2129</v>
      </c>
      <c r="F37" s="40">
        <f>$C37*F$24*'Modelling Assumptions'!F$101</f>
        <v>1249.6932225</v>
      </c>
      <c r="G37" s="40">
        <f>$C37*G$24*'Modelling Assumptions'!G$101</f>
        <v>1280.9355530625</v>
      </c>
      <c r="H37" s="40">
        <f>$C37*H$24*'Modelling Assumptions'!H$101</f>
        <v>1312.9589418890623</v>
      </c>
      <c r="I37" s="40">
        <f>$C37*I$24*'Modelling Assumptions'!I$101</f>
        <v>1345.7829154362887</v>
      </c>
    </row>
    <row r="38" spans="1:9" x14ac:dyDescent="0.3">
      <c r="A38" s="14" t="s">
        <v>1643</v>
      </c>
      <c r="B38" s="40">
        <f>B28</f>
        <v>0</v>
      </c>
      <c r="C38" s="40">
        <f t="shared" ref="C38:C40" si="1">B38*$C$14</f>
        <v>0</v>
      </c>
      <c r="D38" s="40">
        <f>C38*SUMPRODUCT(MaterialsAdjustmentFactor,E$24:I$24)</f>
        <v>0</v>
      </c>
      <c r="E38" s="47">
        <f>$C38*E$24*'Modelling Assumptions'!E$102</f>
        <v>0</v>
      </c>
      <c r="F38" s="47">
        <f>$C38*F$24*'Modelling Assumptions'!F$102</f>
        <v>0</v>
      </c>
      <c r="G38" s="47">
        <f>$C38*G$24*'Modelling Assumptions'!G$102</f>
        <v>0</v>
      </c>
      <c r="H38" s="47">
        <f>$C38*H$24*'Modelling Assumptions'!H$102</f>
        <v>0</v>
      </c>
      <c r="I38" s="47">
        <f>$C38*I$24*'Modelling Assumptions'!I$102</f>
        <v>0</v>
      </c>
    </row>
    <row r="39" spans="1:9" x14ac:dyDescent="0.3">
      <c r="A39" s="14" t="s">
        <v>1649</v>
      </c>
      <c r="B39" s="40">
        <f>B33</f>
        <v>2400</v>
      </c>
      <c r="C39" s="40">
        <f t="shared" si="1"/>
        <v>4800</v>
      </c>
      <c r="D39" s="40">
        <f>C39*SUMPRODUCT(LabourAdjustmentFactor,E$24:I$24)</f>
        <v>25861.136296874996</v>
      </c>
      <c r="E39" s="40">
        <f>$C39*E$24*'Modelling Assumptions'!E$101</f>
        <v>4920</v>
      </c>
      <c r="F39" s="40">
        <f>$C39*F$24*'Modelling Assumptions'!F$101</f>
        <v>5043</v>
      </c>
      <c r="G39" s="40">
        <f>$C39*G$24*'Modelling Assumptions'!G$101</f>
        <v>5169.0749999999998</v>
      </c>
      <c r="H39" s="40">
        <f>$C39*H$24*'Modelling Assumptions'!H$101</f>
        <v>5298.3018749999992</v>
      </c>
      <c r="I39" s="40">
        <f>$C39*I$24*'Modelling Assumptions'!I$101</f>
        <v>5430.7594218749982</v>
      </c>
    </row>
    <row r="40" spans="1:9" x14ac:dyDescent="0.3">
      <c r="A40" s="14" t="s">
        <v>1650</v>
      </c>
      <c r="B40" s="40">
        <f>B34</f>
        <v>0</v>
      </c>
      <c r="C40" s="40">
        <f t="shared" si="1"/>
        <v>0</v>
      </c>
      <c r="D40" s="40">
        <f>C40*SUMPRODUCT(MaterialsAdjustmentFactor,E$24:I$24)</f>
        <v>0</v>
      </c>
      <c r="E40" s="40">
        <f>$C40*E$24*'Modelling Assumptions'!E$102</f>
        <v>0</v>
      </c>
      <c r="F40" s="40">
        <f>$C40*F$24*'Modelling Assumptions'!F$102</f>
        <v>0</v>
      </c>
      <c r="G40" s="40">
        <f>$C40*G$24*'Modelling Assumptions'!G$102</f>
        <v>0</v>
      </c>
      <c r="H40" s="40">
        <f>$C40*H$24*'Modelling Assumptions'!H$102</f>
        <v>0</v>
      </c>
      <c r="I40" s="40">
        <f>$C40*I$24*'Modelling Assumptions'!I$102</f>
        <v>0</v>
      </c>
    </row>
    <row r="43" spans="1:9" x14ac:dyDescent="0.3">
      <c r="A43" s="10" t="s">
        <v>1641</v>
      </c>
      <c r="B43" s="44"/>
      <c r="C43" s="44"/>
      <c r="D43" s="10"/>
      <c r="E43" s="10"/>
      <c r="F43" s="10"/>
      <c r="G43" s="10"/>
      <c r="H43" s="10"/>
      <c r="I43" s="10"/>
    </row>
    <row r="44" spans="1:9" x14ac:dyDescent="0.3">
      <c r="A44" t="s">
        <v>3</v>
      </c>
      <c r="B44" t="s">
        <v>2</v>
      </c>
      <c r="C44" t="s">
        <v>1</v>
      </c>
    </row>
    <row r="45" spans="1:9" x14ac:dyDescent="0.3">
      <c r="A45" t="s">
        <v>1163</v>
      </c>
      <c r="B45" t="s">
        <v>56</v>
      </c>
    </row>
    <row r="46" spans="1:9" x14ac:dyDescent="0.3">
      <c r="A46" t="s">
        <v>166</v>
      </c>
      <c r="B46" t="s">
        <v>165</v>
      </c>
      <c r="C46" t="s">
        <v>44</v>
      </c>
      <c r="D46" t="s">
        <v>164</v>
      </c>
      <c r="E46">
        <v>1</v>
      </c>
      <c r="F46">
        <v>1</v>
      </c>
      <c r="G46">
        <v>1</v>
      </c>
      <c r="H46">
        <v>1</v>
      </c>
      <c r="I46">
        <v>1</v>
      </c>
    </row>
    <row r="47" spans="1:9" x14ac:dyDescent="0.3">
      <c r="A47" t="s">
        <v>166</v>
      </c>
      <c r="B47" t="s">
        <v>165</v>
      </c>
      <c r="C47" t="s">
        <v>93</v>
      </c>
      <c r="D47" t="s">
        <v>246</v>
      </c>
      <c r="E47">
        <v>1</v>
      </c>
      <c r="F47">
        <v>1</v>
      </c>
      <c r="G47">
        <v>1</v>
      </c>
      <c r="H47">
        <v>1</v>
      </c>
      <c r="I47">
        <v>1</v>
      </c>
    </row>
    <row r="48" spans="1:9" x14ac:dyDescent="0.3">
      <c r="A48" t="s">
        <v>166</v>
      </c>
      <c r="B48" t="s">
        <v>165</v>
      </c>
      <c r="C48" t="s">
        <v>108</v>
      </c>
      <c r="D48" t="s">
        <v>290</v>
      </c>
      <c r="E48">
        <v>1</v>
      </c>
      <c r="F48">
        <v>1</v>
      </c>
      <c r="G48">
        <v>1</v>
      </c>
      <c r="H48">
        <v>1</v>
      </c>
      <c r="I48">
        <v>1</v>
      </c>
    </row>
    <row r="49" spans="1:9" x14ac:dyDescent="0.3">
      <c r="A49" t="s">
        <v>166</v>
      </c>
      <c r="B49" t="s">
        <v>165</v>
      </c>
      <c r="C49" t="s">
        <v>335</v>
      </c>
      <c r="D49" t="s">
        <v>390</v>
      </c>
      <c r="E49">
        <v>1</v>
      </c>
      <c r="F49">
        <v>1</v>
      </c>
      <c r="G49">
        <v>1</v>
      </c>
      <c r="H49">
        <v>1</v>
      </c>
      <c r="I49">
        <v>1</v>
      </c>
    </row>
    <row r="50" spans="1:9" x14ac:dyDescent="0.3">
      <c r="A50" t="s">
        <v>166</v>
      </c>
      <c r="B50" t="s">
        <v>165</v>
      </c>
      <c r="C50" t="s">
        <v>346</v>
      </c>
      <c r="D50" t="s">
        <v>435</v>
      </c>
      <c r="E50">
        <v>1</v>
      </c>
      <c r="F50">
        <v>1</v>
      </c>
      <c r="G50">
        <v>1</v>
      </c>
      <c r="H50">
        <v>1</v>
      </c>
      <c r="I50">
        <v>1</v>
      </c>
    </row>
    <row r="51" spans="1:9" x14ac:dyDescent="0.3">
      <c r="A51" t="s">
        <v>166</v>
      </c>
      <c r="B51" t="s">
        <v>165</v>
      </c>
      <c r="C51" t="s">
        <v>358</v>
      </c>
      <c r="D51" t="s">
        <v>478</v>
      </c>
      <c r="E51">
        <v>1</v>
      </c>
      <c r="F51">
        <v>1</v>
      </c>
      <c r="G51">
        <v>1</v>
      </c>
      <c r="H51">
        <v>1</v>
      </c>
      <c r="I51">
        <v>1</v>
      </c>
    </row>
    <row r="57" spans="1:9" x14ac:dyDescent="0.3">
      <c r="A57" t="s">
        <v>1098</v>
      </c>
      <c r="B57" t="s">
        <v>534</v>
      </c>
    </row>
    <row r="58" spans="1:9" x14ac:dyDescent="0.3">
      <c r="A58" t="s">
        <v>1164</v>
      </c>
      <c r="B58" t="s">
        <v>1100</v>
      </c>
      <c r="C58" t="s">
        <v>1101</v>
      </c>
      <c r="D58" s="29">
        <v>41617.414583333331</v>
      </c>
      <c r="E58" t="s">
        <v>1165</v>
      </c>
    </row>
    <row r="59" spans="1:9" x14ac:dyDescent="0.3">
      <c r="A59" t="s">
        <v>1166</v>
      </c>
      <c r="B59" t="s">
        <v>1121</v>
      </c>
      <c r="C59" t="s">
        <v>1101</v>
      </c>
      <c r="D59" s="29">
        <v>41617.582638888889</v>
      </c>
      <c r="E59" t="s">
        <v>1167</v>
      </c>
    </row>
    <row r="60" spans="1:9" x14ac:dyDescent="0.3">
      <c r="A60" t="s">
        <v>1168</v>
      </c>
      <c r="B60" t="s">
        <v>1121</v>
      </c>
      <c r="C60" t="s">
        <v>1101</v>
      </c>
      <c r="D60" s="29">
        <v>41617.585416666669</v>
      </c>
      <c r="E60" t="s">
        <v>1169</v>
      </c>
    </row>
    <row r="61" spans="1:9" x14ac:dyDescent="0.3">
      <c r="A61" t="s">
        <v>1170</v>
      </c>
      <c r="B61" t="s">
        <v>1100</v>
      </c>
      <c r="C61" t="s">
        <v>1101</v>
      </c>
      <c r="D61" s="29">
        <v>41508.618055555555</v>
      </c>
      <c r="E61" t="s">
        <v>1115</v>
      </c>
    </row>
    <row r="62" spans="1:9" x14ac:dyDescent="0.3">
      <c r="A62" t="s">
        <v>1171</v>
      </c>
      <c r="B62" t="s">
        <v>1114</v>
      </c>
      <c r="C62" t="s">
        <v>1101</v>
      </c>
      <c r="D62" s="29">
        <v>41617.586805555555</v>
      </c>
      <c r="E62" t="s">
        <v>1172</v>
      </c>
    </row>
    <row r="63" spans="1:9" x14ac:dyDescent="0.3">
      <c r="A63" t="s">
        <v>1173</v>
      </c>
      <c r="B63" t="s">
        <v>1114</v>
      </c>
      <c r="C63" t="s">
        <v>1101</v>
      </c>
      <c r="D63" s="29">
        <v>41617.588194444441</v>
      </c>
      <c r="E63" t="s">
        <v>1174</v>
      </c>
    </row>
    <row r="68" spans="1:9" ht="31.2" thickBot="1" x14ac:dyDescent="0.35">
      <c r="A68" s="20" t="s">
        <v>542</v>
      </c>
      <c r="B68" s="20" t="s">
        <v>543</v>
      </c>
      <c r="C68" s="20" t="s">
        <v>545</v>
      </c>
      <c r="D68" s="20" t="s">
        <v>546</v>
      </c>
      <c r="E68" s="20" t="s">
        <v>547</v>
      </c>
      <c r="F68" s="20" t="s">
        <v>548</v>
      </c>
      <c r="G68" s="20" t="s">
        <v>549</v>
      </c>
      <c r="H68" s="20" t="s">
        <v>551</v>
      </c>
      <c r="I68" s="20" t="s">
        <v>552</v>
      </c>
    </row>
    <row r="69" spans="1:9" ht="52.2" x14ac:dyDescent="0.3">
      <c r="A69" s="24" t="s">
        <v>585</v>
      </c>
      <c r="B69" s="24" t="s">
        <v>783</v>
      </c>
      <c r="C69" s="24">
        <v>6348904</v>
      </c>
      <c r="D69" s="25">
        <v>8770.94</v>
      </c>
      <c r="E69" s="26">
        <v>8770.94</v>
      </c>
      <c r="F69" s="24" t="s">
        <v>1075</v>
      </c>
      <c r="G69" s="24" t="s">
        <v>1076</v>
      </c>
      <c r="H69" s="24" t="s">
        <v>785</v>
      </c>
      <c r="I69" s="24" t="s">
        <v>590</v>
      </c>
    </row>
    <row r="70" spans="1:9" ht="62.4" x14ac:dyDescent="0.3">
      <c r="A70" s="24" t="s">
        <v>585</v>
      </c>
      <c r="B70" s="24" t="s">
        <v>783</v>
      </c>
      <c r="C70" s="24">
        <v>6348904</v>
      </c>
      <c r="D70" s="25">
        <v>12693.06</v>
      </c>
      <c r="E70" s="26">
        <v>12693.06</v>
      </c>
      <c r="F70" s="24" t="s">
        <v>1078</v>
      </c>
      <c r="G70" s="24" t="s">
        <v>1076</v>
      </c>
      <c r="H70" s="24" t="s">
        <v>785</v>
      </c>
      <c r="I70" s="24" t="s">
        <v>590</v>
      </c>
    </row>
    <row r="71" spans="1:9" ht="123.6" x14ac:dyDescent="0.3">
      <c r="A71" s="24" t="s">
        <v>585</v>
      </c>
      <c r="B71" s="24" t="s">
        <v>1080</v>
      </c>
      <c r="C71" s="24">
        <v>6302409</v>
      </c>
      <c r="D71" s="25">
        <v>1540</v>
      </c>
      <c r="E71" s="26">
        <v>1540</v>
      </c>
      <c r="F71" s="24" t="s">
        <v>1081</v>
      </c>
      <c r="G71" s="24" t="s">
        <v>1076</v>
      </c>
      <c r="H71" s="24" t="s">
        <v>1082</v>
      </c>
      <c r="I71" s="24" t="s">
        <v>590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C8C800"/>
    <pageSetUpPr fitToPage="1"/>
  </sheetPr>
  <dimension ref="A1:I54"/>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169</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D32</f>
        <v>0</v>
      </c>
      <c r="E3" s="33">
        <f t="shared" si="0"/>
        <v>0</v>
      </c>
      <c r="F3" s="33">
        <f t="shared" si="0"/>
        <v>0</v>
      </c>
      <c r="G3" s="33">
        <f t="shared" si="0"/>
        <v>0</v>
      </c>
      <c r="H3" s="33">
        <f t="shared" si="0"/>
        <v>0</v>
      </c>
      <c r="I3" s="33">
        <f t="shared" si="0"/>
        <v>0</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1924</v>
      </c>
      <c r="C10" s="52"/>
    </row>
    <row r="12" spans="1:9" ht="15" x14ac:dyDescent="0.25">
      <c r="A12" t="s">
        <v>1749</v>
      </c>
    </row>
    <row r="13" spans="1:9" ht="15" x14ac:dyDescent="0.25">
      <c r="B13" s="39" t="s">
        <v>1678</v>
      </c>
      <c r="C13" s="39">
        <v>2</v>
      </c>
    </row>
    <row r="14" spans="1:9" ht="15" x14ac:dyDescent="0.25">
      <c r="A14" s="12" t="s">
        <v>1640</v>
      </c>
      <c r="B14" s="12"/>
      <c r="C14" s="12">
        <f>SUM(C12:C13)</f>
        <v>2</v>
      </c>
    </row>
    <row r="16" spans="1:9" ht="15" x14ac:dyDescent="0.25">
      <c r="A16" s="301" t="s">
        <v>1992</v>
      </c>
      <c r="B16" s="301"/>
      <c r="C16" s="301"/>
    </row>
    <row r="17" spans="1:9" ht="15" x14ac:dyDescent="0.25">
      <c r="A17" s="94" t="s">
        <v>3319</v>
      </c>
      <c r="B17" s="94"/>
      <c r="C17" s="94"/>
    </row>
    <row r="18" spans="1:9" ht="15" x14ac:dyDescent="0.25">
      <c r="E18" s="30" t="str">
        <f>Summary!C4</f>
        <v>2015/16</v>
      </c>
      <c r="F18" s="30" t="str">
        <f>Summary!D4</f>
        <v>2016/17</v>
      </c>
      <c r="G18" s="30" t="str">
        <f>Summary!E4</f>
        <v>2017/18</v>
      </c>
      <c r="H18" s="30" t="str">
        <f>Summary!F4</f>
        <v>2018/19</v>
      </c>
      <c r="I18" s="30" t="str">
        <f>Summary!G4</f>
        <v>2019/20</v>
      </c>
    </row>
    <row r="19" spans="1:9" x14ac:dyDescent="0.3">
      <c r="A19" s="16" t="s">
        <v>1158</v>
      </c>
      <c r="B19" s="16" t="s">
        <v>56</v>
      </c>
      <c r="C19" s="43"/>
      <c r="D19" s="16"/>
      <c r="E19" s="16">
        <v>1</v>
      </c>
      <c r="F19" s="16">
        <v>1</v>
      </c>
      <c r="G19" s="16">
        <v>1</v>
      </c>
      <c r="H19" s="16">
        <v>1</v>
      </c>
      <c r="I19" s="16">
        <v>1</v>
      </c>
    </row>
    <row r="20" spans="1:9" ht="15" x14ac:dyDescent="0.25">
      <c r="A20" s="8" t="s">
        <v>1646</v>
      </c>
      <c r="C20" s="39"/>
    </row>
    <row r="21" spans="1:9" ht="15" x14ac:dyDescent="0.25">
      <c r="A21" s="14" t="s">
        <v>1658</v>
      </c>
      <c r="B21" s="15">
        <v>0</v>
      </c>
      <c r="C21" s="14" t="s">
        <v>1677</v>
      </c>
    </row>
    <row r="22" spans="1:9" ht="15" x14ac:dyDescent="0.25">
      <c r="A22" s="14" t="s">
        <v>1997</v>
      </c>
      <c r="B22" s="15">
        <v>0</v>
      </c>
      <c r="C22" s="14" t="s">
        <v>1677</v>
      </c>
    </row>
    <row r="23" spans="1:9" ht="15" x14ac:dyDescent="0.25">
      <c r="A23" s="14" t="s">
        <v>1643</v>
      </c>
      <c r="B23" s="55">
        <v>0</v>
      </c>
      <c r="C23" s="14"/>
    </row>
    <row r="24" spans="1:9" ht="15" x14ac:dyDescent="0.25">
      <c r="A24" s="14"/>
      <c r="B24" s="55"/>
      <c r="C24" s="14"/>
    </row>
    <row r="25" spans="1:9" ht="15" x14ac:dyDescent="0.25">
      <c r="A25" s="42" t="s">
        <v>1647</v>
      </c>
      <c r="B25" s="15"/>
      <c r="C25" s="14"/>
    </row>
    <row r="26" spans="1:9" ht="15" x14ac:dyDescent="0.25">
      <c r="A26" s="14" t="s">
        <v>1656</v>
      </c>
      <c r="B26" s="15"/>
      <c r="C26" s="14"/>
    </row>
    <row r="27" spans="1:9" ht="15" x14ac:dyDescent="0.25">
      <c r="A27" s="14" t="s">
        <v>1651</v>
      </c>
      <c r="B27" s="55"/>
      <c r="C27" s="14"/>
    </row>
    <row r="28" spans="1:9" ht="15" x14ac:dyDescent="0.25">
      <c r="A28" s="14" t="s">
        <v>1649</v>
      </c>
      <c r="B28" s="55">
        <f>B26*B27</f>
        <v>0</v>
      </c>
      <c r="C28" s="14"/>
    </row>
    <row r="29" spans="1:9" ht="15" x14ac:dyDescent="0.25">
      <c r="A29" s="14" t="s">
        <v>1650</v>
      </c>
      <c r="B29" s="55">
        <v>0</v>
      </c>
      <c r="C29" s="7"/>
    </row>
    <row r="31" spans="1:9" x14ac:dyDescent="0.3">
      <c r="A31" s="14"/>
      <c r="B31" s="46" t="s">
        <v>2712</v>
      </c>
      <c r="C31" s="46" t="s">
        <v>2720</v>
      </c>
      <c r="D31" s="30" t="s">
        <v>1655</v>
      </c>
      <c r="E31" s="30" t="str">
        <f>Summary!C4</f>
        <v>2015/16</v>
      </c>
      <c r="F31" s="30" t="str">
        <f>Summary!D4</f>
        <v>2016/17</v>
      </c>
      <c r="G31" s="30" t="str">
        <f>Summary!E4</f>
        <v>2017/18</v>
      </c>
      <c r="H31" s="30" t="str">
        <f>Summary!F4</f>
        <v>2018/19</v>
      </c>
      <c r="I31" s="30" t="str">
        <f>Summary!G4</f>
        <v>2019/20</v>
      </c>
    </row>
    <row r="32" spans="1:9" x14ac:dyDescent="0.3">
      <c r="A32" s="14" t="s">
        <v>1648</v>
      </c>
      <c r="B32" s="40">
        <f>B21*HourlyRateAPAMaintenanceStaff+B22*HourlyRateAPAOMSupervisor</f>
        <v>0</v>
      </c>
      <c r="C32" s="40">
        <f>B32*$C$14</f>
        <v>0</v>
      </c>
      <c r="D32" s="40">
        <f>C32*SUMPRODUCT(LabourAdjustmentFactor,E$19:I$19)</f>
        <v>0</v>
      </c>
      <c r="E32" s="40">
        <f>$C32*E$19*'Modelling Assumptions'!E$101</f>
        <v>0</v>
      </c>
      <c r="F32" s="40">
        <f>$C32*F$19*'Modelling Assumptions'!F$101</f>
        <v>0</v>
      </c>
      <c r="G32" s="40">
        <f>$C32*G$19*'Modelling Assumptions'!G$101</f>
        <v>0</v>
      </c>
      <c r="H32" s="40">
        <f>$C32*H$19*'Modelling Assumptions'!H$101</f>
        <v>0</v>
      </c>
      <c r="I32" s="40">
        <f>$C32*I$19*'Modelling Assumptions'!I$101</f>
        <v>0</v>
      </c>
    </row>
    <row r="33" spans="1:9" x14ac:dyDescent="0.3">
      <c r="A33" s="14" t="s">
        <v>1643</v>
      </c>
      <c r="B33" s="40">
        <f>B23</f>
        <v>0</v>
      </c>
      <c r="C33" s="40">
        <f t="shared" ref="C33:C35" si="1">B33*$C$14</f>
        <v>0</v>
      </c>
      <c r="D33" s="40">
        <f>C33*SUMPRODUCT(MaterialsAdjustmentFactor,E$19:I$19)</f>
        <v>0</v>
      </c>
      <c r="E33" s="47">
        <f>$C33*E$19*'Modelling Assumptions'!E$102</f>
        <v>0</v>
      </c>
      <c r="F33" s="47">
        <f>$C33*F$19*'Modelling Assumptions'!F$102</f>
        <v>0</v>
      </c>
      <c r="G33" s="47">
        <f>$C33*G$19*'Modelling Assumptions'!G$102</f>
        <v>0</v>
      </c>
      <c r="H33" s="47">
        <f>$C33*H$19*'Modelling Assumptions'!H$102</f>
        <v>0</v>
      </c>
      <c r="I33" s="47">
        <f>$C33*I$19*'Modelling Assumptions'!I$102</f>
        <v>0</v>
      </c>
    </row>
    <row r="34" spans="1:9" x14ac:dyDescent="0.3">
      <c r="A34" s="14" t="s">
        <v>1649</v>
      </c>
      <c r="B34" s="40">
        <f>B28</f>
        <v>0</v>
      </c>
      <c r="C34" s="40">
        <f t="shared" si="1"/>
        <v>0</v>
      </c>
      <c r="D34" s="40">
        <f>C34*SUMPRODUCT(LabourAdjustmentFactor,E$19:I$19)</f>
        <v>0</v>
      </c>
      <c r="E34" s="40">
        <f>$C34*E$19*'Modelling Assumptions'!E$101</f>
        <v>0</v>
      </c>
      <c r="F34" s="40">
        <f>$C34*F$19*'Modelling Assumptions'!F$101</f>
        <v>0</v>
      </c>
      <c r="G34" s="40">
        <f>$C34*G$19*'Modelling Assumptions'!G$101</f>
        <v>0</v>
      </c>
      <c r="H34" s="40">
        <f>$C34*H$19*'Modelling Assumptions'!H$101</f>
        <v>0</v>
      </c>
      <c r="I34" s="40">
        <f>$C34*I$19*'Modelling Assumptions'!I$101</f>
        <v>0</v>
      </c>
    </row>
    <row r="35" spans="1:9" x14ac:dyDescent="0.3">
      <c r="A35" s="14" t="s">
        <v>1650</v>
      </c>
      <c r="B35" s="40">
        <f>B29</f>
        <v>0</v>
      </c>
      <c r="C35" s="40">
        <f t="shared" si="1"/>
        <v>0</v>
      </c>
      <c r="D35" s="40">
        <f>C35*SUMPRODUCT(MaterialsAdjustmentFactor,E$19:I$19)</f>
        <v>0</v>
      </c>
      <c r="E35" s="40">
        <f>$C35*E$19*'Modelling Assumptions'!E$102</f>
        <v>0</v>
      </c>
      <c r="F35" s="40">
        <f>$C35*F$19*'Modelling Assumptions'!F$102</f>
        <v>0</v>
      </c>
      <c r="G35" s="40">
        <f>$C35*G$19*'Modelling Assumptions'!G$102</f>
        <v>0</v>
      </c>
      <c r="H35" s="40">
        <f>$C35*H$19*'Modelling Assumptions'!H$102</f>
        <v>0</v>
      </c>
      <c r="I35" s="40">
        <f>$C35*I$19*'Modelling Assumptions'!I$102</f>
        <v>0</v>
      </c>
    </row>
    <row r="38" spans="1:9" x14ac:dyDescent="0.3">
      <c r="A38" s="10" t="s">
        <v>1641</v>
      </c>
      <c r="B38" s="44"/>
      <c r="C38" s="44"/>
      <c r="D38" s="10"/>
      <c r="E38" s="10"/>
      <c r="F38" s="10"/>
      <c r="G38" s="10"/>
      <c r="H38" s="10"/>
      <c r="I38" s="10"/>
    </row>
    <row r="39" spans="1:9" x14ac:dyDescent="0.3">
      <c r="A39" t="s">
        <v>3</v>
      </c>
      <c r="B39" t="s">
        <v>2</v>
      </c>
      <c r="C39" t="s">
        <v>1</v>
      </c>
    </row>
    <row r="40" spans="1:9" x14ac:dyDescent="0.3">
      <c r="A40" t="s">
        <v>1158</v>
      </c>
      <c r="B40" t="s">
        <v>56</v>
      </c>
    </row>
    <row r="41" spans="1:9" x14ac:dyDescent="0.3">
      <c r="A41" t="s">
        <v>170</v>
      </c>
      <c r="B41" t="s">
        <v>169</v>
      </c>
      <c r="C41" t="s">
        <v>44</v>
      </c>
      <c r="D41" t="s">
        <v>164</v>
      </c>
      <c r="E41">
        <v>1</v>
      </c>
      <c r="F41">
        <v>1</v>
      </c>
      <c r="G41">
        <v>1</v>
      </c>
      <c r="H41">
        <v>1</v>
      </c>
      <c r="I41">
        <v>1</v>
      </c>
    </row>
    <row r="42" spans="1:9" x14ac:dyDescent="0.3">
      <c r="A42" t="s">
        <v>170</v>
      </c>
      <c r="B42" t="s">
        <v>169</v>
      </c>
      <c r="C42" t="s">
        <v>93</v>
      </c>
      <c r="D42" t="s">
        <v>246</v>
      </c>
      <c r="E42">
        <v>1</v>
      </c>
      <c r="F42">
        <v>1</v>
      </c>
      <c r="G42">
        <v>1</v>
      </c>
      <c r="H42">
        <v>1</v>
      </c>
      <c r="I42">
        <v>1</v>
      </c>
    </row>
    <row r="43" spans="1:9" x14ac:dyDescent="0.3">
      <c r="A43" t="s">
        <v>170</v>
      </c>
      <c r="B43" t="s">
        <v>169</v>
      </c>
      <c r="C43" t="s">
        <v>108</v>
      </c>
      <c r="D43" t="s">
        <v>290</v>
      </c>
      <c r="E43">
        <v>1</v>
      </c>
      <c r="F43">
        <v>1</v>
      </c>
      <c r="G43">
        <v>1</v>
      </c>
      <c r="H43">
        <v>1</v>
      </c>
      <c r="I43">
        <v>1</v>
      </c>
    </row>
    <row r="44" spans="1:9" x14ac:dyDescent="0.3">
      <c r="A44" t="s">
        <v>170</v>
      </c>
      <c r="B44" t="s">
        <v>169</v>
      </c>
      <c r="C44" t="s">
        <v>335</v>
      </c>
      <c r="D44" t="s">
        <v>390</v>
      </c>
      <c r="E44">
        <v>1</v>
      </c>
      <c r="F44">
        <v>1</v>
      </c>
      <c r="G44">
        <v>1</v>
      </c>
      <c r="H44">
        <v>1</v>
      </c>
      <c r="I44">
        <v>1</v>
      </c>
    </row>
    <row r="45" spans="1:9" x14ac:dyDescent="0.3">
      <c r="A45" t="s">
        <v>170</v>
      </c>
      <c r="B45" t="s">
        <v>169</v>
      </c>
      <c r="C45" t="s">
        <v>346</v>
      </c>
      <c r="D45" t="s">
        <v>435</v>
      </c>
      <c r="E45">
        <v>1</v>
      </c>
      <c r="F45">
        <v>1</v>
      </c>
      <c r="G45">
        <v>1</v>
      </c>
      <c r="H45">
        <v>1</v>
      </c>
      <c r="I45">
        <v>1</v>
      </c>
    </row>
    <row r="46" spans="1:9" x14ac:dyDescent="0.3">
      <c r="A46" t="s">
        <v>170</v>
      </c>
      <c r="B46" t="s">
        <v>169</v>
      </c>
      <c r="C46" t="s">
        <v>358</v>
      </c>
      <c r="D46" t="s">
        <v>478</v>
      </c>
      <c r="E46">
        <v>1</v>
      </c>
      <c r="F46">
        <v>1</v>
      </c>
      <c r="G46">
        <v>1</v>
      </c>
      <c r="H46">
        <v>1</v>
      </c>
      <c r="I46">
        <v>1</v>
      </c>
    </row>
    <row r="52" spans="1:5" x14ac:dyDescent="0.3">
      <c r="A52" t="s">
        <v>1098</v>
      </c>
      <c r="B52" t="s">
        <v>535</v>
      </c>
    </row>
    <row r="53" spans="1:5" x14ac:dyDescent="0.3">
      <c r="A53" t="s">
        <v>1159</v>
      </c>
      <c r="B53" t="s">
        <v>1100</v>
      </c>
      <c r="C53" t="s">
        <v>1101</v>
      </c>
      <c r="D53" s="29">
        <v>41474.49722222222</v>
      </c>
      <c r="E53" t="s">
        <v>1160</v>
      </c>
    </row>
    <row r="54" spans="1:5" x14ac:dyDescent="0.3">
      <c r="A54" t="s">
        <v>1161</v>
      </c>
      <c r="B54" t="s">
        <v>1114</v>
      </c>
      <c r="C54" t="s">
        <v>1101</v>
      </c>
      <c r="D54" s="29">
        <v>41614.424305555556</v>
      </c>
      <c r="E54" t="s">
        <v>1162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C8C800"/>
    <pageSetUpPr fitToPage="1"/>
  </sheetPr>
  <dimension ref="A1:GN116"/>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9.109375" customWidth="1"/>
    <col min="6" max="9" width="10.109375" bestFit="1" customWidth="1"/>
  </cols>
  <sheetData>
    <row r="1" spans="1:9" ht="15" x14ac:dyDescent="0.25">
      <c r="A1" t="s">
        <v>1642</v>
      </c>
      <c r="B1" t="s">
        <v>1467</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D41+D61</f>
        <v>37310.774507887858</v>
      </c>
      <c r="E3" s="33">
        <f t="shared" si="0"/>
        <v>32121.403875000004</v>
      </c>
      <c r="F3" s="33">
        <f t="shared" si="0"/>
        <v>1249.6932225000003</v>
      </c>
      <c r="G3" s="33">
        <f t="shared" si="0"/>
        <v>1280.9355530625003</v>
      </c>
      <c r="H3" s="33">
        <f t="shared" si="0"/>
        <v>1312.9589418890625</v>
      </c>
      <c r="I3" s="33">
        <f t="shared" si="0"/>
        <v>1345.7829154362889</v>
      </c>
    </row>
    <row r="4" spans="1:9" ht="15" x14ac:dyDescent="0.25">
      <c r="A4" t="s">
        <v>1643</v>
      </c>
      <c r="B4" s="33"/>
      <c r="C4" s="33"/>
      <c r="D4" s="33">
        <f t="shared" si="0"/>
        <v>65920</v>
      </c>
      <c r="E4" s="33">
        <f t="shared" si="0"/>
        <v>65920</v>
      </c>
      <c r="F4" s="33">
        <f t="shared" si="0"/>
        <v>0</v>
      </c>
      <c r="G4" s="33">
        <f t="shared" si="0"/>
        <v>0</v>
      </c>
      <c r="H4" s="33">
        <f t="shared" si="0"/>
        <v>0</v>
      </c>
      <c r="I4" s="33">
        <f t="shared" si="0"/>
        <v>0</v>
      </c>
    </row>
    <row r="5" spans="1:9" ht="15" x14ac:dyDescent="0.25">
      <c r="A5" t="s">
        <v>1649</v>
      </c>
      <c r="B5" s="33"/>
      <c r="C5" s="33"/>
      <c r="D5" s="33">
        <f t="shared" si="0"/>
        <v>90283.481840698238</v>
      </c>
      <c r="E5" s="33">
        <f t="shared" si="0"/>
        <v>75068.4375</v>
      </c>
      <c r="F5" s="33">
        <f t="shared" si="0"/>
        <v>3664.0546874999995</v>
      </c>
      <c r="G5" s="33">
        <f t="shared" si="0"/>
        <v>3755.6560546874994</v>
      </c>
      <c r="H5" s="33">
        <f t="shared" si="0"/>
        <v>3849.5474560546868</v>
      </c>
      <c r="I5" s="33">
        <f t="shared" si="0"/>
        <v>3945.7861424560533</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t="s">
        <v>1521</v>
      </c>
    </row>
    <row r="12" spans="1:9" ht="15" x14ac:dyDescent="0.25">
      <c r="A12" t="s">
        <v>1509</v>
      </c>
    </row>
    <row r="13" spans="1:9" ht="15" x14ac:dyDescent="0.25">
      <c r="B13" s="39" t="s">
        <v>1580</v>
      </c>
      <c r="C13" s="39">
        <v>6</v>
      </c>
    </row>
    <row r="14" spans="1:9" ht="15" x14ac:dyDescent="0.25">
      <c r="B14" s="39" t="s">
        <v>1629</v>
      </c>
      <c r="C14" s="39">
        <v>6</v>
      </c>
    </row>
    <row r="15" spans="1:9" ht="15" x14ac:dyDescent="0.25">
      <c r="B15" s="39" t="s">
        <v>1630</v>
      </c>
      <c r="C15" s="39">
        <v>6</v>
      </c>
    </row>
    <row r="16" spans="1:9" ht="15" x14ac:dyDescent="0.25">
      <c r="B16" s="39" t="s">
        <v>1589</v>
      </c>
      <c r="C16" s="39">
        <v>18</v>
      </c>
    </row>
    <row r="17" spans="1:9" ht="15" x14ac:dyDescent="0.25">
      <c r="B17" s="39" t="s">
        <v>1594</v>
      </c>
      <c r="C17" s="39">
        <v>18</v>
      </c>
    </row>
    <row r="18" spans="1:9" ht="15" x14ac:dyDescent="0.25">
      <c r="B18" s="39" t="s">
        <v>1600</v>
      </c>
      <c r="C18" s="39">
        <v>18</v>
      </c>
    </row>
    <row r="19" spans="1:9" ht="15" x14ac:dyDescent="0.25">
      <c r="B19" s="39" t="s">
        <v>1602</v>
      </c>
      <c r="C19" s="39">
        <v>3</v>
      </c>
      <c r="D19" t="s">
        <v>2726</v>
      </c>
    </row>
    <row r="21" spans="1:9" ht="15" x14ac:dyDescent="0.25">
      <c r="A21" t="s">
        <v>1532</v>
      </c>
    </row>
    <row r="22" spans="1:9" ht="15" x14ac:dyDescent="0.25">
      <c r="B22" s="39" t="s">
        <v>1481</v>
      </c>
      <c r="C22" s="39">
        <v>6</v>
      </c>
      <c r="D22" t="s">
        <v>1943</v>
      </c>
    </row>
    <row r="23" spans="1:9" ht="15" x14ac:dyDescent="0.25">
      <c r="B23" s="39" t="s">
        <v>1549</v>
      </c>
      <c r="C23" s="39">
        <v>6</v>
      </c>
    </row>
    <row r="24" spans="1:9" ht="15" x14ac:dyDescent="0.25">
      <c r="B24" s="39" t="s">
        <v>1550</v>
      </c>
      <c r="C24" s="39">
        <v>6</v>
      </c>
    </row>
    <row r="25" spans="1:9" ht="15" x14ac:dyDescent="0.25">
      <c r="A25" s="12" t="s">
        <v>1640</v>
      </c>
      <c r="B25" s="12"/>
      <c r="C25" s="12">
        <f>SUM(C13:C24)</f>
        <v>93</v>
      </c>
    </row>
    <row r="26" spans="1:9" ht="15" x14ac:dyDescent="0.25">
      <c r="B26" s="39"/>
      <c r="C26" s="39"/>
    </row>
    <row r="27" spans="1:9" ht="15" x14ac:dyDescent="0.25">
      <c r="B27" s="39"/>
      <c r="C27" s="39"/>
      <c r="E27" s="30" t="str">
        <f>Summary!C4</f>
        <v>2015/16</v>
      </c>
      <c r="F27" s="30" t="str">
        <f>Summary!D4</f>
        <v>2016/17</v>
      </c>
      <c r="G27" s="30" t="str">
        <f>Summary!E4</f>
        <v>2017/18</v>
      </c>
      <c r="H27" s="30" t="str">
        <f>Summary!F4</f>
        <v>2018/19</v>
      </c>
      <c r="I27" s="30" t="str">
        <f>Summary!G4</f>
        <v>2019/20</v>
      </c>
    </row>
    <row r="28" spans="1:9" x14ac:dyDescent="0.3">
      <c r="A28" s="45" t="s">
        <v>1149</v>
      </c>
      <c r="B28" s="45" t="s">
        <v>56</v>
      </c>
      <c r="C28" s="45"/>
      <c r="D28" s="45"/>
      <c r="E28" s="45">
        <v>1</v>
      </c>
      <c r="F28" s="45">
        <v>1</v>
      </c>
      <c r="G28" s="45">
        <v>1</v>
      </c>
      <c r="H28" s="45">
        <v>1</v>
      </c>
      <c r="I28" s="45">
        <v>1</v>
      </c>
    </row>
    <row r="29" spans="1:9" ht="15" x14ac:dyDescent="0.25">
      <c r="A29" s="8" t="s">
        <v>1646</v>
      </c>
      <c r="C29" s="39"/>
    </row>
    <row r="30" spans="1:9" ht="15" x14ac:dyDescent="0.25">
      <c r="A30" s="14" t="s">
        <v>1658</v>
      </c>
      <c r="B30" s="74">
        <f>APATechnicianHours/C25</f>
        <v>1.0752688172043012E-2</v>
      </c>
      <c r="C30" s="14" t="s">
        <v>1571</v>
      </c>
    </row>
    <row r="31" spans="1:9" x14ac:dyDescent="0.3">
      <c r="A31" s="14" t="s">
        <v>1997</v>
      </c>
      <c r="B31" s="74">
        <f>APASupervisorHours/C25</f>
        <v>9.2293906810035853E-2</v>
      </c>
      <c r="C31" s="14" t="s">
        <v>1571</v>
      </c>
    </row>
    <row r="32" spans="1:9" x14ac:dyDescent="0.3">
      <c r="A32" s="14" t="s">
        <v>1643</v>
      </c>
      <c r="B32" s="55">
        <v>0</v>
      </c>
      <c r="C32" s="14"/>
    </row>
    <row r="33" spans="1:9" x14ac:dyDescent="0.3">
      <c r="A33" s="14"/>
      <c r="B33" s="55"/>
      <c r="C33" s="14"/>
    </row>
    <row r="34" spans="1:9" x14ac:dyDescent="0.3">
      <c r="A34" s="42" t="s">
        <v>1647</v>
      </c>
      <c r="B34" s="15"/>
      <c r="C34" s="14"/>
    </row>
    <row r="35" spans="1:9" x14ac:dyDescent="0.3">
      <c r="A35" s="14" t="s">
        <v>1656</v>
      </c>
      <c r="B35" s="15">
        <v>0.5</v>
      </c>
      <c r="C35" s="14" t="s">
        <v>1724</v>
      </c>
    </row>
    <row r="36" spans="1:9" x14ac:dyDescent="0.3">
      <c r="A36" s="14" t="s">
        <v>1651</v>
      </c>
      <c r="B36" s="55">
        <f>ElectricalContractorHourlyRate</f>
        <v>75</v>
      </c>
      <c r="C36" s="14"/>
    </row>
    <row r="37" spans="1:9" x14ac:dyDescent="0.3">
      <c r="A37" s="14" t="s">
        <v>1649</v>
      </c>
      <c r="B37" s="56">
        <f>B35*B36</f>
        <v>37.5</v>
      </c>
      <c r="C37" s="14"/>
    </row>
    <row r="38" spans="1:9" x14ac:dyDescent="0.3">
      <c r="A38" s="14" t="s">
        <v>1650</v>
      </c>
      <c r="B38" s="55">
        <v>0</v>
      </c>
      <c r="C38" s="14"/>
    </row>
    <row r="39" spans="1:9" x14ac:dyDescent="0.3">
      <c r="A39" s="14"/>
      <c r="B39" s="41"/>
      <c r="C39" s="14"/>
    </row>
    <row r="40" spans="1:9" x14ac:dyDescent="0.3">
      <c r="A40" s="14"/>
      <c r="B40" s="46" t="s">
        <v>2712</v>
      </c>
      <c r="C40" s="46" t="s">
        <v>2720</v>
      </c>
      <c r="D40" s="30" t="s">
        <v>1655</v>
      </c>
      <c r="E40" s="30" t="str">
        <f>Summary!C4</f>
        <v>2015/16</v>
      </c>
      <c r="F40" s="30" t="str">
        <f>Summary!D4</f>
        <v>2016/17</v>
      </c>
      <c r="G40" s="30" t="str">
        <f>Summary!E4</f>
        <v>2017/18</v>
      </c>
      <c r="H40" s="30" t="str">
        <f>Summary!F4</f>
        <v>2018/19</v>
      </c>
      <c r="I40" s="30" t="str">
        <f>Summary!G4</f>
        <v>2019/20</v>
      </c>
    </row>
    <row r="41" spans="1:9" x14ac:dyDescent="0.3">
      <c r="A41" s="14" t="s">
        <v>1648</v>
      </c>
      <c r="B41" s="40">
        <f>B30*HourlyRateAPAMaintenanceStaff+B31*HourlyRateAPAOMSupervisor</f>
        <v>12.790064516129036</v>
      </c>
      <c r="C41" s="40">
        <f>B41*$C$25</f>
        <v>1189.4760000000003</v>
      </c>
      <c r="D41" s="40">
        <f>C41*SUMPRODUCT(LabourAdjustmentFactor,E$28:I$28)</f>
        <v>6408.583532887852</v>
      </c>
      <c r="E41" s="40">
        <f>$C41*E$28*'Modelling Assumptions'!E$101</f>
        <v>1219.2129000000002</v>
      </c>
      <c r="F41" s="40">
        <f>$C41*F$28*'Modelling Assumptions'!F$101</f>
        <v>1249.6932225000003</v>
      </c>
      <c r="G41" s="40">
        <f>$C41*G$28*'Modelling Assumptions'!G$101</f>
        <v>1280.9355530625003</v>
      </c>
      <c r="H41" s="40">
        <f>$C41*H$28*'Modelling Assumptions'!H$101</f>
        <v>1312.9589418890625</v>
      </c>
      <c r="I41" s="40">
        <f>$C41*I$28*'Modelling Assumptions'!I$101</f>
        <v>1345.7829154362889</v>
      </c>
    </row>
    <row r="42" spans="1:9" x14ac:dyDescent="0.3">
      <c r="A42" s="14" t="s">
        <v>1643</v>
      </c>
      <c r="B42" s="40">
        <f>B32</f>
        <v>0</v>
      </c>
      <c r="C42" s="40">
        <f>B42*$C$25</f>
        <v>0</v>
      </c>
      <c r="D42" s="40">
        <f>C42*SUMPRODUCT(MaterialsAdjustmentFactor,E$28:I$28)</f>
        <v>0</v>
      </c>
      <c r="E42" s="40">
        <f>$C42*E$28*'Modelling Assumptions'!E$102</f>
        <v>0</v>
      </c>
      <c r="F42" s="40">
        <f>$C42*F$28*'Modelling Assumptions'!F$102</f>
        <v>0</v>
      </c>
      <c r="G42" s="40">
        <f>$C42*G$28*'Modelling Assumptions'!G$102</f>
        <v>0</v>
      </c>
      <c r="H42" s="40">
        <f>$C42*H$28*'Modelling Assumptions'!H$102</f>
        <v>0</v>
      </c>
      <c r="I42" s="40">
        <f>$C42*I$28*'Modelling Assumptions'!I$102</f>
        <v>0</v>
      </c>
    </row>
    <row r="43" spans="1:9" x14ac:dyDescent="0.3">
      <c r="A43" s="14" t="s">
        <v>1649</v>
      </c>
      <c r="B43" s="40">
        <f>B37</f>
        <v>37.5</v>
      </c>
      <c r="C43" s="40">
        <f>B43*$C$25</f>
        <v>3487.5</v>
      </c>
      <c r="D43" s="40">
        <f>C43*SUMPRODUCT(LabourAdjustmentFactor,E$28:I$28)</f>
        <v>18789.731840698238</v>
      </c>
      <c r="E43" s="40">
        <f>$C43*E$28*'Modelling Assumptions'!E$101</f>
        <v>3574.6874999999995</v>
      </c>
      <c r="F43" s="40">
        <f>$C43*F$28*'Modelling Assumptions'!F$101</f>
        <v>3664.0546874999995</v>
      </c>
      <c r="G43" s="40">
        <f>$C43*G$28*'Modelling Assumptions'!G$101</f>
        <v>3755.6560546874994</v>
      </c>
      <c r="H43" s="40">
        <f>$C43*H$28*'Modelling Assumptions'!H$101</f>
        <v>3849.5474560546868</v>
      </c>
      <c r="I43" s="40">
        <f>$C43*I$28*'Modelling Assumptions'!I$101</f>
        <v>3945.7861424560533</v>
      </c>
    </row>
    <row r="44" spans="1:9" x14ac:dyDescent="0.3">
      <c r="A44" s="14" t="s">
        <v>1650</v>
      </c>
      <c r="B44" s="40">
        <f>B38</f>
        <v>0</v>
      </c>
      <c r="C44" s="40">
        <f>B44*$C$25</f>
        <v>0</v>
      </c>
      <c r="D44" s="40">
        <f>C44*SUMPRODUCT(MaterialsAdjustmentFactor,E$28:I$28)</f>
        <v>0</v>
      </c>
      <c r="E44" s="40">
        <f>$C44*E$28*'Modelling Assumptions'!E$102</f>
        <v>0</v>
      </c>
      <c r="F44" s="40">
        <f>$C44*F$28*'Modelling Assumptions'!F$102</f>
        <v>0</v>
      </c>
      <c r="G44" s="40">
        <f>$C44*G$28*'Modelling Assumptions'!G$102</f>
        <v>0</v>
      </c>
      <c r="H44" s="40">
        <f>$C44*H$28*'Modelling Assumptions'!H$102</f>
        <v>0</v>
      </c>
      <c r="I44" s="40">
        <f>$C44*I$28*'Modelling Assumptions'!I$102</f>
        <v>0</v>
      </c>
    </row>
    <row r="45" spans="1:9" x14ac:dyDescent="0.3">
      <c r="A45" s="14"/>
      <c r="B45" s="41"/>
      <c r="C45" s="14"/>
    </row>
    <row r="46" spans="1:9" x14ac:dyDescent="0.3">
      <c r="A46" s="14"/>
      <c r="B46" s="41"/>
      <c r="C46" s="14"/>
    </row>
    <row r="47" spans="1:9" x14ac:dyDescent="0.3">
      <c r="E47" s="30" t="str">
        <f>Summary!C4</f>
        <v>2015/16</v>
      </c>
      <c r="F47" s="30" t="str">
        <f>Summary!D4</f>
        <v>2016/17</v>
      </c>
      <c r="G47" s="30" t="str">
        <f>Summary!E4</f>
        <v>2017/18</v>
      </c>
      <c r="H47" s="30" t="str">
        <f>Summary!F4</f>
        <v>2018/19</v>
      </c>
      <c r="I47" s="30" t="str">
        <f>Summary!G4</f>
        <v>2019/20</v>
      </c>
    </row>
    <row r="48" spans="1:9" x14ac:dyDescent="0.3">
      <c r="A48" s="45" t="s">
        <v>1150</v>
      </c>
      <c r="B48" s="45" t="s">
        <v>17</v>
      </c>
      <c r="C48" s="45"/>
      <c r="D48" s="45"/>
      <c r="E48" s="45">
        <v>1</v>
      </c>
      <c r="F48" s="45">
        <v>0</v>
      </c>
      <c r="G48" s="45">
        <v>0</v>
      </c>
      <c r="H48" s="45">
        <v>0</v>
      </c>
      <c r="I48" s="45">
        <v>0</v>
      </c>
    </row>
    <row r="49" spans="1:9" x14ac:dyDescent="0.3">
      <c r="A49" s="8" t="s">
        <v>1646</v>
      </c>
      <c r="C49" s="39"/>
    </row>
    <row r="50" spans="1:9" x14ac:dyDescent="0.3">
      <c r="A50" s="14" t="s">
        <v>1658</v>
      </c>
      <c r="B50" s="15">
        <v>3</v>
      </c>
      <c r="C50" s="14" t="s">
        <v>3321</v>
      </c>
    </row>
    <row r="51" spans="1:9" x14ac:dyDescent="0.3">
      <c r="A51" s="14" t="s">
        <v>1997</v>
      </c>
      <c r="B51" s="74">
        <f>2*APASupervisorHours/C25</f>
        <v>0.18458781362007171</v>
      </c>
      <c r="C51" s="14" t="s">
        <v>2081</v>
      </c>
    </row>
    <row r="52" spans="1:9" x14ac:dyDescent="0.3">
      <c r="A52" s="14" t="s">
        <v>1643</v>
      </c>
      <c r="B52" s="47">
        <f>B86/$C$25</f>
        <v>688.17204301075265</v>
      </c>
      <c r="C52" s="14" t="s">
        <v>1669</v>
      </c>
    </row>
    <row r="53" spans="1:9" x14ac:dyDescent="0.3">
      <c r="A53" s="14"/>
      <c r="B53" s="41"/>
      <c r="C53" s="14"/>
    </row>
    <row r="54" spans="1:9" x14ac:dyDescent="0.3">
      <c r="A54" s="42" t="s">
        <v>1647</v>
      </c>
      <c r="B54" s="7"/>
      <c r="C54" s="14"/>
    </row>
    <row r="55" spans="1:9" x14ac:dyDescent="0.3">
      <c r="A55" s="14" t="s">
        <v>1656</v>
      </c>
      <c r="B55" s="14">
        <v>10</v>
      </c>
      <c r="C55" s="14" t="s">
        <v>1571</v>
      </c>
    </row>
    <row r="56" spans="1:9" x14ac:dyDescent="0.3">
      <c r="A56" s="14" t="s">
        <v>1651</v>
      </c>
      <c r="B56" s="40">
        <f>ElectricalContractorHourlyRate</f>
        <v>75</v>
      </c>
      <c r="C56" s="14"/>
    </row>
    <row r="57" spans="1:9" x14ac:dyDescent="0.3">
      <c r="A57" s="14" t="s">
        <v>1649</v>
      </c>
      <c r="B57" s="40">
        <f>B55*B56</f>
        <v>750</v>
      </c>
      <c r="C57" s="14"/>
    </row>
    <row r="58" spans="1:9" x14ac:dyDescent="0.3">
      <c r="A58" s="14" t="s">
        <v>1650</v>
      </c>
      <c r="B58" s="41">
        <v>0</v>
      </c>
      <c r="C58" s="7" t="s">
        <v>1668</v>
      </c>
    </row>
    <row r="60" spans="1:9" x14ac:dyDescent="0.3">
      <c r="A60" s="14"/>
      <c r="B60" s="46" t="s">
        <v>2712</v>
      </c>
      <c r="C60" s="46" t="s">
        <v>2720</v>
      </c>
      <c r="D60" s="30" t="s">
        <v>1655</v>
      </c>
      <c r="E60" s="30" t="str">
        <f>Summary!C4</f>
        <v>2015/16</v>
      </c>
      <c r="F60" s="30" t="str">
        <f>Summary!D4</f>
        <v>2016/17</v>
      </c>
      <c r="G60" s="30" t="str">
        <f>Summary!E4</f>
        <v>2017/18</v>
      </c>
      <c r="H60" s="30" t="str">
        <f>Summary!F4</f>
        <v>2018/19</v>
      </c>
      <c r="I60" s="30" t="str">
        <f>Summary!G4</f>
        <v>2019/20</v>
      </c>
    </row>
    <row r="61" spans="1:9" x14ac:dyDescent="0.3">
      <c r="A61" s="14" t="s">
        <v>1648</v>
      </c>
      <c r="B61" s="40">
        <f>B50*HourlyRateAPAMaintenanceStaff+B51*HourlyRateAPAOMSupervisor</f>
        <v>324.17719354838715</v>
      </c>
      <c r="C61" s="40">
        <f>B61*$C$25</f>
        <v>30148.479000000007</v>
      </c>
      <c r="D61" s="40">
        <f>C61*SUMPRODUCT(LabourAdjustmentFactor,E$48:I$48)</f>
        <v>30902.190975000005</v>
      </c>
      <c r="E61" s="40">
        <f>$C61*E$48*'Modelling Assumptions'!E$101</f>
        <v>30902.190975000005</v>
      </c>
      <c r="F61" s="40">
        <f>$C61*F$48*'Modelling Assumptions'!F$101</f>
        <v>0</v>
      </c>
      <c r="G61" s="40">
        <f>$C61*G$48*'Modelling Assumptions'!G$101</f>
        <v>0</v>
      </c>
      <c r="H61" s="40">
        <f>$C61*H$48*'Modelling Assumptions'!H$101</f>
        <v>0</v>
      </c>
      <c r="I61" s="40">
        <f>$C61*I$48*'Modelling Assumptions'!I$101</f>
        <v>0</v>
      </c>
    </row>
    <row r="62" spans="1:9" x14ac:dyDescent="0.3">
      <c r="A62" s="14" t="s">
        <v>1643</v>
      </c>
      <c r="B62" s="40">
        <f>B52</f>
        <v>688.17204301075265</v>
      </c>
      <c r="C62" s="40">
        <f>B62*$C$25</f>
        <v>63999.999999999993</v>
      </c>
      <c r="D62" s="40">
        <f>C62*SUMPRODUCT(MaterialsAdjustmentFactor,E$48:I$48)</f>
        <v>65920</v>
      </c>
      <c r="E62" s="40">
        <f>$C62*E$48*'Modelling Assumptions'!E$102</f>
        <v>65920</v>
      </c>
      <c r="F62" s="40">
        <f>$C62*F$48*'Modelling Assumptions'!F$102</f>
        <v>0</v>
      </c>
      <c r="G62" s="40">
        <f>$C62*G$48*'Modelling Assumptions'!G$102</f>
        <v>0</v>
      </c>
      <c r="H62" s="40">
        <f>$C62*H$48*'Modelling Assumptions'!H$102</f>
        <v>0</v>
      </c>
      <c r="I62" s="40">
        <f>$C62*I$48*'Modelling Assumptions'!I$102</f>
        <v>0</v>
      </c>
    </row>
    <row r="63" spans="1:9" x14ac:dyDescent="0.3">
      <c r="A63" s="14" t="s">
        <v>1649</v>
      </c>
      <c r="B63" s="40">
        <f>B57</f>
        <v>750</v>
      </c>
      <c r="C63" s="40">
        <f>B63*$C$25</f>
        <v>69750</v>
      </c>
      <c r="D63" s="40">
        <f>C63*SUMPRODUCT(LabourAdjustmentFactor,E$48:I$48)</f>
        <v>71493.75</v>
      </c>
      <c r="E63" s="40">
        <f>$C63*E$48*'Modelling Assumptions'!E$101</f>
        <v>71493.75</v>
      </c>
      <c r="F63" s="40">
        <f>$C63*F$48*'Modelling Assumptions'!F$101</f>
        <v>0</v>
      </c>
      <c r="G63" s="40">
        <f>$C63*G$48*'Modelling Assumptions'!G$101</f>
        <v>0</v>
      </c>
      <c r="H63" s="40">
        <f>$C63*H$48*'Modelling Assumptions'!H$101</f>
        <v>0</v>
      </c>
      <c r="I63" s="40">
        <f>$C63*I$48*'Modelling Assumptions'!I$101</f>
        <v>0</v>
      </c>
    </row>
    <row r="64" spans="1:9" x14ac:dyDescent="0.3">
      <c r="A64" s="14" t="s">
        <v>1650</v>
      </c>
      <c r="B64" s="40">
        <f>B58</f>
        <v>0</v>
      </c>
      <c r="C64" s="40">
        <f>B64*$C$25</f>
        <v>0</v>
      </c>
      <c r="D64" s="40">
        <f>C64*SUMPRODUCT(MaterialsAdjustmentFactor,E$48:I$48)</f>
        <v>0</v>
      </c>
      <c r="E64" s="40">
        <f>$C64*E$48*'Modelling Assumptions'!E$102</f>
        <v>0</v>
      </c>
      <c r="F64" s="40">
        <f>$C64*F$48*'Modelling Assumptions'!F$102</f>
        <v>0</v>
      </c>
      <c r="G64" s="40">
        <f>$C64*G$48*'Modelling Assumptions'!G$102</f>
        <v>0</v>
      </c>
      <c r="H64" s="40">
        <f>$C64*H$48*'Modelling Assumptions'!H$102</f>
        <v>0</v>
      </c>
      <c r="I64" s="40">
        <f>$C64*I$48*'Modelling Assumptions'!I$102</f>
        <v>0</v>
      </c>
    </row>
    <row r="66" spans="1:196" x14ac:dyDescent="0.3">
      <c r="A66" s="48" t="s">
        <v>2202</v>
      </c>
      <c r="B66" s="11"/>
      <c r="C66" s="11"/>
      <c r="D66" s="11"/>
      <c r="E66" s="11"/>
      <c r="F66" s="11"/>
      <c r="G66" s="11"/>
      <c r="H66" s="11"/>
      <c r="I66" s="11"/>
    </row>
    <row r="67" spans="1:196" s="301" customFormat="1" x14ac:dyDescent="0.3">
      <c r="A67" s="14"/>
      <c r="B67" s="14"/>
      <c r="C67" s="14"/>
      <c r="D67" s="14"/>
      <c r="E67" s="14"/>
      <c r="F67" s="14"/>
      <c r="G67" s="14"/>
      <c r="H67" s="14"/>
      <c r="I67" s="14"/>
    </row>
    <row r="68" spans="1:196" s="301" customFormat="1" x14ac:dyDescent="0.3">
      <c r="A68" s="14" t="s">
        <v>3324</v>
      </c>
      <c r="B68" s="14"/>
      <c r="C68" s="14"/>
      <c r="D68" s="14"/>
      <c r="E68" s="14"/>
      <c r="F68" s="14"/>
      <c r="G68" s="14"/>
      <c r="H68" s="14"/>
      <c r="I68" s="14"/>
    </row>
    <row r="69" spans="1:196" x14ac:dyDescent="0.3">
      <c r="A69" s="14" t="s">
        <v>1558</v>
      </c>
      <c r="B69" s="30" t="s">
        <v>1664</v>
      </c>
      <c r="C69" s="30" t="s">
        <v>1665</v>
      </c>
      <c r="D69" s="30" t="s">
        <v>1565</v>
      </c>
      <c r="E69" s="49" t="s">
        <v>1480</v>
      </c>
      <c r="I69" s="31"/>
      <c r="J69" s="31"/>
      <c r="K69" s="31"/>
      <c r="GD69" s="31"/>
      <c r="GE69" s="31"/>
      <c r="GH69" s="31"/>
      <c r="GI69" s="31"/>
      <c r="GJ69" s="31"/>
      <c r="GN69" s="15"/>
    </row>
    <row r="70" spans="1:196" x14ac:dyDescent="0.3">
      <c r="A70" t="s">
        <v>1481</v>
      </c>
      <c r="B70" s="31">
        <f>1.035</f>
        <v>1.0349999999999999</v>
      </c>
      <c r="C70" s="31">
        <f>1.53</f>
        <v>1.53</v>
      </c>
      <c r="D70">
        <v>6</v>
      </c>
      <c r="E70">
        <f t="shared" ref="E70:E75" si="1">2*PI()*B70*C70*D70</f>
        <v>59.698428559105402</v>
      </c>
      <c r="I70" s="31"/>
      <c r="J70" s="31"/>
      <c r="K70" s="31"/>
      <c r="O70" s="15"/>
      <c r="GD70" s="31"/>
      <c r="GE70" s="31"/>
      <c r="GH70" s="31"/>
      <c r="GI70" s="31"/>
      <c r="GJ70" s="31"/>
    </row>
    <row r="71" spans="1:196" x14ac:dyDescent="0.3">
      <c r="A71" t="s">
        <v>1482</v>
      </c>
      <c r="B71" s="31">
        <f>1.125</f>
        <v>1.125</v>
      </c>
      <c r="C71" s="31">
        <f>1.495</f>
        <v>1.4950000000000001</v>
      </c>
      <c r="D71">
        <v>12</v>
      </c>
      <c r="E71">
        <f t="shared" si="1"/>
        <v>126.81038746215202</v>
      </c>
      <c r="I71" s="31"/>
      <c r="J71" s="31"/>
      <c r="K71" s="31"/>
      <c r="GD71" s="31"/>
      <c r="GE71" s="31"/>
      <c r="GH71" s="31"/>
      <c r="GI71" s="31"/>
      <c r="GJ71" s="31"/>
    </row>
    <row r="72" spans="1:196" x14ac:dyDescent="0.3">
      <c r="A72" t="s">
        <v>1483</v>
      </c>
      <c r="B72" s="31">
        <f>0.935</f>
        <v>0.93500000000000005</v>
      </c>
      <c r="C72" s="31">
        <f>0.84</f>
        <v>0.84</v>
      </c>
      <c r="D72">
        <v>18</v>
      </c>
      <c r="E72">
        <f t="shared" si="1"/>
        <v>88.826647324659248</v>
      </c>
      <c r="I72" s="31"/>
      <c r="J72" s="31"/>
      <c r="K72" s="31"/>
      <c r="GD72" s="31"/>
      <c r="GE72" s="31"/>
      <c r="GH72" s="31"/>
      <c r="GI72" s="31"/>
      <c r="GJ72" s="31"/>
    </row>
    <row r="73" spans="1:196" x14ac:dyDescent="0.3">
      <c r="A73" t="s">
        <v>1484</v>
      </c>
      <c r="B73" s="31">
        <f>0.57</f>
        <v>0.56999999999999995</v>
      </c>
      <c r="C73" s="31">
        <f>0.63</f>
        <v>0.63</v>
      </c>
      <c r="D73">
        <v>18</v>
      </c>
      <c r="E73">
        <f t="shared" si="1"/>
        <v>40.613253188547404</v>
      </c>
      <c r="I73" s="31"/>
      <c r="J73" s="31"/>
      <c r="K73" s="31"/>
      <c r="GD73" s="31"/>
      <c r="GE73" s="31"/>
      <c r="GH73" s="31"/>
      <c r="GI73" s="31"/>
      <c r="GJ73" s="31"/>
    </row>
    <row r="74" spans="1:196" x14ac:dyDescent="0.3">
      <c r="A74" t="s">
        <v>1485</v>
      </c>
      <c r="B74" s="31">
        <f>0.796</f>
        <v>0.79600000000000004</v>
      </c>
      <c r="C74" s="31">
        <f>0.93</f>
        <v>0.93</v>
      </c>
      <c r="D74">
        <v>18</v>
      </c>
      <c r="E74">
        <f t="shared" si="1"/>
        <v>83.723695545580298</v>
      </c>
      <c r="I74" s="31"/>
      <c r="J74" s="31"/>
      <c r="K74" s="31"/>
      <c r="GD74" s="31"/>
      <c r="GE74" s="31"/>
      <c r="GH74" s="31"/>
      <c r="GI74" s="31"/>
      <c r="GJ74" s="31"/>
      <c r="GN74" s="15"/>
    </row>
    <row r="75" spans="1:196" x14ac:dyDescent="0.3">
      <c r="A75" t="s">
        <v>1486</v>
      </c>
      <c r="B75" s="31">
        <f>1.155</f>
        <v>1.155</v>
      </c>
      <c r="C75" s="31">
        <f>1.355</f>
        <v>1.355</v>
      </c>
      <c r="D75">
        <v>18</v>
      </c>
      <c r="E75">
        <f t="shared" si="1"/>
        <v>177.00015753663715</v>
      </c>
      <c r="I75" s="31"/>
      <c r="J75" s="31"/>
      <c r="K75" s="31"/>
      <c r="O75" s="15"/>
      <c r="GH75" s="31"/>
      <c r="GI75" s="31"/>
      <c r="GJ75" s="31"/>
    </row>
    <row r="76" spans="1:196" x14ac:dyDescent="0.3">
      <c r="B76" s="31"/>
      <c r="C76" s="31"/>
      <c r="I76" s="31"/>
      <c r="J76" s="31"/>
      <c r="K76" s="31"/>
      <c r="O76" s="15"/>
      <c r="GH76" s="31"/>
      <c r="GI76" s="31"/>
      <c r="GJ76" s="31"/>
    </row>
    <row r="77" spans="1:196" x14ac:dyDescent="0.3">
      <c r="A77" t="s">
        <v>1666</v>
      </c>
      <c r="B77" s="31"/>
      <c r="C77" s="31"/>
      <c r="I77" s="31"/>
      <c r="J77" s="31"/>
      <c r="K77" s="31"/>
      <c r="O77" s="15"/>
      <c r="GH77" s="31"/>
      <c r="GI77" s="31"/>
      <c r="GJ77" s="31"/>
    </row>
    <row r="78" spans="1:196" x14ac:dyDescent="0.3">
      <c r="A78" t="s">
        <v>1488</v>
      </c>
      <c r="B78">
        <v>6</v>
      </c>
      <c r="C78" t="s">
        <v>1489</v>
      </c>
      <c r="I78" s="31"/>
      <c r="J78" s="31"/>
      <c r="K78" s="31"/>
      <c r="O78" s="15"/>
      <c r="GH78" s="31"/>
      <c r="GI78" s="31"/>
      <c r="GJ78" s="31"/>
    </row>
    <row r="79" spans="1:196" x14ac:dyDescent="0.3">
      <c r="A79" t="s">
        <v>1490</v>
      </c>
      <c r="B79" s="55">
        <v>16000</v>
      </c>
      <c r="C79" t="s">
        <v>1491</v>
      </c>
      <c r="D79" s="15" t="s">
        <v>3320</v>
      </c>
      <c r="I79" s="31"/>
      <c r="J79" s="31"/>
      <c r="K79" s="31"/>
      <c r="O79" s="15"/>
      <c r="GH79" s="31"/>
      <c r="GI79" s="31"/>
      <c r="GJ79" s="31"/>
    </row>
    <row r="80" spans="1:196" x14ac:dyDescent="0.3">
      <c r="A80" t="s">
        <v>1492</v>
      </c>
      <c r="B80">
        <v>25</v>
      </c>
      <c r="C80" t="s">
        <v>1487</v>
      </c>
      <c r="I80" s="31"/>
      <c r="J80" s="31"/>
      <c r="K80" s="31"/>
      <c r="O80" s="15"/>
      <c r="GH80" s="31"/>
      <c r="GI80" s="31"/>
      <c r="GJ80" s="31"/>
    </row>
    <row r="81" spans="1:196" x14ac:dyDescent="0.3">
      <c r="B81" s="31"/>
      <c r="C81" s="31"/>
      <c r="I81" s="31"/>
      <c r="J81" s="31"/>
      <c r="K81" s="31"/>
      <c r="O81" s="15"/>
      <c r="GH81" s="31"/>
      <c r="GI81" s="31"/>
      <c r="GJ81" s="31"/>
    </row>
    <row r="82" spans="1:196" x14ac:dyDescent="0.3">
      <c r="B82" s="31"/>
      <c r="C82" s="31"/>
      <c r="I82" s="31"/>
      <c r="J82" s="31"/>
      <c r="K82" s="31"/>
      <c r="O82" s="15"/>
      <c r="GH82" s="31"/>
      <c r="GI82" s="31"/>
      <c r="GJ82" s="31"/>
    </row>
    <row r="83" spans="1:196" x14ac:dyDescent="0.3">
      <c r="A83" t="s">
        <v>3323</v>
      </c>
      <c r="B83" s="50">
        <f>SUM(E70:E75)</f>
        <v>576.67256961668147</v>
      </c>
      <c r="C83" t="s">
        <v>3322</v>
      </c>
      <c r="I83" s="31"/>
      <c r="J83" s="31"/>
      <c r="K83" s="31"/>
      <c r="GH83" s="31"/>
      <c r="GI83" s="31"/>
      <c r="GJ83" s="31"/>
    </row>
    <row r="84" spans="1:196" x14ac:dyDescent="0.3">
      <c r="A84" t="s">
        <v>1566</v>
      </c>
      <c r="B84" s="50">
        <f>B83/B78</f>
        <v>96.112094936113579</v>
      </c>
      <c r="I84" s="31"/>
      <c r="J84" s="31"/>
      <c r="K84" s="31"/>
      <c r="GF84" s="6"/>
      <c r="GH84" s="31"/>
      <c r="GI84" s="31"/>
      <c r="GJ84" s="31"/>
    </row>
    <row r="85" spans="1:196" x14ac:dyDescent="0.3">
      <c r="A85" t="s">
        <v>1567</v>
      </c>
      <c r="B85">
        <f>CEILING(B84/B80,1)</f>
        <v>4</v>
      </c>
      <c r="C85" t="s">
        <v>1667</v>
      </c>
      <c r="G85" s="6"/>
      <c r="I85" s="31"/>
      <c r="J85" s="31"/>
      <c r="K85" s="31"/>
      <c r="GH85" s="31"/>
      <c r="GI85" s="31"/>
      <c r="GJ85" s="31"/>
    </row>
    <row r="86" spans="1:196" x14ac:dyDescent="0.3">
      <c r="A86" t="s">
        <v>1568</v>
      </c>
      <c r="B86" s="33">
        <f>B85*B79</f>
        <v>64000</v>
      </c>
      <c r="I86" s="31"/>
      <c r="J86" s="31"/>
      <c r="K86" s="31"/>
      <c r="GF86" s="6"/>
      <c r="GH86" s="31"/>
      <c r="GI86" s="31"/>
      <c r="GJ86" s="31"/>
    </row>
    <row r="87" spans="1:196" x14ac:dyDescent="0.3">
      <c r="G87" s="6"/>
      <c r="I87" s="31"/>
      <c r="J87" s="31"/>
      <c r="K87" s="31"/>
      <c r="GF87" s="6"/>
      <c r="GH87" s="31"/>
      <c r="GI87" s="31"/>
      <c r="GJ87" s="31"/>
    </row>
    <row r="88" spans="1:196" x14ac:dyDescent="0.3">
      <c r="G88" s="6"/>
      <c r="I88" s="31"/>
      <c r="J88" s="31"/>
      <c r="K88" s="31"/>
      <c r="GF88" s="6"/>
      <c r="GH88" s="31"/>
      <c r="GI88" s="31"/>
      <c r="GJ88" s="31"/>
      <c r="GN88" s="15"/>
    </row>
    <row r="90" spans="1:196" x14ac:dyDescent="0.3">
      <c r="A90" s="10" t="s">
        <v>1641</v>
      </c>
      <c r="B90" s="44"/>
      <c r="C90" s="44"/>
      <c r="D90" s="10"/>
      <c r="E90" s="10"/>
      <c r="F90" s="10"/>
      <c r="G90" s="10"/>
      <c r="H90" s="10"/>
      <c r="I90" s="10"/>
    </row>
    <row r="91" spans="1:196" x14ac:dyDescent="0.3">
      <c r="A91" t="s">
        <v>3</v>
      </c>
      <c r="B91" t="s">
        <v>2</v>
      </c>
      <c r="C91" t="s">
        <v>1</v>
      </c>
    </row>
    <row r="92" spans="1:196" x14ac:dyDescent="0.3">
      <c r="A92" t="s">
        <v>55</v>
      </c>
      <c r="B92" t="s">
        <v>54</v>
      </c>
      <c r="C92" t="s">
        <v>8</v>
      </c>
      <c r="D92" t="s">
        <v>8</v>
      </c>
    </row>
    <row r="93" spans="1:196" x14ac:dyDescent="0.3">
      <c r="A93" t="s">
        <v>55</v>
      </c>
      <c r="B93" t="s">
        <v>54</v>
      </c>
      <c r="C93" t="s">
        <v>8</v>
      </c>
      <c r="D93" t="s">
        <v>93</v>
      </c>
    </row>
    <row r="94" spans="1:196" x14ac:dyDescent="0.3">
      <c r="A94" t="s">
        <v>55</v>
      </c>
      <c r="B94" t="s">
        <v>54</v>
      </c>
      <c r="C94" t="s">
        <v>8</v>
      </c>
      <c r="D94" t="s">
        <v>108</v>
      </c>
    </row>
    <row r="95" spans="1:196" x14ac:dyDescent="0.3">
      <c r="A95" t="s">
        <v>55</v>
      </c>
      <c r="B95" t="s">
        <v>54</v>
      </c>
      <c r="C95" t="s">
        <v>328</v>
      </c>
      <c r="D95" t="s">
        <v>328</v>
      </c>
    </row>
    <row r="96" spans="1:196" x14ac:dyDescent="0.3">
      <c r="A96" t="s">
        <v>55</v>
      </c>
      <c r="B96" t="s">
        <v>54</v>
      </c>
      <c r="C96" t="s">
        <v>328</v>
      </c>
      <c r="D96" t="s">
        <v>346</v>
      </c>
    </row>
    <row r="97" spans="1:5" x14ac:dyDescent="0.3">
      <c r="A97" t="s">
        <v>55</v>
      </c>
      <c r="B97" t="s">
        <v>54</v>
      </c>
      <c r="C97" t="s">
        <v>328</v>
      </c>
      <c r="D97" t="s">
        <v>358</v>
      </c>
    </row>
    <row r="99" spans="1:5" x14ac:dyDescent="0.3">
      <c r="A99" t="s">
        <v>16</v>
      </c>
      <c r="B99" t="s">
        <v>15</v>
      </c>
      <c r="C99" t="s">
        <v>9</v>
      </c>
      <c r="D99" t="s">
        <v>44</v>
      </c>
    </row>
    <row r="100" spans="1:5" x14ac:dyDescent="0.3">
      <c r="A100" t="s">
        <v>104</v>
      </c>
      <c r="B100" t="s">
        <v>15</v>
      </c>
      <c r="C100" t="s">
        <v>8</v>
      </c>
      <c r="D100" t="s">
        <v>93</v>
      </c>
    </row>
    <row r="101" spans="1:5" x14ac:dyDescent="0.3">
      <c r="A101" t="s">
        <v>118</v>
      </c>
      <c r="B101" t="s">
        <v>15</v>
      </c>
      <c r="C101" t="s">
        <v>8</v>
      </c>
      <c r="D101" t="s">
        <v>108</v>
      </c>
    </row>
    <row r="102" spans="1:5" x14ac:dyDescent="0.3">
      <c r="A102" t="s">
        <v>329</v>
      </c>
      <c r="B102" t="s">
        <v>15</v>
      </c>
      <c r="C102" t="s">
        <v>9</v>
      </c>
      <c r="D102" t="s">
        <v>335</v>
      </c>
    </row>
    <row r="103" spans="1:5" x14ac:dyDescent="0.3">
      <c r="A103" t="s">
        <v>356</v>
      </c>
      <c r="B103" t="s">
        <v>15</v>
      </c>
      <c r="C103" t="s">
        <v>328</v>
      </c>
      <c r="D103" t="s">
        <v>346</v>
      </c>
    </row>
    <row r="104" spans="1:5" x14ac:dyDescent="0.3">
      <c r="A104" t="s">
        <v>368</v>
      </c>
      <c r="B104" t="s">
        <v>15</v>
      </c>
      <c r="C104" t="s">
        <v>328</v>
      </c>
      <c r="D104" t="s">
        <v>358</v>
      </c>
    </row>
    <row r="110" spans="1:5" x14ac:dyDescent="0.3">
      <c r="A110" t="s">
        <v>1098</v>
      </c>
      <c r="B110" t="s">
        <v>529</v>
      </c>
    </row>
    <row r="111" spans="1:5" x14ac:dyDescent="0.3">
      <c r="A111" t="s">
        <v>1151</v>
      </c>
      <c r="B111" t="s">
        <v>1100</v>
      </c>
      <c r="C111" t="s">
        <v>1101</v>
      </c>
      <c r="D111" s="29">
        <v>41535.546527777777</v>
      </c>
      <c r="E111" t="s">
        <v>1119</v>
      </c>
    </row>
    <row r="112" spans="1:5" x14ac:dyDescent="0.3">
      <c r="A112" t="s">
        <v>1152</v>
      </c>
      <c r="B112" t="s">
        <v>1121</v>
      </c>
      <c r="C112" t="s">
        <v>1101</v>
      </c>
      <c r="D112" s="29">
        <v>41535.60833333333</v>
      </c>
      <c r="E112" t="s">
        <v>1153</v>
      </c>
    </row>
    <row r="113" spans="1:5" x14ac:dyDescent="0.3">
      <c r="A113" t="s">
        <v>1154</v>
      </c>
      <c r="B113" t="s">
        <v>1121</v>
      </c>
      <c r="C113" t="s">
        <v>1101</v>
      </c>
      <c r="D113" s="29">
        <v>41535.60833333333</v>
      </c>
      <c r="E113" t="s">
        <v>1153</v>
      </c>
    </row>
    <row r="114" spans="1:5" x14ac:dyDescent="0.3">
      <c r="A114" t="s">
        <v>1155</v>
      </c>
      <c r="B114" t="s">
        <v>1100</v>
      </c>
      <c r="C114" t="s">
        <v>1101</v>
      </c>
      <c r="D114" s="29">
        <v>41533.71875</v>
      </c>
      <c r="E114" t="s">
        <v>1115</v>
      </c>
    </row>
    <row r="115" spans="1:5" x14ac:dyDescent="0.3">
      <c r="A115" t="s">
        <v>1156</v>
      </c>
      <c r="B115" t="s">
        <v>1121</v>
      </c>
      <c r="C115" t="s">
        <v>1101</v>
      </c>
      <c r="D115" s="29">
        <v>41535.60833333333</v>
      </c>
      <c r="E115" t="s">
        <v>1153</v>
      </c>
    </row>
    <row r="116" spans="1:5" x14ac:dyDescent="0.3">
      <c r="A116" t="s">
        <v>1157</v>
      </c>
      <c r="B116" t="s">
        <v>1121</v>
      </c>
      <c r="C116" t="s">
        <v>1101</v>
      </c>
      <c r="D116" s="29">
        <v>41535.60833333333</v>
      </c>
      <c r="E116" t="s">
        <v>1153</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C8C800"/>
    <pageSetUpPr fitToPage="1"/>
  </sheetPr>
  <dimension ref="A1:I73"/>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9.109375" customWidth="1"/>
    <col min="6" max="9" width="10.109375" bestFit="1" customWidth="1"/>
  </cols>
  <sheetData>
    <row r="1" spans="1:9" ht="15" x14ac:dyDescent="0.25">
      <c r="A1" t="s">
        <v>1642</v>
      </c>
      <c r="B1" t="s">
        <v>1893</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141907.27981590602</v>
      </c>
      <c r="E3" s="33">
        <f>E38</f>
        <v>26997.414524999997</v>
      </c>
      <c r="F3" s="33">
        <f t="shared" ref="F3:I3" si="0">F38</f>
        <v>27672.349888124998</v>
      </c>
      <c r="G3" s="33">
        <f t="shared" si="0"/>
        <v>28364.15863532812</v>
      </c>
      <c r="H3" s="33">
        <f t="shared" si="0"/>
        <v>29073.262601211321</v>
      </c>
      <c r="I3" s="33">
        <f t="shared" si="0"/>
        <v>29800.094166241601</v>
      </c>
    </row>
    <row r="4" spans="1:9" ht="15" x14ac:dyDescent="0.25">
      <c r="A4" t="s">
        <v>1643</v>
      </c>
      <c r="B4" s="33"/>
      <c r="C4" s="33"/>
      <c r="D4" s="33">
        <f t="shared" ref="D4:D6" si="1">SUM(E4:I4)</f>
        <v>39700.655760018002</v>
      </c>
      <c r="E4" s="33">
        <f t="shared" ref="E4:I4" si="2">E39</f>
        <v>7477.8000000000011</v>
      </c>
      <c r="F4" s="33">
        <f t="shared" si="2"/>
        <v>7702.1340000000009</v>
      </c>
      <c r="G4" s="33">
        <f t="shared" si="2"/>
        <v>7933.1980200000007</v>
      </c>
      <c r="H4" s="33">
        <f t="shared" si="2"/>
        <v>8171.1939606000005</v>
      </c>
      <c r="I4" s="33">
        <f t="shared" si="2"/>
        <v>8416.3297794179998</v>
      </c>
    </row>
    <row r="5" spans="1:9" ht="15" x14ac:dyDescent="0.25">
      <c r="A5" t="s">
        <v>1649</v>
      </c>
      <c r="B5" s="33"/>
      <c r="C5" s="33"/>
      <c r="D5" s="33">
        <f t="shared" si="1"/>
        <v>336733.54553222656</v>
      </c>
      <c r="E5" s="33">
        <f t="shared" ref="E5:I5" si="3">E40</f>
        <v>64062.5</v>
      </c>
      <c r="F5" s="33">
        <f t="shared" si="3"/>
        <v>65664.0625</v>
      </c>
      <c r="G5" s="33">
        <f t="shared" si="3"/>
        <v>67305.6640625</v>
      </c>
      <c r="H5" s="33">
        <f t="shared" si="3"/>
        <v>68988.3056640625</v>
      </c>
      <c r="I5" s="33">
        <f t="shared" si="3"/>
        <v>70713.013305664048</v>
      </c>
    </row>
    <row r="6" spans="1:9" ht="15" x14ac:dyDescent="0.25">
      <c r="A6" t="s">
        <v>1650</v>
      </c>
      <c r="B6" s="33"/>
      <c r="C6" s="33"/>
      <c r="D6" s="33">
        <f t="shared" si="1"/>
        <v>0</v>
      </c>
      <c r="E6" s="33">
        <f t="shared" ref="E6:I6" si="4">E41</f>
        <v>0</v>
      </c>
      <c r="F6" s="33">
        <f t="shared" si="4"/>
        <v>0</v>
      </c>
      <c r="G6" s="33">
        <f t="shared" si="4"/>
        <v>0</v>
      </c>
      <c r="H6" s="33">
        <f t="shared" si="4"/>
        <v>0</v>
      </c>
      <c r="I6" s="33">
        <f t="shared" si="4"/>
        <v>0</v>
      </c>
    </row>
    <row r="9" spans="1:9" ht="15" x14ac:dyDescent="0.25">
      <c r="A9" t="s">
        <v>1497</v>
      </c>
      <c r="B9" t="s">
        <v>1499</v>
      </c>
    </row>
    <row r="10" spans="1:9" ht="15" x14ac:dyDescent="0.25">
      <c r="A10" t="s">
        <v>1500</v>
      </c>
      <c r="B10" t="s">
        <v>1544</v>
      </c>
    </row>
    <row r="12" spans="1:9" ht="15" x14ac:dyDescent="0.25">
      <c r="A12" t="s">
        <v>1894</v>
      </c>
    </row>
    <row r="13" spans="1:9" ht="15" x14ac:dyDescent="0.25">
      <c r="B13" s="39" t="s">
        <v>1602</v>
      </c>
      <c r="C13" s="39">
        <v>15</v>
      </c>
      <c r="D13" t="s">
        <v>2737</v>
      </c>
    </row>
    <row r="14" spans="1:9" ht="15" x14ac:dyDescent="0.25">
      <c r="A14" s="12" t="s">
        <v>1640</v>
      </c>
      <c r="B14" s="12"/>
      <c r="C14" s="12">
        <f>SUM(C13:C13)</f>
        <v>15</v>
      </c>
    </row>
    <row r="15" spans="1:9" ht="15" x14ac:dyDescent="0.25">
      <c r="B15" s="39"/>
      <c r="C15" s="39"/>
    </row>
    <row r="16" spans="1:9" ht="15" x14ac:dyDescent="0.25">
      <c r="A16" t="s">
        <v>1992</v>
      </c>
      <c r="B16" s="39"/>
      <c r="C16" s="39"/>
    </row>
    <row r="17" spans="1:9" ht="15" x14ac:dyDescent="0.25">
      <c r="A17" t="s">
        <v>2082</v>
      </c>
      <c r="B17" s="39"/>
      <c r="C17" s="39"/>
    </row>
    <row r="18" spans="1:9" ht="15" x14ac:dyDescent="0.25">
      <c r="A18" t="s">
        <v>2083</v>
      </c>
      <c r="B18" s="39"/>
      <c r="C18" s="39"/>
    </row>
    <row r="19" spans="1:9" ht="15" x14ac:dyDescent="0.25">
      <c r="A19" t="s">
        <v>2084</v>
      </c>
      <c r="B19" s="39"/>
      <c r="C19" s="39"/>
    </row>
    <row r="20" spans="1:9" ht="15" x14ac:dyDescent="0.25">
      <c r="A20" t="s">
        <v>2213</v>
      </c>
      <c r="B20" s="39"/>
      <c r="C20" s="39"/>
    </row>
    <row r="21" spans="1:9" ht="15" x14ac:dyDescent="0.25">
      <c r="B21" s="39"/>
      <c r="C21" s="39"/>
    </row>
    <row r="22" spans="1:9" ht="15" x14ac:dyDescent="0.25">
      <c r="A22" t="s">
        <v>2227</v>
      </c>
      <c r="B22" s="39"/>
      <c r="C22" s="39"/>
    </row>
    <row r="23" spans="1:9" ht="15" x14ac:dyDescent="0.25">
      <c r="B23" s="39"/>
      <c r="C23" s="39"/>
    </row>
    <row r="24" spans="1:9" ht="15" x14ac:dyDescent="0.25">
      <c r="B24" s="39"/>
      <c r="C24" s="39"/>
      <c r="E24" s="30" t="str">
        <f>Summary!C4</f>
        <v>2015/16</v>
      </c>
      <c r="F24" s="30" t="str">
        <f>Summary!D4</f>
        <v>2016/17</v>
      </c>
      <c r="G24" s="30" t="str">
        <f>Summary!E4</f>
        <v>2017/18</v>
      </c>
      <c r="H24" s="30" t="str">
        <f>Summary!F4</f>
        <v>2018/19</v>
      </c>
      <c r="I24" s="30" t="str">
        <f>Summary!G4</f>
        <v>2019/20</v>
      </c>
    </row>
    <row r="25" spans="1:9" x14ac:dyDescent="0.3">
      <c r="A25" s="68" t="s">
        <v>1149</v>
      </c>
      <c r="B25" s="45" t="s">
        <v>56</v>
      </c>
      <c r="C25" s="45"/>
      <c r="D25" s="45"/>
      <c r="E25" s="45">
        <v>1</v>
      </c>
      <c r="F25" s="45">
        <v>1</v>
      </c>
      <c r="G25" s="45">
        <v>1</v>
      </c>
      <c r="H25" s="45">
        <v>1</v>
      </c>
      <c r="I25" s="45">
        <v>1</v>
      </c>
    </row>
    <row r="26" spans="1:9" ht="15" x14ac:dyDescent="0.25">
      <c r="A26" s="8" t="s">
        <v>1646</v>
      </c>
      <c r="C26" s="39"/>
    </row>
    <row r="27" spans="1:9" ht="15" x14ac:dyDescent="0.25">
      <c r="A27" s="14" t="s">
        <v>1658</v>
      </c>
      <c r="B27" s="75">
        <f>SUM(B45:B46)</f>
        <v>16.066666666666666</v>
      </c>
      <c r="C27" s="14" t="s">
        <v>1892</v>
      </c>
    </row>
    <row r="28" spans="1:9" ht="15" x14ac:dyDescent="0.25">
      <c r="A28" s="14" t="s">
        <v>1997</v>
      </c>
      <c r="B28" s="78">
        <f>SUM(B49:B50)</f>
        <v>1.1444444444444446</v>
      </c>
      <c r="C28" s="14" t="s">
        <v>3410</v>
      </c>
    </row>
    <row r="29" spans="1:9" ht="15" x14ac:dyDescent="0.25">
      <c r="A29" s="14" t="s">
        <v>1643</v>
      </c>
      <c r="B29" s="40">
        <f>B69</f>
        <v>484.00000000000006</v>
      </c>
      <c r="C29" s="14" t="s">
        <v>2143</v>
      </c>
    </row>
    <row r="30" spans="1:9" ht="15" x14ac:dyDescent="0.25">
      <c r="A30" s="14"/>
      <c r="B30" s="41"/>
      <c r="C30" s="14"/>
    </row>
    <row r="31" spans="1:9" x14ac:dyDescent="0.3">
      <c r="A31" s="42" t="s">
        <v>1647</v>
      </c>
      <c r="B31" s="7"/>
      <c r="C31" s="14"/>
    </row>
    <row r="32" spans="1:9" x14ac:dyDescent="0.3">
      <c r="A32" s="14" t="s">
        <v>1656</v>
      </c>
      <c r="B32" s="7"/>
      <c r="C32" s="14"/>
    </row>
    <row r="33" spans="1:9" x14ac:dyDescent="0.3">
      <c r="A33" s="14" t="s">
        <v>1651</v>
      </c>
      <c r="B33" s="41"/>
      <c r="C33" s="14"/>
    </row>
    <row r="34" spans="1:9" x14ac:dyDescent="0.3">
      <c r="A34" s="14" t="s">
        <v>1649</v>
      </c>
      <c r="B34" s="55">
        <f>B64/3</f>
        <v>4166.666666666667</v>
      </c>
      <c r="C34" s="14" t="s">
        <v>3326</v>
      </c>
    </row>
    <row r="35" spans="1:9" x14ac:dyDescent="0.3">
      <c r="A35" s="14" t="s">
        <v>1650</v>
      </c>
      <c r="B35" s="55">
        <v>0</v>
      </c>
      <c r="C35" s="14" t="s">
        <v>2249</v>
      </c>
    </row>
    <row r="36" spans="1:9" x14ac:dyDescent="0.3">
      <c r="A36" s="14"/>
      <c r="B36" s="41"/>
      <c r="C36" s="14"/>
    </row>
    <row r="37" spans="1:9" x14ac:dyDescent="0.3">
      <c r="A37" s="14"/>
      <c r="B37" s="46" t="s">
        <v>2712</v>
      </c>
      <c r="C37" s="46" t="s">
        <v>2720</v>
      </c>
      <c r="D37" s="30" t="s">
        <v>1655</v>
      </c>
      <c r="E37" s="30" t="str">
        <f>Summary!C4</f>
        <v>2015/16</v>
      </c>
      <c r="F37" s="30" t="str">
        <f>Summary!D4</f>
        <v>2016/17</v>
      </c>
      <c r="G37" s="30" t="str">
        <f>Summary!E4</f>
        <v>2017/18</v>
      </c>
      <c r="H37" s="30" t="str">
        <f>Summary!F4</f>
        <v>2018/19</v>
      </c>
      <c r="I37" s="30" t="str">
        <f>Summary!G4</f>
        <v>2019/20</v>
      </c>
    </row>
    <row r="38" spans="1:9" x14ac:dyDescent="0.3">
      <c r="A38" s="14" t="s">
        <v>1648</v>
      </c>
      <c r="B38" s="40">
        <f>B27*HourlyRateAPAMaintenanceStaff+B28*HourlyRateAPAOMSupervisor</f>
        <v>1755.9294</v>
      </c>
      <c r="C38" s="40">
        <f>B38*$C$14</f>
        <v>26338.940999999999</v>
      </c>
      <c r="D38" s="40">
        <f>C38*SUMPRODUCT(LabourAdjustmentFactor,E$25:I$25)</f>
        <v>141907.27981590605</v>
      </c>
      <c r="E38" s="40">
        <f>$C38*E$25*'Modelling Assumptions'!E$101</f>
        <v>26997.414524999997</v>
      </c>
      <c r="F38" s="40">
        <f>$C38*F$25*'Modelling Assumptions'!F$101</f>
        <v>27672.349888124998</v>
      </c>
      <c r="G38" s="40">
        <f>$C38*G$25*'Modelling Assumptions'!G$101</f>
        <v>28364.15863532812</v>
      </c>
      <c r="H38" s="40">
        <f>$C38*H$25*'Modelling Assumptions'!H$101</f>
        <v>29073.262601211321</v>
      </c>
      <c r="I38" s="40">
        <f>$C38*I$25*'Modelling Assumptions'!I$101</f>
        <v>29800.094166241601</v>
      </c>
    </row>
    <row r="39" spans="1:9" x14ac:dyDescent="0.3">
      <c r="A39" s="14" t="s">
        <v>1643</v>
      </c>
      <c r="B39" s="40">
        <f>B29</f>
        <v>484.00000000000006</v>
      </c>
      <c r="C39" s="40">
        <f>B39*$C$14</f>
        <v>7260.0000000000009</v>
      </c>
      <c r="D39" s="40">
        <f>C39*SUMPRODUCT(MaterialsAdjustmentFactor,E$25:I$25)</f>
        <v>39700.655760018002</v>
      </c>
      <c r="E39" s="40">
        <f>$C39*E$25*'Modelling Assumptions'!E$102</f>
        <v>7477.8000000000011</v>
      </c>
      <c r="F39" s="40">
        <f>$C39*F$25*'Modelling Assumptions'!F$102</f>
        <v>7702.1340000000009</v>
      </c>
      <c r="G39" s="40">
        <f>$C39*G$25*'Modelling Assumptions'!G$102</f>
        <v>7933.1980200000007</v>
      </c>
      <c r="H39" s="40">
        <f>$C39*H$25*'Modelling Assumptions'!H$102</f>
        <v>8171.1939606000005</v>
      </c>
      <c r="I39" s="40">
        <f>$C39*I$25*'Modelling Assumptions'!I$102</f>
        <v>8416.3297794179998</v>
      </c>
    </row>
    <row r="40" spans="1:9" x14ac:dyDescent="0.3">
      <c r="A40" s="14" t="s">
        <v>1649</v>
      </c>
      <c r="B40" s="40">
        <f>B34</f>
        <v>4166.666666666667</v>
      </c>
      <c r="C40" s="40">
        <f>B40*$C$14</f>
        <v>62500.000000000007</v>
      </c>
      <c r="D40" s="40">
        <f>C40*SUMPRODUCT(LabourAdjustmentFactor,E$25:I$25)</f>
        <v>336733.54553222656</v>
      </c>
      <c r="E40" s="40">
        <f>$C40*E$25*'Modelling Assumptions'!E$101</f>
        <v>64062.5</v>
      </c>
      <c r="F40" s="40">
        <f>$C40*F$25*'Modelling Assumptions'!F$101</f>
        <v>65664.0625</v>
      </c>
      <c r="G40" s="40">
        <f>$C40*G$25*'Modelling Assumptions'!G$101</f>
        <v>67305.6640625</v>
      </c>
      <c r="H40" s="40">
        <f>$C40*H$25*'Modelling Assumptions'!H$101</f>
        <v>68988.3056640625</v>
      </c>
      <c r="I40" s="40">
        <f>$C40*I$25*'Modelling Assumptions'!I$101</f>
        <v>70713.013305664048</v>
      </c>
    </row>
    <row r="41" spans="1:9" x14ac:dyDescent="0.3">
      <c r="A41" s="14" t="s">
        <v>1650</v>
      </c>
      <c r="B41" s="40">
        <f>B35</f>
        <v>0</v>
      </c>
      <c r="C41" s="40">
        <f>B41*$C$14</f>
        <v>0</v>
      </c>
      <c r="D41" s="40">
        <f>C41*SUMPRODUCT(MaterialsAdjustmentFactor,E$25:I$25)</f>
        <v>0</v>
      </c>
      <c r="E41" s="40">
        <f>$C41*E$25*'Modelling Assumptions'!E$102</f>
        <v>0</v>
      </c>
      <c r="F41" s="40">
        <f>$C41*F$25*'Modelling Assumptions'!F$102</f>
        <v>0</v>
      </c>
      <c r="G41" s="40">
        <f>$C41*G$25*'Modelling Assumptions'!G$102</f>
        <v>0</v>
      </c>
      <c r="H41" s="40">
        <f>$C41*H$25*'Modelling Assumptions'!H$102</f>
        <v>0</v>
      </c>
      <c r="I41" s="40">
        <f>$C41*I$25*'Modelling Assumptions'!I$102</f>
        <v>0</v>
      </c>
    </row>
    <row r="42" spans="1:9" x14ac:dyDescent="0.3">
      <c r="A42" s="14"/>
      <c r="B42" s="40"/>
      <c r="C42" s="40"/>
      <c r="D42" s="40"/>
      <c r="E42" s="40"/>
      <c r="F42" s="40"/>
      <c r="G42" s="40"/>
      <c r="H42" s="40"/>
      <c r="I42" s="40"/>
    </row>
    <row r="43" spans="1:9" x14ac:dyDescent="0.3">
      <c r="A43" s="48" t="s">
        <v>1496</v>
      </c>
      <c r="B43" s="48"/>
      <c r="C43" s="48"/>
      <c r="D43" s="48"/>
      <c r="E43" s="40"/>
      <c r="F43" s="40"/>
      <c r="G43" s="40"/>
      <c r="H43" s="40"/>
      <c r="I43" s="40"/>
    </row>
    <row r="44" spans="1:9" x14ac:dyDescent="0.3">
      <c r="A44" s="14" t="s">
        <v>2231</v>
      </c>
      <c r="B44" s="14"/>
      <c r="C44" s="14"/>
      <c r="D44" s="14"/>
      <c r="E44" s="40"/>
      <c r="F44" s="40"/>
      <c r="G44" s="40"/>
      <c r="H44" s="40"/>
      <c r="I44" s="40"/>
    </row>
    <row r="45" spans="1:9" x14ac:dyDescent="0.3">
      <c r="A45" s="14" t="s">
        <v>2228</v>
      </c>
      <c r="B45" s="67">
        <f>APATechnicianHours/$C$14</f>
        <v>6.6666666666666666E-2</v>
      </c>
      <c r="C45" s="40" t="s">
        <v>2229</v>
      </c>
      <c r="D45" s="40"/>
      <c r="E45" s="40"/>
      <c r="F45" s="40"/>
      <c r="G45" s="40"/>
      <c r="H45" s="40"/>
      <c r="I45" s="40"/>
    </row>
    <row r="46" spans="1:9" x14ac:dyDescent="0.3">
      <c r="A46" s="14" t="s">
        <v>2230</v>
      </c>
      <c r="B46" s="75">
        <v>16</v>
      </c>
      <c r="C46" s="40" t="s">
        <v>2246</v>
      </c>
      <c r="D46" s="40"/>
      <c r="E46" s="40"/>
      <c r="F46" s="40"/>
      <c r="G46" s="40"/>
      <c r="H46" s="40"/>
      <c r="I46" s="40"/>
    </row>
    <row r="47" spans="1:9" x14ac:dyDescent="0.3">
      <c r="A47" s="14"/>
      <c r="B47" s="67"/>
      <c r="C47" s="40"/>
      <c r="D47" s="40"/>
      <c r="E47" s="40"/>
      <c r="F47" s="40"/>
      <c r="G47" s="40"/>
      <c r="H47" s="40"/>
      <c r="I47" s="40"/>
    </row>
    <row r="48" spans="1:9" x14ac:dyDescent="0.3">
      <c r="A48" s="14" t="s">
        <v>3379</v>
      </c>
      <c r="B48" s="67"/>
      <c r="C48" s="40"/>
      <c r="D48" s="40"/>
      <c r="E48" s="40"/>
      <c r="F48" s="40"/>
      <c r="G48" s="40"/>
      <c r="H48" s="40"/>
      <c r="I48" s="40"/>
    </row>
    <row r="49" spans="1:9" x14ac:dyDescent="0.3">
      <c r="A49" s="14" t="s">
        <v>2233</v>
      </c>
      <c r="B49" s="67">
        <f>APASupervisorHours/$C$14</f>
        <v>0.5722222222222223</v>
      </c>
      <c r="C49" s="40" t="s">
        <v>2248</v>
      </c>
      <c r="D49" s="40"/>
      <c r="E49" s="40"/>
      <c r="F49" s="40"/>
      <c r="G49" s="40"/>
      <c r="H49" s="40"/>
      <c r="I49" s="40"/>
    </row>
    <row r="50" spans="1:9" x14ac:dyDescent="0.3">
      <c r="A50" s="14" t="s">
        <v>2234</v>
      </c>
      <c r="B50" s="67">
        <f>APASupervisorHours/$C$14</f>
        <v>0.5722222222222223</v>
      </c>
      <c r="C50" s="40" t="s">
        <v>2247</v>
      </c>
      <c r="D50" s="40"/>
      <c r="E50" s="40"/>
      <c r="F50" s="40"/>
      <c r="G50" s="40"/>
      <c r="H50" s="40"/>
      <c r="I50" s="40"/>
    </row>
    <row r="51" spans="1:9" s="301" customFormat="1" x14ac:dyDescent="0.3">
      <c r="A51" s="14"/>
      <c r="B51" s="67"/>
      <c r="C51" s="40"/>
      <c r="D51" s="40"/>
      <c r="E51" s="40"/>
      <c r="F51" s="40"/>
      <c r="G51" s="40"/>
      <c r="H51" s="40"/>
      <c r="I51" s="40"/>
    </row>
    <row r="52" spans="1:9" s="301" customFormat="1" x14ac:dyDescent="0.3">
      <c r="A52" s="14" t="s">
        <v>2155</v>
      </c>
      <c r="B52" s="67"/>
      <c r="C52" s="338" t="s">
        <v>3507</v>
      </c>
      <c r="D52" s="40"/>
      <c r="E52" s="40"/>
      <c r="F52" s="40"/>
      <c r="G52" s="40"/>
      <c r="H52" s="40"/>
      <c r="I52" s="40"/>
    </row>
    <row r="53" spans="1:9" x14ac:dyDescent="0.3">
      <c r="A53" s="14" t="s">
        <v>2232</v>
      </c>
      <c r="B53" s="75">
        <v>8</v>
      </c>
      <c r="C53" s="40" t="s">
        <v>3419</v>
      </c>
      <c r="D53" s="40"/>
      <c r="E53" s="40"/>
      <c r="F53" s="40"/>
      <c r="G53" s="40"/>
      <c r="H53" s="40"/>
      <c r="I53" s="40"/>
    </row>
    <row r="54" spans="1:9" x14ac:dyDescent="0.3">
      <c r="A54" s="14"/>
      <c r="B54" s="67"/>
      <c r="C54" s="14"/>
    </row>
    <row r="55" spans="1:9" x14ac:dyDescent="0.3">
      <c r="A55" s="48" t="s">
        <v>1663</v>
      </c>
      <c r="B55" s="11"/>
      <c r="C55" s="11"/>
      <c r="D55" s="11"/>
    </row>
    <row r="56" spans="1:9" x14ac:dyDescent="0.3">
      <c r="A56" s="14" t="s">
        <v>2086</v>
      </c>
      <c r="B56" s="41"/>
      <c r="C56" s="14"/>
    </row>
    <row r="57" spans="1:9" x14ac:dyDescent="0.3">
      <c r="A57" s="14" t="s">
        <v>1880</v>
      </c>
      <c r="B57" s="41"/>
      <c r="C57" s="14"/>
    </row>
    <row r="58" spans="1:9" x14ac:dyDescent="0.3">
      <c r="A58" s="14" t="s">
        <v>1881</v>
      </c>
      <c r="B58" s="41"/>
      <c r="C58" s="14" t="s">
        <v>1882</v>
      </c>
    </row>
    <row r="59" spans="1:9" x14ac:dyDescent="0.3">
      <c r="A59" s="14" t="s">
        <v>2085</v>
      </c>
      <c r="B59" s="41"/>
      <c r="C59" s="14"/>
    </row>
    <row r="60" spans="1:9" x14ac:dyDescent="0.3">
      <c r="A60" s="14"/>
      <c r="B60" s="41"/>
      <c r="C60" s="14"/>
    </row>
    <row r="61" spans="1:9" x14ac:dyDescent="0.3">
      <c r="A61" s="42" t="s">
        <v>1925</v>
      </c>
      <c r="B61" s="41"/>
      <c r="C61" s="14"/>
    </row>
    <row r="62" spans="1:9" x14ac:dyDescent="0.3">
      <c r="A62" s="14" t="s">
        <v>2145</v>
      </c>
      <c r="B62" s="55">
        <v>25000</v>
      </c>
      <c r="C62" s="14" t="s">
        <v>3325</v>
      </c>
    </row>
    <row r="63" spans="1:9" x14ac:dyDescent="0.3">
      <c r="A63" s="14" t="s">
        <v>2146</v>
      </c>
      <c r="B63" s="77">
        <v>0.5</v>
      </c>
      <c r="C63" s="14"/>
    </row>
    <row r="64" spans="1:9" x14ac:dyDescent="0.3">
      <c r="A64" s="14" t="s">
        <v>1890</v>
      </c>
      <c r="B64" s="55">
        <f>B62*B63</f>
        <v>12500</v>
      </c>
      <c r="C64" s="14" t="s">
        <v>1889</v>
      </c>
    </row>
    <row r="65" spans="1:3" x14ac:dyDescent="0.3">
      <c r="A65" s="14" t="s">
        <v>1891</v>
      </c>
      <c r="B65" s="47">
        <f>B64/3</f>
        <v>4166.666666666667</v>
      </c>
      <c r="C65" s="14"/>
    </row>
    <row r="66" spans="1:3" x14ac:dyDescent="0.3">
      <c r="A66" s="14"/>
      <c r="B66" s="41"/>
      <c r="C66" s="14"/>
    </row>
    <row r="67" spans="1:3" x14ac:dyDescent="0.3">
      <c r="A67" s="42" t="s">
        <v>2141</v>
      </c>
      <c r="B67" s="41"/>
      <c r="C67" s="14"/>
    </row>
    <row r="68" spans="1:3" x14ac:dyDescent="0.3">
      <c r="A68" s="14" t="s">
        <v>2142</v>
      </c>
      <c r="B68" s="55">
        <v>440</v>
      </c>
      <c r="C68" t="s">
        <v>3327</v>
      </c>
    </row>
    <row r="69" spans="1:3" x14ac:dyDescent="0.3">
      <c r="A69" s="14" t="s">
        <v>2144</v>
      </c>
      <c r="B69" s="55">
        <f>16.5/C14*B68</f>
        <v>484.00000000000006</v>
      </c>
      <c r="C69" t="s">
        <v>3328</v>
      </c>
    </row>
    <row r="70" spans="1:3" x14ac:dyDescent="0.3">
      <c r="A70" s="14"/>
      <c r="B70" s="55"/>
    </row>
    <row r="71" spans="1:3" x14ac:dyDescent="0.3">
      <c r="A71" s="14"/>
      <c r="B71" s="55"/>
    </row>
    <row r="72" spans="1:3" x14ac:dyDescent="0.3">
      <c r="A72" s="14"/>
      <c r="B72" s="55"/>
    </row>
    <row r="73" spans="1:3" x14ac:dyDescent="0.3">
      <c r="A73" s="14"/>
      <c r="B73" s="55"/>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C8C800"/>
    <pageSetUpPr fitToPage="1"/>
  </sheetPr>
  <dimension ref="A1:GN58"/>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9.109375" customWidth="1"/>
    <col min="6" max="9" width="10.109375" bestFit="1" customWidth="1"/>
  </cols>
  <sheetData>
    <row r="1" spans="1:9" ht="15" x14ac:dyDescent="0.25">
      <c r="A1" t="s">
        <v>1642</v>
      </c>
      <c r="B1" t="s">
        <v>2235</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D35+D55</f>
        <v>7721.5424747769139</v>
      </c>
      <c r="E3" s="33">
        <f t="shared" si="0"/>
        <v>1219.2129</v>
      </c>
      <c r="F3" s="33">
        <f t="shared" si="0"/>
        <v>1249.6932225</v>
      </c>
      <c r="G3" s="33">
        <f t="shared" si="0"/>
        <v>1280.9355530625</v>
      </c>
      <c r="H3" s="33">
        <f t="shared" si="0"/>
        <v>2625.9178837781246</v>
      </c>
      <c r="I3" s="33">
        <f t="shared" si="0"/>
        <v>1345.7829154362887</v>
      </c>
    </row>
    <row r="4" spans="1:9" ht="15" x14ac:dyDescent="0.25">
      <c r="A4" t="s">
        <v>1643</v>
      </c>
      <c r="B4" s="33"/>
      <c r="C4" s="33"/>
      <c r="D4" s="33">
        <f t="shared" si="0"/>
        <v>1749.891162976</v>
      </c>
      <c r="E4" s="33">
        <f t="shared" si="0"/>
        <v>329.6</v>
      </c>
      <c r="F4" s="33">
        <f t="shared" si="0"/>
        <v>339.488</v>
      </c>
      <c r="G4" s="33">
        <f t="shared" si="0"/>
        <v>349.67264</v>
      </c>
      <c r="H4" s="33">
        <f t="shared" si="0"/>
        <v>360.16281919999994</v>
      </c>
      <c r="I4" s="33">
        <f t="shared" si="0"/>
        <v>370.96770377599995</v>
      </c>
    </row>
    <row r="5" spans="1:9" ht="15" x14ac:dyDescent="0.25">
      <c r="A5" t="s">
        <v>1649</v>
      </c>
      <c r="B5" s="33"/>
      <c r="C5" s="33"/>
      <c r="D5" s="33">
        <f t="shared" si="0"/>
        <v>14996.227986328122</v>
      </c>
      <c r="E5" s="33">
        <f t="shared" si="0"/>
        <v>1844.9999999999998</v>
      </c>
      <c r="F5" s="33">
        <f t="shared" si="0"/>
        <v>1891.1249999999998</v>
      </c>
      <c r="G5" s="33">
        <f t="shared" si="0"/>
        <v>1938.4031249999998</v>
      </c>
      <c r="H5" s="33">
        <f t="shared" si="0"/>
        <v>7285.1650781249991</v>
      </c>
      <c r="I5" s="33">
        <f t="shared" si="0"/>
        <v>2036.5347832031243</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3098</v>
      </c>
    </row>
    <row r="12" spans="1:9" ht="15" x14ac:dyDescent="0.25">
      <c r="A12" t="s">
        <v>2243</v>
      </c>
    </row>
    <row r="13" spans="1:9" ht="15" x14ac:dyDescent="0.25">
      <c r="B13" s="39" t="s">
        <v>2240</v>
      </c>
      <c r="C13" s="39">
        <v>32</v>
      </c>
      <c r="D13" t="s">
        <v>2242</v>
      </c>
    </row>
    <row r="14" spans="1:9" ht="15" x14ac:dyDescent="0.25">
      <c r="A14" s="12" t="s">
        <v>1640</v>
      </c>
      <c r="B14" s="12"/>
      <c r="C14" s="12">
        <f>SUM(C13:C13)</f>
        <v>32</v>
      </c>
    </row>
    <row r="15" spans="1:9" ht="15" x14ac:dyDescent="0.25">
      <c r="B15" s="39"/>
      <c r="C15" s="39"/>
    </row>
    <row r="16" spans="1:9" ht="15" x14ac:dyDescent="0.25">
      <c r="A16" t="s">
        <v>1992</v>
      </c>
      <c r="B16" s="39"/>
      <c r="C16" s="39"/>
    </row>
    <row r="17" spans="1:9" ht="15" x14ac:dyDescent="0.25">
      <c r="A17" t="s">
        <v>2241</v>
      </c>
      <c r="B17" s="39"/>
      <c r="C17" s="39"/>
    </row>
    <row r="18" spans="1:9" ht="15" x14ac:dyDescent="0.25">
      <c r="A18" t="s">
        <v>2238</v>
      </c>
      <c r="B18" s="39"/>
      <c r="C18" s="39"/>
    </row>
    <row r="19" spans="1:9" ht="15" x14ac:dyDescent="0.25">
      <c r="A19" t="s">
        <v>2250</v>
      </c>
      <c r="B19" s="39"/>
      <c r="C19" s="39"/>
    </row>
    <row r="20" spans="1:9" s="301" customFormat="1" ht="15" x14ac:dyDescent="0.25">
      <c r="A20" s="301" t="s">
        <v>3254</v>
      </c>
      <c r="B20" s="39"/>
      <c r="C20" s="39"/>
    </row>
    <row r="21" spans="1:9" ht="15" x14ac:dyDescent="0.25">
      <c r="B21" s="39"/>
      <c r="C21" s="39"/>
      <c r="E21" s="30" t="str">
        <f>Summary!C4</f>
        <v>2015/16</v>
      </c>
      <c r="F21" s="30" t="str">
        <f>Summary!D4</f>
        <v>2016/17</v>
      </c>
      <c r="G21" s="30" t="str">
        <f>Summary!E4</f>
        <v>2017/18</v>
      </c>
      <c r="H21" s="30" t="str">
        <f>Summary!F4</f>
        <v>2018/19</v>
      </c>
      <c r="I21" s="30" t="str">
        <f>Summary!G4</f>
        <v>2019/20</v>
      </c>
    </row>
    <row r="22" spans="1:9" x14ac:dyDescent="0.3">
      <c r="A22" s="68" t="s">
        <v>1149</v>
      </c>
      <c r="B22" s="45" t="s">
        <v>56</v>
      </c>
      <c r="C22" s="45"/>
      <c r="D22" s="45"/>
      <c r="E22" s="45">
        <v>1</v>
      </c>
      <c r="F22" s="45">
        <v>1</v>
      </c>
      <c r="G22" s="45">
        <v>1</v>
      </c>
      <c r="H22" s="45">
        <v>1</v>
      </c>
      <c r="I22" s="45">
        <v>1</v>
      </c>
    </row>
    <row r="23" spans="1:9" ht="15" x14ac:dyDescent="0.25">
      <c r="A23" s="8" t="s">
        <v>1646</v>
      </c>
      <c r="C23" s="39"/>
    </row>
    <row r="24" spans="1:9" ht="15" x14ac:dyDescent="0.25">
      <c r="A24" s="14" t="s">
        <v>1658</v>
      </c>
      <c r="B24" s="74">
        <f>APATechnicianHours/C14</f>
        <v>3.125E-2</v>
      </c>
      <c r="C24" s="14" t="s">
        <v>2239</v>
      </c>
    </row>
    <row r="25" spans="1:9" ht="15" x14ac:dyDescent="0.25">
      <c r="A25" s="14" t="s">
        <v>1997</v>
      </c>
      <c r="B25" s="74">
        <f>APASupervisorHours/C14</f>
        <v>0.26822916666666669</v>
      </c>
      <c r="C25" s="14" t="s">
        <v>2239</v>
      </c>
    </row>
    <row r="26" spans="1:9" ht="15" x14ac:dyDescent="0.25">
      <c r="A26" s="14" t="s">
        <v>1643</v>
      </c>
      <c r="B26" s="55">
        <v>10</v>
      </c>
      <c r="C26" s="14" t="s">
        <v>2237</v>
      </c>
    </row>
    <row r="27" spans="1:9" ht="15" x14ac:dyDescent="0.25">
      <c r="A27" s="14"/>
      <c r="B27" s="41"/>
      <c r="C27" s="14"/>
    </row>
    <row r="28" spans="1:9" ht="15" x14ac:dyDescent="0.25">
      <c r="A28" s="42" t="s">
        <v>1647</v>
      </c>
      <c r="B28" s="7"/>
      <c r="C28" s="14"/>
    </row>
    <row r="29" spans="1:9" ht="15" x14ac:dyDescent="0.25">
      <c r="A29" s="14" t="s">
        <v>1656</v>
      </c>
      <c r="B29" s="15">
        <v>0.75</v>
      </c>
      <c r="C29" s="14" t="s">
        <v>3278</v>
      </c>
    </row>
    <row r="30" spans="1:9" ht="15" x14ac:dyDescent="0.25">
      <c r="A30" s="14" t="s">
        <v>1651</v>
      </c>
      <c r="B30" s="55">
        <f>ElectricalContractorHourlyRate</f>
        <v>75</v>
      </c>
      <c r="C30" s="14"/>
    </row>
    <row r="31" spans="1:9" x14ac:dyDescent="0.3">
      <c r="A31" s="14" t="s">
        <v>1649</v>
      </c>
      <c r="B31" s="55">
        <f>B29*B30</f>
        <v>56.25</v>
      </c>
      <c r="C31" s="14" t="s">
        <v>1891</v>
      </c>
    </row>
    <row r="32" spans="1:9" x14ac:dyDescent="0.3">
      <c r="A32" s="14" t="s">
        <v>1650</v>
      </c>
      <c r="B32" s="55">
        <v>0</v>
      </c>
      <c r="C32" s="14"/>
    </row>
    <row r="33" spans="1:196" x14ac:dyDescent="0.3">
      <c r="A33" s="14"/>
      <c r="B33" s="41"/>
      <c r="C33" s="14"/>
    </row>
    <row r="34" spans="1:196" x14ac:dyDescent="0.3">
      <c r="A34" s="14"/>
      <c r="B34" s="46" t="s">
        <v>2712</v>
      </c>
      <c r="C34" s="46" t="s">
        <v>2720</v>
      </c>
      <c r="D34" s="30" t="s">
        <v>1655</v>
      </c>
      <c r="E34" s="30" t="str">
        <f>Summary!C4</f>
        <v>2015/16</v>
      </c>
      <c r="F34" s="30" t="str">
        <f>Summary!D4</f>
        <v>2016/17</v>
      </c>
      <c r="G34" s="30" t="str">
        <f>Summary!E4</f>
        <v>2017/18</v>
      </c>
      <c r="H34" s="30" t="str">
        <f>Summary!F4</f>
        <v>2018/19</v>
      </c>
      <c r="I34" s="30" t="str">
        <f>Summary!G4</f>
        <v>2019/20</v>
      </c>
    </row>
    <row r="35" spans="1:196" x14ac:dyDescent="0.3">
      <c r="A35" s="14" t="s">
        <v>1648</v>
      </c>
      <c r="B35" s="40">
        <f>B24*HourlyRateAPAMaintenanceStaff+B25*HourlyRateAPAOMSupervisor</f>
        <v>37.171125000000004</v>
      </c>
      <c r="C35" s="40">
        <f>B35*$C$14</f>
        <v>1189.4760000000001</v>
      </c>
      <c r="D35" s="40">
        <f>C35*SUMPRODUCT(LabourAdjustmentFactor,E$22:I$22)</f>
        <v>6408.5835328878511</v>
      </c>
      <c r="E35" s="40">
        <f>$C35*E$22*'Modelling Assumptions'!E$101</f>
        <v>1219.2129</v>
      </c>
      <c r="F35" s="40">
        <f>$C35*F$22*'Modelling Assumptions'!F$101</f>
        <v>1249.6932225</v>
      </c>
      <c r="G35" s="40">
        <f>$C35*G$22*'Modelling Assumptions'!G$101</f>
        <v>1280.9355530625</v>
      </c>
      <c r="H35" s="40">
        <f>$C35*H$22*'Modelling Assumptions'!H$101</f>
        <v>1312.9589418890623</v>
      </c>
      <c r="I35" s="40">
        <f>$C35*I$22*'Modelling Assumptions'!I$101</f>
        <v>1345.7829154362887</v>
      </c>
    </row>
    <row r="36" spans="1:196" x14ac:dyDescent="0.3">
      <c r="A36" s="14" t="s">
        <v>1643</v>
      </c>
      <c r="B36" s="40">
        <f>B26</f>
        <v>10</v>
      </c>
      <c r="C36" s="40">
        <f>B36*$C$14</f>
        <v>320</v>
      </c>
      <c r="D36" s="40">
        <f>C36*SUMPRODUCT(MaterialsAdjustmentFactor,E$22:I$22)</f>
        <v>1749.891162976</v>
      </c>
      <c r="E36" s="40">
        <f>$C36*E$22*'Modelling Assumptions'!E$102</f>
        <v>329.6</v>
      </c>
      <c r="F36" s="40">
        <f>$C36*F$22*'Modelling Assumptions'!F$102</f>
        <v>339.488</v>
      </c>
      <c r="G36" s="40">
        <f>$C36*G$22*'Modelling Assumptions'!G$102</f>
        <v>349.67264</v>
      </c>
      <c r="H36" s="40">
        <f>$C36*H$22*'Modelling Assumptions'!H$102</f>
        <v>360.16281919999994</v>
      </c>
      <c r="I36" s="40">
        <f>$C36*I$22*'Modelling Assumptions'!I$102</f>
        <v>370.96770377599995</v>
      </c>
    </row>
    <row r="37" spans="1:196" x14ac:dyDescent="0.3">
      <c r="A37" s="14" t="s">
        <v>1649</v>
      </c>
      <c r="B37" s="40">
        <f>B31</f>
        <v>56.25</v>
      </c>
      <c r="C37" s="40">
        <f>B37*$C$14</f>
        <v>1800</v>
      </c>
      <c r="D37" s="40">
        <f>C37*SUMPRODUCT(LabourAdjustmentFactor,E$22:I$22)</f>
        <v>9697.9261113281227</v>
      </c>
      <c r="E37" s="40">
        <f>$C37*E$22*'Modelling Assumptions'!E$101</f>
        <v>1844.9999999999998</v>
      </c>
      <c r="F37" s="40">
        <f>$C37*F$22*'Modelling Assumptions'!F$101</f>
        <v>1891.1249999999998</v>
      </c>
      <c r="G37" s="40">
        <f>$C37*G$22*'Modelling Assumptions'!G$101</f>
        <v>1938.4031249999998</v>
      </c>
      <c r="H37" s="40">
        <f>$C37*H$22*'Modelling Assumptions'!H$101</f>
        <v>1986.8632031249995</v>
      </c>
      <c r="I37" s="40">
        <f>$C37*I$22*'Modelling Assumptions'!I$101</f>
        <v>2036.5347832031243</v>
      </c>
    </row>
    <row r="38" spans="1:196" x14ac:dyDescent="0.3">
      <c r="A38" s="14" t="s">
        <v>1650</v>
      </c>
      <c r="B38" s="40">
        <f>B32</f>
        <v>0</v>
      </c>
      <c r="C38" s="40">
        <f>B38*$C$14</f>
        <v>0</v>
      </c>
      <c r="D38" s="40">
        <f>C38*SUMPRODUCT(MaterialsAdjustmentFactor,E$22:I$22)</f>
        <v>0</v>
      </c>
      <c r="E38" s="40">
        <f>$C38*E$22*'Modelling Assumptions'!E$102</f>
        <v>0</v>
      </c>
      <c r="F38" s="40">
        <f>$C38*F$22*'Modelling Assumptions'!F$102</f>
        <v>0</v>
      </c>
      <c r="G38" s="40">
        <f>$C38*G$22*'Modelling Assumptions'!G$102</f>
        <v>0</v>
      </c>
      <c r="H38" s="40">
        <f>$C38*H$22*'Modelling Assumptions'!H$102</f>
        <v>0</v>
      </c>
      <c r="I38" s="40">
        <f>$C38*I$22*'Modelling Assumptions'!I$102</f>
        <v>0</v>
      </c>
    </row>
    <row r="39" spans="1:196" x14ac:dyDescent="0.3">
      <c r="A39" s="14"/>
      <c r="B39" s="40"/>
      <c r="C39" s="40"/>
      <c r="D39" s="40"/>
      <c r="E39" s="40"/>
      <c r="F39" s="40"/>
      <c r="G39" s="40"/>
      <c r="H39" s="40"/>
      <c r="I39" s="40"/>
    </row>
    <row r="40" spans="1:196" x14ac:dyDescent="0.3">
      <c r="A40" s="14"/>
      <c r="B40" s="55"/>
    </row>
    <row r="41" spans="1:196" x14ac:dyDescent="0.3">
      <c r="E41" s="30" t="str">
        <f>Summary!C4</f>
        <v>2015/16</v>
      </c>
      <c r="F41" s="30" t="str">
        <f>Summary!D4</f>
        <v>2016/17</v>
      </c>
      <c r="G41" s="30" t="str">
        <f>Summary!E4</f>
        <v>2017/18</v>
      </c>
      <c r="H41" s="30" t="str">
        <f>Summary!F4</f>
        <v>2018/19</v>
      </c>
      <c r="I41" s="30" t="str">
        <f>Summary!G4</f>
        <v>2019/20</v>
      </c>
      <c r="J41" s="31"/>
      <c r="K41" s="31"/>
      <c r="GA41" t="s">
        <v>1569</v>
      </c>
      <c r="GB41">
        <v>85</v>
      </c>
      <c r="GC41" t="s">
        <v>1570</v>
      </c>
      <c r="GF41" s="6"/>
      <c r="GH41" s="31"/>
      <c r="GI41" s="31"/>
      <c r="GJ41" s="31"/>
      <c r="GK41" t="s">
        <v>1490</v>
      </c>
      <c r="GL41">
        <v>16000</v>
      </c>
      <c r="GM41" t="s">
        <v>1491</v>
      </c>
      <c r="GN41" s="15" t="s">
        <v>1507</v>
      </c>
    </row>
    <row r="42" spans="1:196" x14ac:dyDescent="0.3">
      <c r="A42" s="68" t="s">
        <v>2988</v>
      </c>
      <c r="B42" s="45" t="s">
        <v>32</v>
      </c>
      <c r="C42" s="45"/>
      <c r="D42" s="45"/>
      <c r="E42" s="45">
        <v>0</v>
      </c>
      <c r="F42" s="45">
        <v>0</v>
      </c>
      <c r="G42" s="45">
        <v>0</v>
      </c>
      <c r="H42" s="45">
        <v>1</v>
      </c>
      <c r="I42" s="45">
        <v>0</v>
      </c>
    </row>
    <row r="43" spans="1:196" x14ac:dyDescent="0.3">
      <c r="A43" s="8" t="s">
        <v>1646</v>
      </c>
      <c r="C43" s="39"/>
    </row>
    <row r="44" spans="1:196" x14ac:dyDescent="0.3">
      <c r="A44" s="14" t="s">
        <v>1658</v>
      </c>
      <c r="B44" s="74">
        <f>APATechnicianHours/$C$14</f>
        <v>3.125E-2</v>
      </c>
      <c r="C44" s="14" t="s">
        <v>2239</v>
      </c>
    </row>
    <row r="45" spans="1:196" x14ac:dyDescent="0.3">
      <c r="A45" s="14" t="s">
        <v>1997</v>
      </c>
      <c r="B45" s="74">
        <f>APASupervisorHours/$C$14</f>
        <v>0.26822916666666669</v>
      </c>
      <c r="C45" s="14" t="s">
        <v>2239</v>
      </c>
    </row>
    <row r="46" spans="1:196" x14ac:dyDescent="0.3">
      <c r="A46" s="14" t="s">
        <v>1643</v>
      </c>
      <c r="B46" s="40">
        <f>B60</f>
        <v>0</v>
      </c>
      <c r="C46" s="14" t="s">
        <v>2245</v>
      </c>
    </row>
    <row r="47" spans="1:196" x14ac:dyDescent="0.3">
      <c r="A47" s="14"/>
      <c r="B47" s="41"/>
      <c r="C47" s="14"/>
    </row>
    <row r="48" spans="1:196" x14ac:dyDescent="0.3">
      <c r="A48" s="42" t="s">
        <v>1647</v>
      </c>
      <c r="B48" s="7"/>
      <c r="C48" s="14"/>
    </row>
    <row r="49" spans="1:9" x14ac:dyDescent="0.3">
      <c r="A49" s="14" t="s">
        <v>1656</v>
      </c>
      <c r="B49" s="15">
        <v>2</v>
      </c>
      <c r="C49" s="14" t="s">
        <v>3279</v>
      </c>
    </row>
    <row r="50" spans="1:9" x14ac:dyDescent="0.3">
      <c r="A50" s="14" t="s">
        <v>1651</v>
      </c>
      <c r="B50" s="55">
        <f>ElectricalContractorHourlyRate</f>
        <v>75</v>
      </c>
      <c r="C50" s="14"/>
    </row>
    <row r="51" spans="1:9" x14ac:dyDescent="0.3">
      <c r="A51" s="14" t="s">
        <v>1649</v>
      </c>
      <c r="B51" s="55">
        <f>B49*B50</f>
        <v>150</v>
      </c>
      <c r="C51" s="14" t="s">
        <v>2244</v>
      </c>
    </row>
    <row r="52" spans="1:9" x14ac:dyDescent="0.3">
      <c r="A52" s="14" t="s">
        <v>1650</v>
      </c>
      <c r="B52" s="55">
        <v>0</v>
      </c>
      <c r="C52" s="14"/>
    </row>
    <row r="53" spans="1:9" x14ac:dyDescent="0.3">
      <c r="A53" s="14"/>
      <c r="B53" s="41"/>
      <c r="C53" s="14"/>
    </row>
    <row r="54" spans="1:9" x14ac:dyDescent="0.3">
      <c r="A54" s="14"/>
      <c r="B54" s="46" t="s">
        <v>2712</v>
      </c>
      <c r="C54" s="46" t="s">
        <v>2720</v>
      </c>
      <c r="D54" s="30" t="s">
        <v>1655</v>
      </c>
      <c r="E54" s="30" t="str">
        <f>Summary!C4</f>
        <v>2015/16</v>
      </c>
      <c r="F54" s="30" t="str">
        <f>Summary!D4</f>
        <v>2016/17</v>
      </c>
      <c r="G54" s="30" t="str">
        <f>Summary!E4</f>
        <v>2017/18</v>
      </c>
      <c r="H54" s="30" t="str">
        <f>Summary!F4</f>
        <v>2018/19</v>
      </c>
      <c r="I54" s="30" t="str">
        <f>Summary!G4</f>
        <v>2019/20</v>
      </c>
    </row>
    <row r="55" spans="1:9" x14ac:dyDescent="0.3">
      <c r="A55" s="14" t="s">
        <v>1648</v>
      </c>
      <c r="B55" s="40">
        <f>B44*HourlyRateAPAMaintenanceStaff+B45*HourlyRateAPAOMSupervisor</f>
        <v>37.171125000000004</v>
      </c>
      <c r="C55" s="40">
        <f>B55*$C$14</f>
        <v>1189.4760000000001</v>
      </c>
      <c r="D55" s="40">
        <f>SUM(E55:I55)</f>
        <v>1312.9589418890623</v>
      </c>
      <c r="E55" s="40">
        <f>$C55*E$42*'Modelling Assumptions'!E$101</f>
        <v>0</v>
      </c>
      <c r="F55" s="40">
        <f>$C55*F$42*'Modelling Assumptions'!F$101</f>
        <v>0</v>
      </c>
      <c r="G55" s="40">
        <f>$C55*G$42*'Modelling Assumptions'!G$101</f>
        <v>0</v>
      </c>
      <c r="H55" s="40">
        <f>$C55*H$42*'Modelling Assumptions'!H$101</f>
        <v>1312.9589418890623</v>
      </c>
      <c r="I55" s="40">
        <f>$C55*I$42*'Modelling Assumptions'!I$101</f>
        <v>0</v>
      </c>
    </row>
    <row r="56" spans="1:9" x14ac:dyDescent="0.3">
      <c r="A56" s="14" t="s">
        <v>1643</v>
      </c>
      <c r="B56" s="40">
        <f>B46</f>
        <v>0</v>
      </c>
      <c r="C56" s="40">
        <f>B56*$C$14</f>
        <v>0</v>
      </c>
      <c r="D56" s="40">
        <f t="shared" ref="D56:D58" si="1">SUM(E56:I56)</f>
        <v>0</v>
      </c>
      <c r="E56" s="40">
        <f>$C56*E$42*'Modelling Assumptions'!E$102</f>
        <v>0</v>
      </c>
      <c r="F56" s="40">
        <f>$C56*F$42*'Modelling Assumptions'!F$102</f>
        <v>0</v>
      </c>
      <c r="G56" s="40">
        <f>$C56*G$42*'Modelling Assumptions'!G$102</f>
        <v>0</v>
      </c>
      <c r="H56" s="40">
        <f>$C56*H$42*'Modelling Assumptions'!H$102</f>
        <v>0</v>
      </c>
      <c r="I56" s="40">
        <f>$C56*I$42*'Modelling Assumptions'!I$102</f>
        <v>0</v>
      </c>
    </row>
    <row r="57" spans="1:9" x14ac:dyDescent="0.3">
      <c r="A57" s="14" t="s">
        <v>1649</v>
      </c>
      <c r="B57" s="40">
        <f>B51</f>
        <v>150</v>
      </c>
      <c r="C57" s="40">
        <f>B57*$C$14</f>
        <v>4800</v>
      </c>
      <c r="D57" s="40">
        <f t="shared" si="1"/>
        <v>5298.3018749999992</v>
      </c>
      <c r="E57" s="40">
        <f>$C57*E$42*'Modelling Assumptions'!E$101</f>
        <v>0</v>
      </c>
      <c r="F57" s="40">
        <f>$C57*F$42*'Modelling Assumptions'!F$101</f>
        <v>0</v>
      </c>
      <c r="G57" s="40">
        <f>$C57*G$42*'Modelling Assumptions'!G$101</f>
        <v>0</v>
      </c>
      <c r="H57" s="40">
        <f>$C57*H$42*'Modelling Assumptions'!H$101</f>
        <v>5298.3018749999992</v>
      </c>
      <c r="I57" s="40">
        <f>$C57*I$42*'Modelling Assumptions'!I$101</f>
        <v>0</v>
      </c>
    </row>
    <row r="58" spans="1:9" x14ac:dyDescent="0.3">
      <c r="A58" s="14" t="s">
        <v>1650</v>
      </c>
      <c r="B58" s="40">
        <f>B52</f>
        <v>0</v>
      </c>
      <c r="C58" s="40">
        <f>B58*$C$14</f>
        <v>0</v>
      </c>
      <c r="D58" s="40">
        <f t="shared" si="1"/>
        <v>0</v>
      </c>
      <c r="E58" s="40">
        <f>$C58*E$42*'Modelling Assumptions'!E$102</f>
        <v>0</v>
      </c>
      <c r="F58" s="40">
        <f>$C58*F$42*'Modelling Assumptions'!F$102</f>
        <v>0</v>
      </c>
      <c r="G58" s="40">
        <f>$C58*G$42*'Modelling Assumptions'!G$102</f>
        <v>0</v>
      </c>
      <c r="H58" s="40">
        <f>$C58*H$42*'Modelling Assumptions'!H$102</f>
        <v>0</v>
      </c>
      <c r="I58" s="40">
        <f>$C58*I$42*'Modelling Assumptions'!I$102</f>
        <v>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C8C800"/>
    <pageSetUpPr fitToPage="1"/>
  </sheetPr>
  <dimension ref="A1:I45"/>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9.109375" customWidth="1"/>
    <col min="6" max="9" width="10.109375" bestFit="1" customWidth="1"/>
  </cols>
  <sheetData>
    <row r="1" spans="1:9" ht="15" x14ac:dyDescent="0.25">
      <c r="A1" t="s">
        <v>1642</v>
      </c>
      <c r="B1" t="s">
        <v>2738</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D32</f>
        <v>6408.5835328878511</v>
      </c>
      <c r="E3" s="33">
        <f t="shared" ref="E3:I3" si="0">E32</f>
        <v>1219.2129</v>
      </c>
      <c r="F3" s="33">
        <f t="shared" si="0"/>
        <v>1249.6932225</v>
      </c>
      <c r="G3" s="33">
        <f t="shared" si="0"/>
        <v>1280.9355530625</v>
      </c>
      <c r="H3" s="33">
        <f t="shared" si="0"/>
        <v>1312.9589418890623</v>
      </c>
      <c r="I3" s="33">
        <f t="shared" si="0"/>
        <v>1345.7829154362887</v>
      </c>
    </row>
    <row r="4" spans="1:9" ht="15" x14ac:dyDescent="0.25">
      <c r="A4" t="s">
        <v>1643</v>
      </c>
      <c r="B4" s="33"/>
      <c r="C4" s="33"/>
      <c r="D4" s="33">
        <f t="shared" ref="D4:I6" si="1">D33</f>
        <v>0</v>
      </c>
      <c r="E4" s="33">
        <f t="shared" si="1"/>
        <v>0</v>
      </c>
      <c r="F4" s="33">
        <f t="shared" si="1"/>
        <v>0</v>
      </c>
      <c r="G4" s="33">
        <f t="shared" si="1"/>
        <v>0</v>
      </c>
      <c r="H4" s="33">
        <f t="shared" si="1"/>
        <v>0</v>
      </c>
      <c r="I4" s="33">
        <f t="shared" si="1"/>
        <v>0</v>
      </c>
    </row>
    <row r="5" spans="1:9" ht="15" x14ac:dyDescent="0.25">
      <c r="A5" t="s">
        <v>1649</v>
      </c>
      <c r="B5" s="33"/>
      <c r="C5" s="33"/>
      <c r="D5" s="33">
        <f t="shared" si="1"/>
        <v>1212.2407639160153</v>
      </c>
      <c r="E5" s="33">
        <f t="shared" si="1"/>
        <v>230.62499999999997</v>
      </c>
      <c r="F5" s="33">
        <f t="shared" si="1"/>
        <v>236.39062499999997</v>
      </c>
      <c r="G5" s="33">
        <f t="shared" si="1"/>
        <v>242.30039062499998</v>
      </c>
      <c r="H5" s="33">
        <f t="shared" si="1"/>
        <v>248.35790039062493</v>
      </c>
      <c r="I5" s="33">
        <f t="shared" si="1"/>
        <v>254.56684790039054</v>
      </c>
    </row>
    <row r="6" spans="1:9" ht="15" x14ac:dyDescent="0.25">
      <c r="A6" t="s">
        <v>1650</v>
      </c>
      <c r="B6" s="33"/>
      <c r="C6" s="33"/>
      <c r="D6" s="33">
        <f t="shared" si="1"/>
        <v>0</v>
      </c>
      <c r="E6" s="33">
        <f t="shared" si="1"/>
        <v>0</v>
      </c>
      <c r="F6" s="33">
        <f t="shared" si="1"/>
        <v>0</v>
      </c>
      <c r="G6" s="33">
        <f t="shared" si="1"/>
        <v>0</v>
      </c>
      <c r="H6" s="33">
        <f t="shared" si="1"/>
        <v>0</v>
      </c>
      <c r="I6" s="33">
        <f t="shared" si="1"/>
        <v>0</v>
      </c>
    </row>
    <row r="9" spans="1:9" ht="15" x14ac:dyDescent="0.25">
      <c r="A9" t="s">
        <v>1497</v>
      </c>
      <c r="B9" t="s">
        <v>1499</v>
      </c>
    </row>
    <row r="10" spans="1:9" ht="15" x14ac:dyDescent="0.25">
      <c r="A10" t="s">
        <v>1500</v>
      </c>
      <c r="B10" t="s">
        <v>1544</v>
      </c>
    </row>
    <row r="12" spans="1:9" ht="15" x14ac:dyDescent="0.25">
      <c r="A12" t="s">
        <v>2739</v>
      </c>
    </row>
    <row r="13" spans="1:9" ht="15" x14ac:dyDescent="0.25">
      <c r="B13" s="39" t="s">
        <v>1618</v>
      </c>
      <c r="C13" s="39">
        <v>6</v>
      </c>
    </row>
    <row r="14" spans="1:9" ht="15" x14ac:dyDescent="0.25">
      <c r="A14" s="12" t="s">
        <v>1640</v>
      </c>
      <c r="B14" s="12"/>
      <c r="C14" s="12">
        <f>SUM(C13:C13)</f>
        <v>6</v>
      </c>
    </row>
    <row r="15" spans="1:9" ht="15" x14ac:dyDescent="0.25">
      <c r="B15" s="39"/>
      <c r="C15" s="39"/>
    </row>
    <row r="16" spans="1:9" s="301" customFormat="1" ht="15" x14ac:dyDescent="0.25">
      <c r="A16" s="301" t="s">
        <v>1992</v>
      </c>
      <c r="B16" s="39"/>
      <c r="C16" s="39"/>
    </row>
    <row r="17" spans="1:9" s="301" customFormat="1" ht="15" x14ac:dyDescent="0.25">
      <c r="A17" s="301" t="s">
        <v>3254</v>
      </c>
      <c r="B17" s="39"/>
      <c r="C17" s="39"/>
    </row>
    <row r="18" spans="1:9" ht="15" x14ac:dyDescent="0.25">
      <c r="B18" s="39"/>
      <c r="C18" s="39"/>
      <c r="E18" s="30" t="str">
        <f>Summary!C4</f>
        <v>2015/16</v>
      </c>
      <c r="F18" s="30" t="str">
        <f>Summary!D4</f>
        <v>2016/17</v>
      </c>
      <c r="G18" s="30" t="str">
        <f>Summary!E4</f>
        <v>2017/18</v>
      </c>
      <c r="H18" s="30" t="str">
        <f>Summary!F4</f>
        <v>2018/19</v>
      </c>
      <c r="I18" s="30" t="str">
        <f>Summary!G4</f>
        <v>2019/20</v>
      </c>
    </row>
    <row r="19" spans="1:9" x14ac:dyDescent="0.3">
      <c r="A19" s="45" t="s">
        <v>1149</v>
      </c>
      <c r="B19" s="45" t="s">
        <v>56</v>
      </c>
      <c r="C19" s="45"/>
      <c r="D19" s="45"/>
      <c r="E19" s="45">
        <v>1</v>
      </c>
      <c r="F19" s="45">
        <v>1</v>
      </c>
      <c r="G19" s="45">
        <v>1</v>
      </c>
      <c r="H19" s="45">
        <v>1</v>
      </c>
      <c r="I19" s="45">
        <v>1</v>
      </c>
    </row>
    <row r="20" spans="1:9" ht="15" x14ac:dyDescent="0.25">
      <c r="A20" s="8" t="s">
        <v>1646</v>
      </c>
      <c r="C20" s="39"/>
    </row>
    <row r="21" spans="1:9" ht="15" x14ac:dyDescent="0.25">
      <c r="A21" s="14" t="s">
        <v>1658</v>
      </c>
      <c r="B21" s="78">
        <f>APATechnicianHours/C14</f>
        <v>0.16666666666666666</v>
      </c>
      <c r="C21" s="14" t="s">
        <v>1571</v>
      </c>
    </row>
    <row r="22" spans="1:9" ht="15" x14ac:dyDescent="0.25">
      <c r="A22" s="14" t="s">
        <v>1997</v>
      </c>
      <c r="B22" s="74">
        <f>APASupervisorHours/C14</f>
        <v>1.4305555555555556</v>
      </c>
      <c r="C22" s="14" t="s">
        <v>1571</v>
      </c>
    </row>
    <row r="23" spans="1:9" ht="15" x14ac:dyDescent="0.25">
      <c r="A23" s="14" t="s">
        <v>1643</v>
      </c>
      <c r="B23" s="55">
        <v>0</v>
      </c>
      <c r="C23" s="14"/>
    </row>
    <row r="24" spans="1:9" ht="15" x14ac:dyDescent="0.25">
      <c r="A24" s="14"/>
      <c r="B24" s="41"/>
      <c r="C24" s="14"/>
    </row>
    <row r="25" spans="1:9" ht="15" x14ac:dyDescent="0.25">
      <c r="A25" s="42" t="s">
        <v>1647</v>
      </c>
      <c r="B25" s="7"/>
      <c r="C25" s="14"/>
    </row>
    <row r="26" spans="1:9" ht="15" x14ac:dyDescent="0.25">
      <c r="A26" s="14" t="s">
        <v>1656</v>
      </c>
      <c r="B26" s="15">
        <v>0.5</v>
      </c>
      <c r="C26" s="14" t="s">
        <v>3329</v>
      </c>
    </row>
    <row r="27" spans="1:9" ht="15" x14ac:dyDescent="0.25">
      <c r="A27" s="14" t="s">
        <v>1651</v>
      </c>
      <c r="B27" s="55">
        <f>ElectricalContractorHourlyRate</f>
        <v>75</v>
      </c>
      <c r="C27" s="14"/>
    </row>
    <row r="28" spans="1:9" ht="15" x14ac:dyDescent="0.25">
      <c r="A28" s="14" t="s">
        <v>1649</v>
      </c>
      <c r="B28" s="56">
        <f>B26*B27</f>
        <v>37.5</v>
      </c>
      <c r="C28" s="14" t="s">
        <v>1891</v>
      </c>
    </row>
    <row r="29" spans="1:9" ht="15" x14ac:dyDescent="0.25">
      <c r="A29" s="14" t="s">
        <v>1650</v>
      </c>
      <c r="B29" s="55">
        <v>0</v>
      </c>
      <c r="C29" s="14"/>
    </row>
    <row r="30" spans="1:9" ht="15" x14ac:dyDescent="0.25">
      <c r="A30" s="14"/>
      <c r="B30" s="41"/>
      <c r="C30" s="14"/>
    </row>
    <row r="31" spans="1:9" x14ac:dyDescent="0.3">
      <c r="A31" s="14"/>
      <c r="B31" s="46" t="s">
        <v>2712</v>
      </c>
      <c r="C31" s="46" t="s">
        <v>2720</v>
      </c>
      <c r="D31" s="30" t="s">
        <v>1655</v>
      </c>
      <c r="E31" s="30" t="str">
        <f>Summary!C4</f>
        <v>2015/16</v>
      </c>
      <c r="F31" s="30" t="str">
        <f>Summary!D4</f>
        <v>2016/17</v>
      </c>
      <c r="G31" s="30" t="str">
        <f>Summary!E4</f>
        <v>2017/18</v>
      </c>
      <c r="H31" s="30" t="str">
        <f>Summary!F4</f>
        <v>2018/19</v>
      </c>
      <c r="I31" s="30" t="str">
        <f>Summary!G4</f>
        <v>2019/20</v>
      </c>
    </row>
    <row r="32" spans="1:9" x14ac:dyDescent="0.3">
      <c r="A32" s="14" t="s">
        <v>1648</v>
      </c>
      <c r="B32" s="40">
        <f>B21*HourlyRateAPAMaintenanceStaff+B22*HourlyRateAPAOMSupervisor</f>
        <v>198.24600000000004</v>
      </c>
      <c r="C32" s="40">
        <f>B32*$C$14</f>
        <v>1189.4760000000001</v>
      </c>
      <c r="D32" s="40">
        <f>C32*SUMPRODUCT(LabourAdjustmentFactor,E$19:I$19)</f>
        <v>6408.5835328878511</v>
      </c>
      <c r="E32" s="40">
        <f>$C32*E$19*'Modelling Assumptions'!E$101</f>
        <v>1219.2129</v>
      </c>
      <c r="F32" s="40">
        <f>$C32*F$19*'Modelling Assumptions'!F$101</f>
        <v>1249.6932225</v>
      </c>
      <c r="G32" s="40">
        <f>$C32*G$19*'Modelling Assumptions'!G$101</f>
        <v>1280.9355530625</v>
      </c>
      <c r="H32" s="40">
        <f>$C32*H$19*'Modelling Assumptions'!H$101</f>
        <v>1312.9589418890623</v>
      </c>
      <c r="I32" s="40">
        <f>$C32*I$19*'Modelling Assumptions'!I$101</f>
        <v>1345.7829154362887</v>
      </c>
    </row>
    <row r="33" spans="1:9" x14ac:dyDescent="0.3">
      <c r="A33" s="14" t="s">
        <v>1643</v>
      </c>
      <c r="B33" s="40">
        <f>B23</f>
        <v>0</v>
      </c>
      <c r="C33" s="40">
        <f>B33*$C$14</f>
        <v>0</v>
      </c>
      <c r="D33" s="40">
        <f>C33*SUMPRODUCT(MaterialsAdjustmentFactor,E$19:I$19)</f>
        <v>0</v>
      </c>
      <c r="E33" s="40">
        <f>$C33*E$19*'Modelling Assumptions'!E$102</f>
        <v>0</v>
      </c>
      <c r="F33" s="40">
        <f>$C33*F$19*'Modelling Assumptions'!F$102</f>
        <v>0</v>
      </c>
      <c r="G33" s="40">
        <f>$C33*G$19*'Modelling Assumptions'!G$102</f>
        <v>0</v>
      </c>
      <c r="H33" s="40">
        <f>$C33*H$19*'Modelling Assumptions'!H$102</f>
        <v>0</v>
      </c>
      <c r="I33" s="40">
        <f>$C33*I$19*'Modelling Assumptions'!I$102</f>
        <v>0</v>
      </c>
    </row>
    <row r="34" spans="1:9" x14ac:dyDescent="0.3">
      <c r="A34" s="14" t="s">
        <v>1649</v>
      </c>
      <c r="B34" s="40">
        <f>B28</f>
        <v>37.5</v>
      </c>
      <c r="C34" s="40">
        <f>B34*$C$14</f>
        <v>225</v>
      </c>
      <c r="D34" s="40">
        <f>C34*SUMPRODUCT(LabourAdjustmentFactor,E$19:I$19)</f>
        <v>1212.2407639160153</v>
      </c>
      <c r="E34" s="40">
        <f>$C34*E$19*'Modelling Assumptions'!E$101</f>
        <v>230.62499999999997</v>
      </c>
      <c r="F34" s="40">
        <f>$C34*F$19*'Modelling Assumptions'!F$101</f>
        <v>236.39062499999997</v>
      </c>
      <c r="G34" s="40">
        <f>$C34*G$19*'Modelling Assumptions'!G$101</f>
        <v>242.30039062499998</v>
      </c>
      <c r="H34" s="40">
        <f>$C34*H$19*'Modelling Assumptions'!H$101</f>
        <v>248.35790039062493</v>
      </c>
      <c r="I34" s="40">
        <f>$C34*I$19*'Modelling Assumptions'!I$101</f>
        <v>254.56684790039054</v>
      </c>
    </row>
    <row r="35" spans="1:9" x14ac:dyDescent="0.3">
      <c r="A35" s="14" t="s">
        <v>1650</v>
      </c>
      <c r="B35" s="40">
        <f>B29</f>
        <v>0</v>
      </c>
      <c r="C35" s="40">
        <f>B35*$C$14</f>
        <v>0</v>
      </c>
      <c r="D35" s="40">
        <f>C35*SUMPRODUCT(MaterialsAdjustmentFactor,E$19:I$19)</f>
        <v>0</v>
      </c>
      <c r="E35" s="40">
        <f>$C35*E$19*'Modelling Assumptions'!E$102</f>
        <v>0</v>
      </c>
      <c r="F35" s="40">
        <f>$C35*F$19*'Modelling Assumptions'!F$102</f>
        <v>0</v>
      </c>
      <c r="G35" s="40">
        <f>$C35*G$19*'Modelling Assumptions'!G$102</f>
        <v>0</v>
      </c>
      <c r="H35" s="40">
        <f>$C35*H$19*'Modelling Assumptions'!H$102</f>
        <v>0</v>
      </c>
      <c r="I35" s="40">
        <f>$C35*I$19*'Modelling Assumptions'!I$102</f>
        <v>0</v>
      </c>
    </row>
    <row r="36" spans="1:9" x14ac:dyDescent="0.3">
      <c r="A36" s="14"/>
      <c r="B36" s="41"/>
      <c r="C36" s="14"/>
    </row>
    <row r="37" spans="1:9" x14ac:dyDescent="0.3">
      <c r="A37" s="14"/>
      <c r="B37" s="41"/>
      <c r="C37" s="14"/>
    </row>
    <row r="38" spans="1:9" x14ac:dyDescent="0.3">
      <c r="A38" s="10" t="s">
        <v>1641</v>
      </c>
      <c r="B38" s="44"/>
      <c r="C38" s="44"/>
      <c r="D38" s="10"/>
      <c r="E38" s="10"/>
      <c r="F38" s="10"/>
      <c r="G38" s="10"/>
      <c r="H38" s="10"/>
      <c r="I38" s="10"/>
    </row>
    <row r="39" spans="1:9" x14ac:dyDescent="0.3">
      <c r="A39" t="s">
        <v>3</v>
      </c>
      <c r="B39" t="s">
        <v>2</v>
      </c>
      <c r="C39" t="s">
        <v>1</v>
      </c>
    </row>
    <row r="40" spans="1:9" x14ac:dyDescent="0.3">
      <c r="A40" t="s">
        <v>55</v>
      </c>
      <c r="B40" t="s">
        <v>54</v>
      </c>
      <c r="C40" t="s">
        <v>8</v>
      </c>
      <c r="D40" t="s">
        <v>8</v>
      </c>
    </row>
    <row r="41" spans="1:9" x14ac:dyDescent="0.3">
      <c r="A41" t="s">
        <v>55</v>
      </c>
      <c r="B41" t="s">
        <v>54</v>
      </c>
      <c r="C41" t="s">
        <v>8</v>
      </c>
      <c r="D41" t="s">
        <v>93</v>
      </c>
    </row>
    <row r="42" spans="1:9" x14ac:dyDescent="0.3">
      <c r="A42" t="s">
        <v>55</v>
      </c>
      <c r="B42" t="s">
        <v>54</v>
      </c>
      <c r="C42" t="s">
        <v>8</v>
      </c>
      <c r="D42" t="s">
        <v>108</v>
      </c>
    </row>
    <row r="43" spans="1:9" x14ac:dyDescent="0.3">
      <c r="A43" t="s">
        <v>55</v>
      </c>
      <c r="B43" t="s">
        <v>54</v>
      </c>
      <c r="C43" t="s">
        <v>328</v>
      </c>
      <c r="D43" t="s">
        <v>328</v>
      </c>
    </row>
    <row r="44" spans="1:9" x14ac:dyDescent="0.3">
      <c r="A44" t="s">
        <v>55</v>
      </c>
      <c r="B44" t="s">
        <v>54</v>
      </c>
      <c r="C44" t="s">
        <v>328</v>
      </c>
      <c r="D44" t="s">
        <v>346</v>
      </c>
    </row>
    <row r="45" spans="1:9" x14ac:dyDescent="0.3">
      <c r="A45" t="s">
        <v>55</v>
      </c>
      <c r="B45" t="s">
        <v>54</v>
      </c>
      <c r="C45" t="s">
        <v>328</v>
      </c>
      <c r="D45" t="s">
        <v>358</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tint="0.79998168889431442"/>
    <pageSetUpPr fitToPage="1"/>
  </sheetPr>
  <dimension ref="A1:T34"/>
  <sheetViews>
    <sheetView workbookViewId="0"/>
  </sheetViews>
  <sheetFormatPr defaultRowHeight="14.4" x14ac:dyDescent="0.3"/>
  <cols>
    <col min="1" max="1" width="38.44140625" customWidth="1"/>
    <col min="2" max="6" width="12.6640625" customWidth="1"/>
    <col min="7" max="7" width="9.109375" customWidth="1"/>
    <col min="8" max="8" width="11.109375" customWidth="1"/>
    <col min="9" max="15" width="9.109375" customWidth="1"/>
  </cols>
  <sheetData>
    <row r="1" spans="1:8" s="301" customFormat="1" ht="15" x14ac:dyDescent="0.25">
      <c r="B1" s="301" t="str">
        <f ca="1">UPPER(RIGHT(CELL("filename",A1),LEN(CELL("filename",A1))-FIND("]",CELL("filename",A1))))</f>
        <v>ASSET MGT TEAM</v>
      </c>
    </row>
    <row r="2" spans="1:8" s="301" customFormat="1" ht="15" x14ac:dyDescent="0.25">
      <c r="A2" s="167" t="s">
        <v>3454</v>
      </c>
    </row>
    <row r="3" spans="1:8" s="301" customFormat="1" ht="15" x14ac:dyDescent="0.25"/>
    <row r="4" spans="1:8" s="301" customFormat="1" ht="15" x14ac:dyDescent="0.25">
      <c r="A4" s="94" t="s">
        <v>3416</v>
      </c>
      <c r="B4" s="94"/>
      <c r="C4" s="94"/>
      <c r="D4" s="94"/>
    </row>
    <row r="5" spans="1:8" s="301" customFormat="1" ht="15" x14ac:dyDescent="0.25"/>
    <row r="7" spans="1:8" ht="15" x14ac:dyDescent="0.25">
      <c r="A7" s="108"/>
      <c r="B7" s="325" t="str">
        <f>'Operations Manager'!E2</f>
        <v>2015/16</v>
      </c>
      <c r="C7" s="325" t="str">
        <f>'Operations Manager'!F2</f>
        <v>2016/17</v>
      </c>
      <c r="D7" s="325" t="str">
        <f>'Operations Manager'!G2</f>
        <v>2017/18</v>
      </c>
      <c r="E7" s="325" t="str">
        <f>'Operations Manager'!H2</f>
        <v>2018/19</v>
      </c>
      <c r="F7" s="325" t="str">
        <f>'Operations Manager'!I2</f>
        <v>2019/20</v>
      </c>
      <c r="G7" s="108"/>
      <c r="H7" s="325" t="s">
        <v>505</v>
      </c>
    </row>
    <row r="8" spans="1:8" ht="15" x14ac:dyDescent="0.25">
      <c r="A8" t="s">
        <v>2373</v>
      </c>
      <c r="B8" s="90">
        <f ca="1">INDIRECT("'"&amp;$A8&amp;"'!$E3")</f>
        <v>151910.63217</v>
      </c>
      <c r="C8" s="90">
        <f ca="1">INDIRECT("'"&amp;$A8&amp;"'!$F3")</f>
        <v>140995.79344124999</v>
      </c>
      <c r="D8" s="90">
        <f ca="1">INDIRECT("'"&amp;$A8&amp;"'!$G3")</f>
        <v>144520.68827728124</v>
      </c>
      <c r="E8" s="90">
        <f ca="1">INDIRECT("'"&amp;$A8&amp;"'!$H3")</f>
        <v>148133.70548421325</v>
      </c>
      <c r="F8" s="90">
        <f ca="1">INDIRECT("'"&amp;$A8&amp;"'!$I3")</f>
        <v>151837.04812131857</v>
      </c>
      <c r="G8" s="90"/>
      <c r="H8" s="90">
        <f ca="1">SUM(B8:F8)</f>
        <v>737397.8674940631</v>
      </c>
    </row>
    <row r="9" spans="1:8" ht="15" x14ac:dyDescent="0.25">
      <c r="A9" t="s">
        <v>3203</v>
      </c>
      <c r="B9" s="90">
        <f t="shared" ref="B9:B10" ca="1" si="0">INDIRECT("'"&amp;$A9&amp;"'!$E3")</f>
        <v>126188.53515</v>
      </c>
      <c r="C9" s="90">
        <f t="shared" ref="C9:C10" ca="1" si="1">INDIRECT("'"&amp;$A9&amp;"'!$F3")</f>
        <v>129343.24852874999</v>
      </c>
      <c r="D9" s="90">
        <f t="shared" ref="D9:D10" ca="1" si="2">INDIRECT("'"&amp;$A9&amp;"'!$G3")</f>
        <v>132576.82974196874</v>
      </c>
      <c r="E9" s="90">
        <f t="shared" ref="E9:E10" ca="1" si="3">INDIRECT("'"&amp;$A9&amp;"'!$H3")</f>
        <v>135891.25048551796</v>
      </c>
      <c r="F9" s="90">
        <f t="shared" ref="F9:F10" ca="1" si="4">INDIRECT("'"&amp;$A9&amp;"'!$I3")</f>
        <v>139288.53174765588</v>
      </c>
      <c r="H9" s="90">
        <f t="shared" ref="H9:H10" ca="1" si="5">SUM(B9:F9)</f>
        <v>663288.39565389254</v>
      </c>
    </row>
    <row r="10" spans="1:8" ht="15" x14ac:dyDescent="0.25">
      <c r="A10" t="s">
        <v>2155</v>
      </c>
      <c r="B10" s="90">
        <f t="shared" ca="1" si="0"/>
        <v>113683.36499999999</v>
      </c>
      <c r="C10" s="90">
        <f t="shared" ca="1" si="1"/>
        <v>116525.449125</v>
      </c>
      <c r="D10" s="90">
        <f t="shared" ca="1" si="2"/>
        <v>119438.58535312499</v>
      </c>
      <c r="E10" s="90">
        <f t="shared" ca="1" si="3"/>
        <v>122424.5499869531</v>
      </c>
      <c r="F10" s="90">
        <f t="shared" ca="1" si="4"/>
        <v>125485.16373662693</v>
      </c>
      <c r="H10" s="90">
        <f t="shared" ca="1" si="5"/>
        <v>597557.11320170504</v>
      </c>
    </row>
    <row r="11" spans="1:8" s="301" customFormat="1" ht="15" x14ac:dyDescent="0.25">
      <c r="A11" t="s">
        <v>3413</v>
      </c>
      <c r="B11" s="90">
        <f ca="1">INDIRECT("'"&amp;$A11&amp;"'!$E3")</f>
        <v>97767.693899999998</v>
      </c>
      <c r="C11" s="90">
        <f ca="1">INDIRECT("'"&amp;$A11&amp;"'!$F3")</f>
        <v>100211.88624750001</v>
      </c>
      <c r="D11" s="90">
        <f ca="1">INDIRECT("'"&amp;$A11&amp;"'!$G3")</f>
        <v>102717.18340368749</v>
      </c>
      <c r="E11" s="90">
        <f ca="1">INDIRECT("'"&amp;$A11&amp;"'!$H3")</f>
        <v>105285.11298877967</v>
      </c>
      <c r="F11" s="90">
        <f ca="1">INDIRECT("'"&amp;$A11&amp;"'!$I3")</f>
        <v>107917.24081349916</v>
      </c>
      <c r="G11"/>
      <c r="H11" s="90">
        <f ca="1">SUM(B11:F11)</f>
        <v>513899.11735346628</v>
      </c>
    </row>
    <row r="12" spans="1:8" ht="15" x14ac:dyDescent="0.25">
      <c r="A12" t="s">
        <v>3379</v>
      </c>
      <c r="B12" s="90">
        <f>B29-B30</f>
        <v>117442.24346249993</v>
      </c>
      <c r="C12" s="90">
        <f>C29-C30</f>
        <v>110161.21306781273</v>
      </c>
      <c r="D12" s="90">
        <f>D29-D30</f>
        <v>119516.93560743728</v>
      </c>
      <c r="E12" s="90">
        <f>E29-E30</f>
        <v>121028.24710085103</v>
      </c>
      <c r="F12" s="90">
        <f>F29-F30</f>
        <v>121342.76543486351</v>
      </c>
      <c r="H12" s="90">
        <f t="shared" ref="H12:H14" si="6">SUM(B12:F12)</f>
        <v>589491.40467346448</v>
      </c>
    </row>
    <row r="13" spans="1:8" ht="15" x14ac:dyDescent="0.25">
      <c r="A13" t="s">
        <v>3369</v>
      </c>
      <c r="B13" s="90">
        <f ca="1">INDIRECT("'"&amp;$A13&amp;"'!$E3")</f>
        <v>97767.693899999998</v>
      </c>
      <c r="C13" s="90">
        <f ca="1">INDIRECT("'"&amp;$A13&amp;"'!$F3")</f>
        <v>100211.88624750001</v>
      </c>
      <c r="D13" s="90">
        <f ca="1">INDIRECT("'"&amp;$A13&amp;"'!$G3")</f>
        <v>102717.18340368749</v>
      </c>
      <c r="E13" s="90">
        <f ca="1">INDIRECT("'"&amp;$A13&amp;"'!$H3")</f>
        <v>105285.11298877967</v>
      </c>
      <c r="F13" s="90">
        <f ca="1">INDIRECT("'"&amp;$A13&amp;"'!$I3")</f>
        <v>107917.24081349916</v>
      </c>
      <c r="H13" s="90">
        <f t="shared" ca="1" si="6"/>
        <v>513899.11735346628</v>
      </c>
    </row>
    <row r="14" spans="1:8" s="301" customFormat="1" ht="15.75" thickBot="1" x14ac:dyDescent="0.3">
      <c r="A14" t="s">
        <v>2231</v>
      </c>
      <c r="B14" s="90">
        <f>B29-B31</f>
        <v>384396.80210924277</v>
      </c>
      <c r="C14" s="90">
        <f>C29-C31</f>
        <v>310472.50748941163</v>
      </c>
      <c r="D14" s="90">
        <f>D29-D31</f>
        <v>318946.85196615604</v>
      </c>
      <c r="E14" s="90">
        <f>E29-E31</f>
        <v>326677.07490389445</v>
      </c>
      <c r="F14" s="90">
        <f>F29-F31</f>
        <v>334719.23449126608</v>
      </c>
      <c r="G14"/>
      <c r="H14" s="90">
        <f t="shared" si="6"/>
        <v>1675212.470959971</v>
      </c>
    </row>
    <row r="15" spans="1:8" s="301" customFormat="1" ht="15.75" thickTop="1" x14ac:dyDescent="0.25">
      <c r="A15" s="290" t="s">
        <v>3414</v>
      </c>
      <c r="B15" s="326">
        <f t="shared" ref="B15:F15" ca="1" si="7">SUM(B8:B14)</f>
        <v>1089156.9656917427</v>
      </c>
      <c r="C15" s="326">
        <f t="shared" ca="1" si="7"/>
        <v>1007921.9841472242</v>
      </c>
      <c r="D15" s="326">
        <f t="shared" ca="1" si="7"/>
        <v>1040434.2577533434</v>
      </c>
      <c r="E15" s="326">
        <f t="shared" ca="1" si="7"/>
        <v>1064725.0539389891</v>
      </c>
      <c r="F15" s="326">
        <f t="shared" ca="1" si="7"/>
        <v>1088507.2251587294</v>
      </c>
      <c r="G15" s="290"/>
      <c r="H15" s="326">
        <f ca="1">SUM(H8:H14)</f>
        <v>5290745.4866900286</v>
      </c>
    </row>
    <row r="18" spans="1:8" ht="15" x14ac:dyDescent="0.25">
      <c r="A18" s="108" t="s">
        <v>3387</v>
      </c>
      <c r="B18" s="325" t="str">
        <f>B7</f>
        <v>2015/16</v>
      </c>
      <c r="C18" s="325" t="str">
        <f>C7</f>
        <v>2016/17</v>
      </c>
      <c r="D18" s="325" t="str">
        <f>D7</f>
        <v>2017/18</v>
      </c>
      <c r="E18" s="325" t="str">
        <f>E7</f>
        <v>2018/19</v>
      </c>
      <c r="F18" s="325" t="str">
        <f>F7</f>
        <v>2019/20</v>
      </c>
    </row>
    <row r="19" spans="1:8" ht="15" x14ac:dyDescent="0.25">
      <c r="A19" t="str">
        <f t="shared" ref="A19:A24" si="8">A8</f>
        <v>Operations Manager</v>
      </c>
      <c r="B19" s="119">
        <f ca="1">B8/(HourlyRateAPAOperationsManager*'Modelling Assumptions'!E$101)</f>
        <v>965.2</v>
      </c>
      <c r="C19" s="119">
        <f ca="1">C8/(HourlyRateAPAOperationsManager*'Modelling Assumptions'!F$101)</f>
        <v>874</v>
      </c>
      <c r="D19" s="119">
        <f ca="1">D8/(HourlyRateAPAOperationsManager*'Modelling Assumptions'!G$101)</f>
        <v>873.99999999999989</v>
      </c>
      <c r="E19" s="119">
        <f ca="1">E8/(HourlyRateAPAOperationsManager*'Modelling Assumptions'!H$101)</f>
        <v>874</v>
      </c>
      <c r="F19" s="119">
        <f ca="1">F8/(HourlyRateAPAOperationsManager*'Modelling Assumptions'!I$101)</f>
        <v>873.99999999999989</v>
      </c>
    </row>
    <row r="20" spans="1:8" ht="15" x14ac:dyDescent="0.25">
      <c r="A20" s="301" t="str">
        <f t="shared" si="8"/>
        <v>Senior Reliability Engineer</v>
      </c>
      <c r="B20" s="119">
        <f ca="1">B9/(HourlyRateSeniorReliabilityEng*'Modelling Assumptions'!E$101)</f>
        <v>874</v>
      </c>
      <c r="C20" s="119">
        <f ca="1">C9/(HourlyRateSeniorReliabilityEng*'Modelling Assumptions'!F$101)</f>
        <v>873.99999999999989</v>
      </c>
      <c r="D20" s="119">
        <f ca="1">D9/(HourlyRateSeniorReliabilityEng*'Modelling Assumptions'!G$101)</f>
        <v>874</v>
      </c>
      <c r="E20" s="119">
        <f ca="1">E9/(HourlyRateSeniorReliabilityEng*'Modelling Assumptions'!H$101)</f>
        <v>874.00000000000011</v>
      </c>
      <c r="F20" s="119">
        <f ca="1">F9/(HourlyRateSeniorReliabilityEng*'Modelling Assumptions'!I$101)</f>
        <v>873.99999999999989</v>
      </c>
    </row>
    <row r="21" spans="1:8" ht="15" x14ac:dyDescent="0.25">
      <c r="A21" s="301" t="str">
        <f t="shared" si="8"/>
        <v>Reliability Engineer</v>
      </c>
      <c r="B21" s="119">
        <f ca="1">B10/(HourlyRateAPAReliabilityEng*'Modelling Assumptions'!E$101)</f>
        <v>874</v>
      </c>
      <c r="C21" s="119">
        <f ca="1">C10/(HourlyRateAPAReliabilityEng*'Modelling Assumptions'!F$101)</f>
        <v>874</v>
      </c>
      <c r="D21" s="119">
        <f ca="1">D10/(HourlyRateAPAReliabilityEng*'Modelling Assumptions'!G$101)</f>
        <v>874</v>
      </c>
      <c r="E21" s="119">
        <f ca="1">E10/(HourlyRateAPAReliabilityEng*'Modelling Assumptions'!H$101)</f>
        <v>874</v>
      </c>
      <c r="F21" s="119">
        <f ca="1">F10/(HourlyRateAPAReliabilityEng*'Modelling Assumptions'!I$101)</f>
        <v>874</v>
      </c>
    </row>
    <row r="22" spans="1:8" s="301" customFormat="1" ht="15" x14ac:dyDescent="0.25">
      <c r="A22" s="301" t="str">
        <f t="shared" si="8"/>
        <v>Work Practices Specialist</v>
      </c>
      <c r="B22" s="119">
        <f ca="1">B11/(HourlyRateAPAWorkPracticesSpecialist*'Modelling Assumptions'!E$101)</f>
        <v>873.99999999999989</v>
      </c>
      <c r="C22" s="119">
        <f ca="1">C11/(HourlyRateAPAWorkPracticesSpecialist*'Modelling Assumptions'!F$101)</f>
        <v>874</v>
      </c>
      <c r="D22" s="119">
        <f ca="1">D11/(HourlyRateAPAWorkPracticesSpecialist*'Modelling Assumptions'!G$101)</f>
        <v>874</v>
      </c>
      <c r="E22" s="119">
        <f ca="1">E11/(HourlyRateAPAWorkPracticesSpecialist*'Modelling Assumptions'!H$101)</f>
        <v>873.99999999999989</v>
      </c>
      <c r="F22" s="119">
        <f ca="1">F11/(HourlyRateAPAWorkPracticesSpecialist*'Modelling Assumptions'!I$101)</f>
        <v>873.99999999999989</v>
      </c>
    </row>
    <row r="23" spans="1:8" ht="15" x14ac:dyDescent="0.25">
      <c r="A23" t="str">
        <f t="shared" si="8"/>
        <v>O&amp;M Supervisor</v>
      </c>
      <c r="B23" s="119">
        <f>B12/(HourlyRateAPAOMSupervisor*'Modelling Assumptions'!E$101)</f>
        <v>902.89833333333286</v>
      </c>
      <c r="C23" s="119">
        <f>C12/(HourlyRateAPAOMSupervisor*'Modelling Assumptions'!F$101)</f>
        <v>826.26500000000181</v>
      </c>
      <c r="D23" s="119">
        <f>D12/(HourlyRateAPAOMSupervisor*'Modelling Assumptions'!G$101)</f>
        <v>874.57333333333179</v>
      </c>
      <c r="E23" s="119">
        <f>E12/(HourlyRateAPAOMSupervisor*'Modelling Assumptions'!H$101)</f>
        <v>864.03166666666721</v>
      </c>
      <c r="F23" s="119">
        <f>F12/(HourlyRateAPAOMSupervisor*'Modelling Assumptions'!I$101)</f>
        <v>845.14833333333354</v>
      </c>
    </row>
    <row r="24" spans="1:8" ht="15" x14ac:dyDescent="0.25">
      <c r="A24" s="301" t="str">
        <f t="shared" si="8"/>
        <v>Works Planner</v>
      </c>
      <c r="B24" s="119">
        <f ca="1">B13/(HourlyRateAPAWorksPlanner*'Modelling Assumptions'!E$101)</f>
        <v>873.99999999999989</v>
      </c>
      <c r="C24" s="119">
        <f ca="1">C13/(HourlyRateAPAWorksPlanner*'Modelling Assumptions'!F$101)</f>
        <v>874</v>
      </c>
      <c r="D24" s="119">
        <f ca="1">D13/(HourlyRateAPAWorksPlanner*'Modelling Assumptions'!G$101)</f>
        <v>874</v>
      </c>
      <c r="E24" s="119">
        <f ca="1">E13/(HourlyRateAPAWorksPlanner*'Modelling Assumptions'!H$101)</f>
        <v>873.99999999999989</v>
      </c>
      <c r="F24" s="119">
        <f ca="1">F13/(HourlyRateAPAWorksPlanner*'Modelling Assumptions'!I$101)</f>
        <v>873.99999999999989</v>
      </c>
    </row>
    <row r="25" spans="1:8" ht="15" x14ac:dyDescent="0.25">
      <c r="A25" t="s">
        <v>2231</v>
      </c>
      <c r="B25" s="119">
        <f>B14/(HourlyRateAPAMaintenanceStaff*'Modelling Assumptions'!E$101)</f>
        <v>3740.823237179487</v>
      </c>
      <c r="C25" s="119">
        <f>C14/(HourlyRateAPAMaintenanceStaff*'Modelling Assumptions'!F$101)</f>
        <v>2947.7232371794898</v>
      </c>
      <c r="D25" s="119">
        <f>D14/(HourlyRateAPAMaintenanceStaff*'Modelling Assumptions'!G$101)</f>
        <v>2954.3232371794879</v>
      </c>
      <c r="E25" s="119">
        <f>E14/(HourlyRateAPAMaintenanceStaff*'Modelling Assumptions'!H$101)</f>
        <v>2952.1232371794895</v>
      </c>
      <c r="F25" s="119">
        <f>F14/(HourlyRateAPAMaintenanceStaff*'Modelling Assumptions'!I$101)</f>
        <v>2951.0232371794887</v>
      </c>
    </row>
    <row r="26" spans="1:8" s="301" customFormat="1" ht="15" x14ac:dyDescent="0.25">
      <c r="B26" s="119"/>
      <c r="C26" s="119"/>
      <c r="D26" s="119"/>
      <c r="E26" s="119"/>
      <c r="F26" s="119"/>
    </row>
    <row r="27" spans="1:8" s="301" customFormat="1" ht="15" x14ac:dyDescent="0.25">
      <c r="B27" s="119"/>
      <c r="C27" s="119"/>
      <c r="D27" s="119"/>
      <c r="E27" s="119"/>
      <c r="F27" s="119"/>
    </row>
    <row r="28" spans="1:8" s="301" customFormat="1" ht="15" x14ac:dyDescent="0.25">
      <c r="A28" s="39" t="s">
        <v>3415</v>
      </c>
      <c r="B28" s="39"/>
      <c r="C28" s="39"/>
      <c r="D28" s="39"/>
      <c r="E28" s="39"/>
      <c r="F28" s="39"/>
      <c r="G28" s="39"/>
      <c r="H28" s="39"/>
    </row>
    <row r="29" spans="1:8" s="301" customFormat="1" ht="15" x14ac:dyDescent="0.25">
      <c r="A29" s="39" t="s">
        <v>3389</v>
      </c>
      <c r="B29" s="327">
        <f>Summary!C5</f>
        <v>1147888.7577037427</v>
      </c>
      <c r="C29" s="327">
        <f>Summary!D5</f>
        <v>1066650.8105062242</v>
      </c>
      <c r="D29" s="327">
        <f>Summary!E5</f>
        <v>1100631.3047713186</v>
      </c>
      <c r="E29" s="327">
        <f>Summary!F5</f>
        <v>1126427.0271324134</v>
      </c>
      <c r="F29" s="327">
        <f>Summary!G5</f>
        <v>1151751.7476819893</v>
      </c>
      <c r="G29" s="39"/>
      <c r="H29" s="39" t="s">
        <v>3388</v>
      </c>
    </row>
    <row r="30" spans="1:8" s="301" customFormat="1" ht="15" x14ac:dyDescent="0.25">
      <c r="A30" s="39" t="s">
        <v>3385</v>
      </c>
      <c r="B30" s="327">
        <v>1030446.5142412428</v>
      </c>
      <c r="C30" s="327">
        <v>956489.59743841144</v>
      </c>
      <c r="D30" s="327">
        <v>981114.36916388129</v>
      </c>
      <c r="E30" s="327">
        <v>1005398.7800315623</v>
      </c>
      <c r="F30" s="327">
        <v>1030408.9822471258</v>
      </c>
      <c r="G30" s="39"/>
      <c r="H30" s="39" t="s">
        <v>3384</v>
      </c>
    </row>
    <row r="31" spans="1:8" s="301" customFormat="1" x14ac:dyDescent="0.3">
      <c r="A31" s="39" t="s">
        <v>3386</v>
      </c>
      <c r="B31" s="327">
        <v>763491.95559449994</v>
      </c>
      <c r="C31" s="327">
        <v>756178.30301681254</v>
      </c>
      <c r="D31" s="327">
        <v>781684.45280516252</v>
      </c>
      <c r="E31" s="327">
        <v>799749.9522285189</v>
      </c>
      <c r="F31" s="327">
        <v>817032.51319072326</v>
      </c>
      <c r="G31" s="39"/>
      <c r="H31" s="39" t="s">
        <v>3384</v>
      </c>
    </row>
    <row r="32" spans="1:8" s="301" customFormat="1" x14ac:dyDescent="0.3">
      <c r="B32" s="119"/>
      <c r="C32" s="119"/>
      <c r="D32" s="119"/>
      <c r="E32" s="119"/>
      <c r="F32" s="119"/>
    </row>
    <row r="34" spans="16:20" x14ac:dyDescent="0.3">
      <c r="P34" s="119"/>
      <c r="Q34" s="119"/>
      <c r="R34" s="119"/>
      <c r="S34" s="119"/>
      <c r="T34" s="119"/>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C8C800"/>
    <pageSetUpPr fitToPage="1"/>
  </sheetPr>
  <dimension ref="A1:I89"/>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175</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D41+D60</f>
        <v>21459.182982102418</v>
      </c>
      <c r="E3" s="33">
        <f t="shared" ref="E3:I3" si="0">E41+E60</f>
        <v>4082.5421999999999</v>
      </c>
      <c r="F3" s="33">
        <f t="shared" si="0"/>
        <v>4184.6057549999996</v>
      </c>
      <c r="G3" s="33">
        <f t="shared" si="0"/>
        <v>4289.2208988749999</v>
      </c>
      <c r="H3" s="33">
        <f t="shared" si="0"/>
        <v>4396.4514213468747</v>
      </c>
      <c r="I3" s="33">
        <f t="shared" si="0"/>
        <v>4506.3627068805463</v>
      </c>
    </row>
    <row r="4" spans="1:9" ht="15" x14ac:dyDescent="0.25">
      <c r="A4" t="s">
        <v>1643</v>
      </c>
      <c r="B4" s="33"/>
      <c r="C4" s="33"/>
      <c r="D4" s="33">
        <f t="shared" ref="D4:I4" si="1">D42+D61</f>
        <v>0</v>
      </c>
      <c r="E4" s="33">
        <f t="shared" si="1"/>
        <v>0</v>
      </c>
      <c r="F4" s="33">
        <f t="shared" si="1"/>
        <v>0</v>
      </c>
      <c r="G4" s="33">
        <f t="shared" si="1"/>
        <v>0</v>
      </c>
      <c r="H4" s="33">
        <f t="shared" si="1"/>
        <v>0</v>
      </c>
      <c r="I4" s="33">
        <f t="shared" si="1"/>
        <v>0</v>
      </c>
    </row>
    <row r="5" spans="1:9" ht="15" x14ac:dyDescent="0.25">
      <c r="A5" t="s">
        <v>1649</v>
      </c>
      <c r="B5" s="33"/>
      <c r="C5" s="33"/>
      <c r="D5" s="33">
        <f t="shared" ref="D5:I5" si="2">D43+D62</f>
        <v>40003.945209228506</v>
      </c>
      <c r="E5" s="33">
        <f t="shared" si="2"/>
        <v>7610.6249999999991</v>
      </c>
      <c r="F5" s="33">
        <f t="shared" si="2"/>
        <v>7800.890625</v>
      </c>
      <c r="G5" s="33">
        <f t="shared" si="2"/>
        <v>7995.9128906249989</v>
      </c>
      <c r="H5" s="33">
        <f t="shared" si="2"/>
        <v>8195.8107128906231</v>
      </c>
      <c r="I5" s="33">
        <f t="shared" si="2"/>
        <v>8400.705980712888</v>
      </c>
    </row>
    <row r="6" spans="1:9" ht="15" x14ac:dyDescent="0.25">
      <c r="A6" t="s">
        <v>1650</v>
      </c>
      <c r="B6" s="33"/>
      <c r="C6" s="33"/>
      <c r="D6" s="33">
        <f t="shared" ref="D6:I6" si="3">D44+D63</f>
        <v>0</v>
      </c>
      <c r="E6" s="33">
        <f t="shared" si="3"/>
        <v>0</v>
      </c>
      <c r="F6" s="33">
        <f t="shared" si="3"/>
        <v>0</v>
      </c>
      <c r="G6" s="33">
        <f t="shared" si="3"/>
        <v>0</v>
      </c>
      <c r="H6" s="33">
        <f t="shared" si="3"/>
        <v>0</v>
      </c>
      <c r="I6" s="33">
        <f t="shared" si="3"/>
        <v>0</v>
      </c>
    </row>
    <row r="9" spans="1:9" ht="15" x14ac:dyDescent="0.25">
      <c r="A9" t="s">
        <v>1497</v>
      </c>
      <c r="B9" t="s">
        <v>1499</v>
      </c>
    </row>
    <row r="10" spans="1:9" ht="15" x14ac:dyDescent="0.25">
      <c r="A10" t="s">
        <v>1500</v>
      </c>
      <c r="B10" s="14" t="s">
        <v>1728</v>
      </c>
      <c r="C10" t="s">
        <v>1729</v>
      </c>
    </row>
    <row r="12" spans="1:9" ht="15" x14ac:dyDescent="0.25">
      <c r="A12" t="s">
        <v>1719</v>
      </c>
    </row>
    <row r="13" spans="1:9" ht="15" x14ac:dyDescent="0.25">
      <c r="B13" s="39" t="s">
        <v>1612</v>
      </c>
      <c r="C13" s="39">
        <v>18</v>
      </c>
    </row>
    <row r="14" spans="1:9" ht="15" x14ac:dyDescent="0.25">
      <c r="B14" s="39" t="s">
        <v>1613</v>
      </c>
      <c r="C14" s="39">
        <v>18</v>
      </c>
    </row>
    <row r="15" spans="1:9" ht="15" x14ac:dyDescent="0.25">
      <c r="A15" s="12" t="s">
        <v>1640</v>
      </c>
      <c r="B15" s="12"/>
      <c r="C15" s="12">
        <f>SUM(C13:C14)</f>
        <v>36</v>
      </c>
    </row>
    <row r="17" spans="1:9" ht="15" x14ac:dyDescent="0.25">
      <c r="A17" t="s">
        <v>1992</v>
      </c>
    </row>
    <row r="18" spans="1:9" ht="15" x14ac:dyDescent="0.25">
      <c r="A18" t="s">
        <v>2087</v>
      </c>
    </row>
    <row r="19" spans="1:9" ht="15" x14ac:dyDescent="0.25">
      <c r="A19" t="s">
        <v>2088</v>
      </c>
    </row>
    <row r="20" spans="1:9" ht="15" x14ac:dyDescent="0.25">
      <c r="A20" t="s">
        <v>3297</v>
      </c>
    </row>
    <row r="21" spans="1:9" ht="15" x14ac:dyDescent="0.25">
      <c r="A21" t="s">
        <v>2203</v>
      </c>
    </row>
    <row r="22" spans="1:9" ht="15" x14ac:dyDescent="0.25">
      <c r="A22" t="s">
        <v>2204</v>
      </c>
    </row>
    <row r="23" spans="1:9" s="301" customFormat="1" ht="15" x14ac:dyDescent="0.25">
      <c r="A23" t="s">
        <v>3298</v>
      </c>
    </row>
    <row r="24" spans="1:9" ht="15" x14ac:dyDescent="0.25">
      <c r="A24" t="s">
        <v>3254</v>
      </c>
    </row>
    <row r="25" spans="1:9" ht="15" x14ac:dyDescent="0.25">
      <c r="B25" s="39"/>
      <c r="C25" s="39"/>
      <c r="E25" s="30" t="str">
        <f>Summary!C4</f>
        <v>2015/16</v>
      </c>
      <c r="F25" s="30" t="str">
        <f>Summary!D4</f>
        <v>2016/17</v>
      </c>
      <c r="G25" s="30" t="str">
        <f>Summary!E4</f>
        <v>2017/18</v>
      </c>
      <c r="H25" s="30" t="str">
        <f>Summary!F4</f>
        <v>2018/19</v>
      </c>
      <c r="I25" s="30" t="str">
        <f>Summary!G4</f>
        <v>2019/20</v>
      </c>
    </row>
    <row r="26" spans="1:9" x14ac:dyDescent="0.3">
      <c r="A26" s="16" t="s">
        <v>1138</v>
      </c>
      <c r="B26" s="16" t="s">
        <v>56</v>
      </c>
      <c r="C26" s="43"/>
      <c r="D26" s="16"/>
      <c r="E26" s="16">
        <v>1</v>
      </c>
      <c r="F26" s="16">
        <v>1</v>
      </c>
      <c r="G26" s="16">
        <v>1</v>
      </c>
      <c r="H26" s="16">
        <v>1</v>
      </c>
      <c r="I26" s="16">
        <v>1</v>
      </c>
    </row>
    <row r="27" spans="1:9" ht="15" x14ac:dyDescent="0.25">
      <c r="A27" t="s">
        <v>1725</v>
      </c>
    </row>
    <row r="28" spans="1:9" ht="15" x14ac:dyDescent="0.25">
      <c r="A28" s="8" t="s">
        <v>1646</v>
      </c>
      <c r="C28" s="39"/>
    </row>
    <row r="29" spans="1:9" ht="15" x14ac:dyDescent="0.25">
      <c r="A29" s="14" t="s">
        <v>1658</v>
      </c>
      <c r="B29" s="15">
        <v>0.5</v>
      </c>
      <c r="C29" s="14" t="s">
        <v>1948</v>
      </c>
    </row>
    <row r="30" spans="1:9" ht="15" x14ac:dyDescent="0.25">
      <c r="A30" s="14" t="s">
        <v>1997</v>
      </c>
      <c r="B30" s="74">
        <f>2*APASupervisorHours/C15</f>
        <v>0.47685185185185186</v>
      </c>
      <c r="C30" s="14" t="s">
        <v>2089</v>
      </c>
    </row>
    <row r="31" spans="1:9" x14ac:dyDescent="0.3">
      <c r="A31" s="14" t="s">
        <v>1643</v>
      </c>
      <c r="B31" s="55">
        <v>0</v>
      </c>
      <c r="C31" s="14"/>
    </row>
    <row r="32" spans="1:9" x14ac:dyDescent="0.3">
      <c r="A32" s="14"/>
      <c r="B32" s="41"/>
      <c r="C32" s="14"/>
    </row>
    <row r="33" spans="1:9" x14ac:dyDescent="0.3">
      <c r="A33" s="14"/>
      <c r="B33" s="41"/>
      <c r="C33" s="14"/>
    </row>
    <row r="34" spans="1:9" x14ac:dyDescent="0.3">
      <c r="A34" s="42" t="s">
        <v>1647</v>
      </c>
      <c r="B34" s="7"/>
      <c r="C34" s="14"/>
    </row>
    <row r="35" spans="1:9" x14ac:dyDescent="0.3">
      <c r="A35" s="14" t="s">
        <v>1656</v>
      </c>
      <c r="B35" s="75">
        <v>2</v>
      </c>
      <c r="C35" s="14" t="s">
        <v>3299</v>
      </c>
    </row>
    <row r="36" spans="1:9" x14ac:dyDescent="0.3">
      <c r="A36" s="14" t="s">
        <v>1651</v>
      </c>
      <c r="B36" s="55">
        <f>ElectricalContractorHourlyRate</f>
        <v>75</v>
      </c>
      <c r="C36" s="14"/>
    </row>
    <row r="37" spans="1:9" x14ac:dyDescent="0.3">
      <c r="A37" s="14" t="s">
        <v>1649</v>
      </c>
      <c r="B37" s="55">
        <f>B35*B36</f>
        <v>150</v>
      </c>
      <c r="C37" s="14"/>
    </row>
    <row r="38" spans="1:9" x14ac:dyDescent="0.3">
      <c r="A38" s="14" t="s">
        <v>1650</v>
      </c>
      <c r="B38" s="55">
        <v>0</v>
      </c>
      <c r="C38" s="7"/>
    </row>
    <row r="39" spans="1:9" x14ac:dyDescent="0.3">
      <c r="A39" s="14"/>
      <c r="B39" s="14"/>
      <c r="C39" s="14"/>
    </row>
    <row r="40" spans="1:9" x14ac:dyDescent="0.3">
      <c r="A40" s="14"/>
      <c r="B40" s="46" t="s">
        <v>2712</v>
      </c>
      <c r="C40" s="46" t="s">
        <v>2720</v>
      </c>
      <c r="D40" s="30" t="s">
        <v>1655</v>
      </c>
      <c r="E40" s="30" t="str">
        <f>Summary!C4</f>
        <v>2015/16</v>
      </c>
      <c r="F40" s="30" t="str">
        <f>Summary!D4</f>
        <v>2016/17</v>
      </c>
      <c r="G40" s="30" t="str">
        <f>Summary!E4</f>
        <v>2017/18</v>
      </c>
      <c r="H40" s="30" t="str">
        <f>Summary!F4</f>
        <v>2018/19</v>
      </c>
      <c r="I40" s="30" t="str">
        <f>Summary!G4</f>
        <v>2019/20</v>
      </c>
    </row>
    <row r="41" spans="1:9" x14ac:dyDescent="0.3">
      <c r="A41" s="14" t="s">
        <v>1648</v>
      </c>
      <c r="B41" s="40">
        <f>B29*HourlyRateAPAMaintenanceStaff+B30*HourlyRateAPAOMSupervisor</f>
        <v>110.63800000000001</v>
      </c>
      <c r="C41" s="40">
        <f>B41*$C$15</f>
        <v>3982.9680000000003</v>
      </c>
      <c r="D41" s="33">
        <f>C41*SUMPRODUCT(LabourAdjustmentFactor,E$26:I$26)</f>
        <v>21459.182982102418</v>
      </c>
      <c r="E41" s="33">
        <f>$C41*E$26*'Modelling Assumptions'!E$101</f>
        <v>4082.5421999999999</v>
      </c>
      <c r="F41" s="33">
        <f>$C41*F$26*'Modelling Assumptions'!F$101</f>
        <v>4184.6057549999996</v>
      </c>
      <c r="G41" s="33">
        <f>$C41*G$26*'Modelling Assumptions'!G$101</f>
        <v>4289.2208988749999</v>
      </c>
      <c r="H41" s="33">
        <f>$C41*H$26*'Modelling Assumptions'!H$101</f>
        <v>4396.4514213468747</v>
      </c>
      <c r="I41" s="33">
        <f>$C41*I$26*'Modelling Assumptions'!I$101</f>
        <v>4506.3627068805463</v>
      </c>
    </row>
    <row r="42" spans="1:9" x14ac:dyDescent="0.3">
      <c r="A42" s="14" t="s">
        <v>1643</v>
      </c>
      <c r="B42" s="40">
        <f>B51</f>
        <v>0</v>
      </c>
      <c r="C42" s="40">
        <f>B42*$C$15</f>
        <v>0</v>
      </c>
      <c r="D42" s="33">
        <f>C42*SUMPRODUCT(MaterialsAdjustmentFactor,E$26:I$26)</f>
        <v>0</v>
      </c>
      <c r="E42" s="33">
        <f>$C42*E$26*'Modelling Assumptions'!E$102</f>
        <v>0</v>
      </c>
      <c r="F42" s="33">
        <f>$C42*F$26*'Modelling Assumptions'!F$102</f>
        <v>0</v>
      </c>
      <c r="G42" s="33">
        <f>$C42*G$26*'Modelling Assumptions'!G$102</f>
        <v>0</v>
      </c>
      <c r="H42" s="33">
        <f>$C42*H$26*'Modelling Assumptions'!H$102</f>
        <v>0</v>
      </c>
      <c r="I42" s="33">
        <f>$C42*I$26*'Modelling Assumptions'!I$102</f>
        <v>0</v>
      </c>
    </row>
    <row r="43" spans="1:9" x14ac:dyDescent="0.3">
      <c r="A43" s="14" t="s">
        <v>1649</v>
      </c>
      <c r="B43" s="40">
        <f>B37</f>
        <v>150</v>
      </c>
      <c r="C43" s="40">
        <f>B43*$C$15</f>
        <v>5400</v>
      </c>
      <c r="D43" s="33">
        <f>C43*SUMPRODUCT(LabourAdjustmentFactor,E$26:I$26)</f>
        <v>29093.77833398437</v>
      </c>
      <c r="E43" s="33">
        <f>$C43*E$26*'Modelling Assumptions'!E$101</f>
        <v>5534.9999999999991</v>
      </c>
      <c r="F43" s="33">
        <f>$C43*F$26*'Modelling Assumptions'!F$101</f>
        <v>5673.375</v>
      </c>
      <c r="G43" s="33">
        <f>$C43*G$26*'Modelling Assumptions'!G$101</f>
        <v>5815.2093749999995</v>
      </c>
      <c r="H43" s="33">
        <f>$C43*H$26*'Modelling Assumptions'!H$101</f>
        <v>5960.5896093749989</v>
      </c>
      <c r="I43" s="33">
        <f>$C43*I$26*'Modelling Assumptions'!I$101</f>
        <v>6109.6043496093735</v>
      </c>
    </row>
    <row r="44" spans="1:9" x14ac:dyDescent="0.3">
      <c r="A44" s="14" t="s">
        <v>1650</v>
      </c>
      <c r="B44" s="40">
        <f>B38</f>
        <v>0</v>
      </c>
      <c r="C44" s="40">
        <f>B44*$C$15</f>
        <v>0</v>
      </c>
      <c r="D44" s="33">
        <f>C44*SUMPRODUCT(MaterialsAdjustmentFactor,E$26:I$26)</f>
        <v>0</v>
      </c>
      <c r="E44" s="33">
        <f>$C44*E$26*'Modelling Assumptions'!E$102</f>
        <v>0</v>
      </c>
      <c r="F44" s="33">
        <f>$C44*F$26*'Modelling Assumptions'!F$102</f>
        <v>0</v>
      </c>
      <c r="G44" s="33">
        <f>$C44*G$26*'Modelling Assumptions'!G$102</f>
        <v>0</v>
      </c>
      <c r="H44" s="33">
        <f>$C44*H$26*'Modelling Assumptions'!H$102</f>
        <v>0</v>
      </c>
      <c r="I44" s="33">
        <f>$C44*I$26*'Modelling Assumptions'!I$102</f>
        <v>0</v>
      </c>
    </row>
    <row r="45" spans="1:9" x14ac:dyDescent="0.3">
      <c r="A45" s="14"/>
      <c r="B45" s="40"/>
      <c r="C45" s="40"/>
      <c r="D45" s="33"/>
      <c r="E45" s="33"/>
      <c r="F45" s="33"/>
      <c r="G45" s="33"/>
      <c r="H45" s="33"/>
      <c r="I45" s="33"/>
    </row>
    <row r="46" spans="1:9" x14ac:dyDescent="0.3">
      <c r="A46" s="14"/>
      <c r="B46" s="40"/>
      <c r="C46" s="40"/>
      <c r="D46" s="33"/>
      <c r="E46" s="33"/>
      <c r="F46" s="33"/>
      <c r="G46" s="33"/>
      <c r="H46" s="33"/>
      <c r="I46" s="33"/>
    </row>
    <row r="47" spans="1:9" x14ac:dyDescent="0.3">
      <c r="A47" s="16" t="s">
        <v>1726</v>
      </c>
      <c r="B47" s="16"/>
      <c r="C47" s="16"/>
      <c r="D47" s="33"/>
      <c r="E47" s="33"/>
      <c r="F47" s="33"/>
      <c r="G47" s="33"/>
      <c r="H47" s="33"/>
      <c r="I47" s="33"/>
    </row>
    <row r="48" spans="1:9" x14ac:dyDescent="0.3">
      <c r="A48" s="8" t="s">
        <v>1646</v>
      </c>
      <c r="C48" s="39"/>
      <c r="D48" s="33"/>
      <c r="E48" s="33"/>
      <c r="F48" s="33"/>
      <c r="G48" s="33"/>
      <c r="H48" s="33"/>
      <c r="I48" s="33"/>
    </row>
    <row r="49" spans="1:9" x14ac:dyDescent="0.3">
      <c r="A49" s="14" t="s">
        <v>1658</v>
      </c>
      <c r="B49" s="15">
        <v>0</v>
      </c>
      <c r="C49" s="14" t="s">
        <v>2205</v>
      </c>
      <c r="D49" s="33"/>
      <c r="E49" s="33"/>
      <c r="F49" s="33"/>
      <c r="G49" s="33"/>
      <c r="H49" s="33"/>
      <c r="I49" s="33"/>
    </row>
    <row r="50" spans="1:9" x14ac:dyDescent="0.3">
      <c r="A50" s="14" t="s">
        <v>1997</v>
      </c>
      <c r="B50" s="15">
        <v>0</v>
      </c>
      <c r="C50" s="14" t="s">
        <v>2205</v>
      </c>
      <c r="D50" s="33"/>
      <c r="E50" s="33"/>
      <c r="F50" s="33"/>
      <c r="G50" s="33"/>
      <c r="H50" s="33"/>
      <c r="I50" s="33"/>
    </row>
    <row r="51" spans="1:9" x14ac:dyDescent="0.3">
      <c r="A51" s="14" t="s">
        <v>1643</v>
      </c>
      <c r="B51" s="55">
        <f>B77/C43</f>
        <v>0</v>
      </c>
      <c r="C51" s="14" t="s">
        <v>1662</v>
      </c>
      <c r="D51" s="33"/>
      <c r="E51" s="33"/>
      <c r="F51" s="33"/>
      <c r="G51" s="33"/>
      <c r="H51" s="33"/>
      <c r="I51" s="33"/>
    </row>
    <row r="52" spans="1:9" x14ac:dyDescent="0.3">
      <c r="A52" s="14"/>
      <c r="B52" s="55"/>
      <c r="C52" s="14"/>
      <c r="D52" s="33"/>
      <c r="E52" s="33"/>
      <c r="F52" s="33"/>
      <c r="G52" s="33"/>
      <c r="H52" s="33"/>
      <c r="I52" s="33"/>
    </row>
    <row r="53" spans="1:9" x14ac:dyDescent="0.3">
      <c r="A53" s="42" t="s">
        <v>1647</v>
      </c>
      <c r="B53" s="15"/>
      <c r="C53" s="14"/>
      <c r="D53" s="33"/>
      <c r="E53" s="33"/>
      <c r="F53" s="33"/>
      <c r="G53" s="33"/>
      <c r="H53" s="33"/>
      <c r="I53" s="33"/>
    </row>
    <row r="54" spans="1:9" x14ac:dyDescent="0.3">
      <c r="A54" s="14" t="s">
        <v>1656</v>
      </c>
      <c r="B54" s="15">
        <v>0.75</v>
      </c>
      <c r="C54" s="14" t="s">
        <v>1727</v>
      </c>
      <c r="D54" s="33"/>
      <c r="E54" s="33"/>
      <c r="F54" s="33"/>
      <c r="G54" s="33"/>
      <c r="H54" s="33"/>
      <c r="I54" s="33"/>
    </row>
    <row r="55" spans="1:9" x14ac:dyDescent="0.3">
      <c r="A55" s="14" t="s">
        <v>1651</v>
      </c>
      <c r="B55" s="55">
        <f>ElectricalContractorHourlyRate</f>
        <v>75</v>
      </c>
      <c r="C55" s="14" t="s">
        <v>1721</v>
      </c>
      <c r="D55" s="33"/>
      <c r="E55" s="33"/>
      <c r="F55" s="33"/>
      <c r="G55" s="33"/>
      <c r="H55" s="33"/>
      <c r="I55" s="33"/>
    </row>
    <row r="56" spans="1:9" x14ac:dyDescent="0.3">
      <c r="A56" s="14" t="s">
        <v>1649</v>
      </c>
      <c r="B56" s="55">
        <f>B54*B55</f>
        <v>56.25</v>
      </c>
      <c r="C56" s="14"/>
      <c r="D56" s="33"/>
      <c r="E56" s="33"/>
      <c r="F56" s="33"/>
      <c r="G56" s="33"/>
      <c r="H56" s="33"/>
      <c r="I56" s="33"/>
    </row>
    <row r="57" spans="1:9" x14ac:dyDescent="0.3">
      <c r="A57" s="14" t="s">
        <v>1650</v>
      </c>
      <c r="B57" s="55">
        <v>0</v>
      </c>
      <c r="C57" s="7"/>
      <c r="D57" s="33"/>
      <c r="E57" s="33"/>
      <c r="F57" s="33"/>
      <c r="G57" s="33"/>
      <c r="H57" s="33"/>
      <c r="I57" s="33"/>
    </row>
    <row r="58" spans="1:9" x14ac:dyDescent="0.3">
      <c r="A58" s="14"/>
      <c r="B58" s="41"/>
      <c r="C58" s="7"/>
      <c r="D58" s="33"/>
      <c r="E58" s="33"/>
      <c r="F58" s="33"/>
      <c r="G58" s="33"/>
      <c r="H58" s="33"/>
      <c r="I58" s="33"/>
    </row>
    <row r="59" spans="1:9" x14ac:dyDescent="0.3">
      <c r="A59" s="14"/>
      <c r="B59" s="46" t="s">
        <v>2712</v>
      </c>
      <c r="C59" s="46" t="s">
        <v>2720</v>
      </c>
      <c r="D59" s="30" t="s">
        <v>1655</v>
      </c>
      <c r="E59" s="30" t="str">
        <f>Summary!C4</f>
        <v>2015/16</v>
      </c>
      <c r="F59" s="30" t="str">
        <f>Summary!D4</f>
        <v>2016/17</v>
      </c>
      <c r="G59" s="30" t="str">
        <f>Summary!E4</f>
        <v>2017/18</v>
      </c>
      <c r="H59" s="30" t="str">
        <f>Summary!F4</f>
        <v>2018/19</v>
      </c>
      <c r="I59" s="30" t="str">
        <f>Summary!G4</f>
        <v>2019/20</v>
      </c>
    </row>
    <row r="60" spans="1:9" x14ac:dyDescent="0.3">
      <c r="A60" s="14" t="s">
        <v>1648</v>
      </c>
      <c r="B60" s="40">
        <f>B49*HourlyRateAPAMaintenanceStaff+B50*HourlyRateAPAOMSupervisor</f>
        <v>0</v>
      </c>
      <c r="C60" s="40">
        <f>B60*$C$15</f>
        <v>0</v>
      </c>
      <c r="D60" s="33">
        <f>C60*SUMPRODUCT(LabourAdjustmentFactor,E$26:I$26)</f>
        <v>0</v>
      </c>
      <c r="E60" s="33">
        <f>$C60*E$26*'Modelling Assumptions'!E$101</f>
        <v>0</v>
      </c>
      <c r="F60" s="33">
        <f>$C60*F$26*'Modelling Assumptions'!F$101</f>
        <v>0</v>
      </c>
      <c r="G60" s="33">
        <f>$C60*G$26*'Modelling Assumptions'!G$101</f>
        <v>0</v>
      </c>
      <c r="H60" s="33">
        <f>$C60*H$26*'Modelling Assumptions'!H$101</f>
        <v>0</v>
      </c>
      <c r="I60" s="33">
        <f>$C60*I$26*'Modelling Assumptions'!I$101</f>
        <v>0</v>
      </c>
    </row>
    <row r="61" spans="1:9" x14ac:dyDescent="0.3">
      <c r="A61" s="14" t="s">
        <v>1643</v>
      </c>
      <c r="B61" s="40">
        <f>B51</f>
        <v>0</v>
      </c>
      <c r="C61" s="40">
        <f>B61*$C$15</f>
        <v>0</v>
      </c>
      <c r="D61" s="33">
        <f>C61*SUMPRODUCT(MaterialsAdjustmentFactor,E$26:I$26)</f>
        <v>0</v>
      </c>
      <c r="E61" s="33">
        <f>$C61*E$26*'Modelling Assumptions'!E$102</f>
        <v>0</v>
      </c>
      <c r="F61" s="33">
        <f>$C61*F$26*'Modelling Assumptions'!F$102</f>
        <v>0</v>
      </c>
      <c r="G61" s="33">
        <f>$C61*G$26*'Modelling Assumptions'!G$102</f>
        <v>0</v>
      </c>
      <c r="H61" s="33">
        <f>$C61*H$26*'Modelling Assumptions'!H$102</f>
        <v>0</v>
      </c>
      <c r="I61" s="33">
        <f>$C61*I$26*'Modelling Assumptions'!I$102</f>
        <v>0</v>
      </c>
    </row>
    <row r="62" spans="1:9" x14ac:dyDescent="0.3">
      <c r="A62" s="14" t="s">
        <v>1649</v>
      </c>
      <c r="B62" s="40">
        <f>B56</f>
        <v>56.25</v>
      </c>
      <c r="C62" s="40">
        <f>B62*$C$15</f>
        <v>2025</v>
      </c>
      <c r="D62" s="33">
        <f>C62*SUMPRODUCT(LabourAdjustmentFactor,E$26:I$26)</f>
        <v>10910.166875244138</v>
      </c>
      <c r="E62" s="33">
        <f>$C62*E$26*'Modelling Assumptions'!E$101</f>
        <v>2075.625</v>
      </c>
      <c r="F62" s="33">
        <f>$C62*F$26*'Modelling Assumptions'!F$101</f>
        <v>2127.515625</v>
      </c>
      <c r="G62" s="33">
        <f>$C62*G$26*'Modelling Assumptions'!G$101</f>
        <v>2180.7035156249999</v>
      </c>
      <c r="H62" s="33">
        <f>$C62*H$26*'Modelling Assumptions'!H$101</f>
        <v>2235.2211035156247</v>
      </c>
      <c r="I62" s="33">
        <f>$C62*I$26*'Modelling Assumptions'!I$101</f>
        <v>2291.101631103515</v>
      </c>
    </row>
    <row r="63" spans="1:9" x14ac:dyDescent="0.3">
      <c r="A63" s="14" t="s">
        <v>1650</v>
      </c>
      <c r="B63" s="40">
        <f>B57</f>
        <v>0</v>
      </c>
      <c r="C63" s="40">
        <f>B63*$C$15</f>
        <v>0</v>
      </c>
      <c r="D63" s="33">
        <f>C63*SUMPRODUCT(MaterialsAdjustmentFactor,E$26:I$26)</f>
        <v>0</v>
      </c>
      <c r="E63" s="33">
        <f>$C63*E$26*'Modelling Assumptions'!E$102</f>
        <v>0</v>
      </c>
      <c r="F63" s="33">
        <f>$C63*F$26*'Modelling Assumptions'!F$102</f>
        <v>0</v>
      </c>
      <c r="G63" s="33">
        <f>$C63*G$26*'Modelling Assumptions'!G$102</f>
        <v>0</v>
      </c>
      <c r="H63" s="33">
        <f>$C63*H$26*'Modelling Assumptions'!H$102</f>
        <v>0</v>
      </c>
      <c r="I63" s="33">
        <f>$C63*I$26*'Modelling Assumptions'!I$102</f>
        <v>0</v>
      </c>
    </row>
    <row r="64" spans="1:9" x14ac:dyDescent="0.3">
      <c r="A64" s="14"/>
      <c r="B64" s="41"/>
      <c r="C64" s="7"/>
      <c r="D64" s="33"/>
      <c r="E64" s="33"/>
      <c r="F64" s="33"/>
      <c r="G64" s="33"/>
      <c r="H64" s="33"/>
      <c r="I64" s="33"/>
    </row>
    <row r="65" spans="1:9" x14ac:dyDescent="0.3">
      <c r="A65" s="14"/>
      <c r="B65" s="41"/>
      <c r="C65" s="7"/>
      <c r="D65" s="33"/>
      <c r="E65" s="33"/>
      <c r="F65" s="33"/>
      <c r="G65" s="33"/>
      <c r="H65" s="33"/>
      <c r="I65" s="33"/>
    </row>
    <row r="66" spans="1:9" x14ac:dyDescent="0.3">
      <c r="A66" s="14"/>
      <c r="B66" s="14"/>
      <c r="C66" s="14"/>
    </row>
    <row r="67" spans="1:9" x14ac:dyDescent="0.3">
      <c r="A67" s="10" t="s">
        <v>1641</v>
      </c>
      <c r="B67" s="44"/>
      <c r="C67" s="44"/>
      <c r="D67" s="10"/>
      <c r="E67" s="10"/>
      <c r="F67" s="10"/>
      <c r="G67" s="10"/>
      <c r="H67" s="10"/>
      <c r="I67" s="10"/>
    </row>
    <row r="68" spans="1:9" x14ac:dyDescent="0.3">
      <c r="A68" t="s">
        <v>3</v>
      </c>
      <c r="B68" t="s">
        <v>2</v>
      </c>
      <c r="C68" t="s">
        <v>1</v>
      </c>
    </row>
    <row r="69" spans="1:9" x14ac:dyDescent="0.3">
      <c r="A69" t="s">
        <v>176</v>
      </c>
      <c r="B69" t="s">
        <v>175</v>
      </c>
      <c r="C69" t="s">
        <v>44</v>
      </c>
      <c r="D69" t="s">
        <v>172</v>
      </c>
    </row>
    <row r="70" spans="1:9" x14ac:dyDescent="0.3">
      <c r="A70" t="s">
        <v>176</v>
      </c>
      <c r="B70" t="s">
        <v>175</v>
      </c>
      <c r="C70" t="s">
        <v>93</v>
      </c>
      <c r="D70" t="s">
        <v>248</v>
      </c>
    </row>
    <row r="71" spans="1:9" x14ac:dyDescent="0.3">
      <c r="A71" t="s">
        <v>176</v>
      </c>
      <c r="B71" t="s">
        <v>175</v>
      </c>
      <c r="C71" t="s">
        <v>108</v>
      </c>
      <c r="D71" t="s">
        <v>292</v>
      </c>
    </row>
    <row r="72" spans="1:9" x14ac:dyDescent="0.3">
      <c r="A72" t="s">
        <v>176</v>
      </c>
      <c r="B72" t="s">
        <v>175</v>
      </c>
      <c r="C72" t="s">
        <v>335</v>
      </c>
      <c r="D72" t="s">
        <v>392</v>
      </c>
    </row>
    <row r="73" spans="1:9" x14ac:dyDescent="0.3">
      <c r="A73" t="s">
        <v>176</v>
      </c>
      <c r="B73" t="s">
        <v>175</v>
      </c>
      <c r="C73" t="s">
        <v>346</v>
      </c>
      <c r="D73" t="s">
        <v>437</v>
      </c>
    </row>
    <row r="74" spans="1:9" x14ac:dyDescent="0.3">
      <c r="A74" t="s">
        <v>176</v>
      </c>
      <c r="B74" t="s">
        <v>175</v>
      </c>
      <c r="C74" t="s">
        <v>358</v>
      </c>
      <c r="D74" t="s">
        <v>480</v>
      </c>
    </row>
    <row r="80" spans="1:9" x14ac:dyDescent="0.3">
      <c r="A80" t="s">
        <v>1098</v>
      </c>
      <c r="B80" t="s">
        <v>524</v>
      </c>
    </row>
    <row r="81" spans="1:5" x14ac:dyDescent="0.3">
      <c r="A81" t="s">
        <v>1139</v>
      </c>
      <c r="B81" t="s">
        <v>1100</v>
      </c>
      <c r="C81" t="s">
        <v>1101</v>
      </c>
      <c r="D81" s="29">
        <v>41536.37222222222</v>
      </c>
      <c r="E81" t="s">
        <v>1119</v>
      </c>
    </row>
    <row r="82" spans="1:5" x14ac:dyDescent="0.3">
      <c r="A82" t="s">
        <v>1140</v>
      </c>
      <c r="B82" t="s">
        <v>1141</v>
      </c>
      <c r="C82" t="s">
        <v>1101</v>
      </c>
      <c r="D82" s="29">
        <v>41617.410416666666</v>
      </c>
      <c r="E82" t="s">
        <v>1142</v>
      </c>
    </row>
    <row r="83" spans="1:5" x14ac:dyDescent="0.3">
      <c r="A83" t="s">
        <v>1143</v>
      </c>
      <c r="B83" t="s">
        <v>1141</v>
      </c>
      <c r="C83" t="s">
        <v>1101</v>
      </c>
      <c r="D83" s="29">
        <v>41617.409722222219</v>
      </c>
      <c r="E83" t="s">
        <v>1142</v>
      </c>
    </row>
    <row r="84" spans="1:5" x14ac:dyDescent="0.3">
      <c r="A84" t="s">
        <v>1144</v>
      </c>
      <c r="B84" t="s">
        <v>1100</v>
      </c>
      <c r="C84" t="s">
        <v>1101</v>
      </c>
      <c r="D84" s="29">
        <v>41536.37222222222</v>
      </c>
      <c r="E84" t="s">
        <v>1119</v>
      </c>
    </row>
    <row r="85" spans="1:5" x14ac:dyDescent="0.3">
      <c r="A85" t="s">
        <v>1145</v>
      </c>
      <c r="B85" t="s">
        <v>1141</v>
      </c>
      <c r="C85" t="s">
        <v>1101</v>
      </c>
      <c r="D85" s="29">
        <v>41614.45208333333</v>
      </c>
      <c r="E85" t="s">
        <v>1146</v>
      </c>
    </row>
    <row r="86" spans="1:5" x14ac:dyDescent="0.3">
      <c r="A86" t="s">
        <v>1147</v>
      </c>
      <c r="B86" t="s">
        <v>1141</v>
      </c>
      <c r="C86" t="s">
        <v>1101</v>
      </c>
      <c r="D86" s="29">
        <v>41614.446527777778</v>
      </c>
      <c r="E86" t="s">
        <v>1148</v>
      </c>
    </row>
    <row r="87" spans="1:5" x14ac:dyDescent="0.3">
      <c r="D87" s="29"/>
    </row>
    <row r="88" spans="1:5" x14ac:dyDescent="0.3">
      <c r="D88" s="29"/>
    </row>
    <row r="89" spans="1:5" x14ac:dyDescent="0.3">
      <c r="D89" s="29"/>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C8C800"/>
    <pageSetUpPr fitToPage="1"/>
  </sheetPr>
  <dimension ref="A1:I98"/>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1470</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D33+D53</f>
        <v>10254.514901386639</v>
      </c>
      <c r="E3" s="33">
        <f t="shared" ref="E3:I3" si="0">E33+E53</f>
        <v>2438.4258</v>
      </c>
      <c r="F3" s="33">
        <f t="shared" si="0"/>
        <v>1249.6932225</v>
      </c>
      <c r="G3" s="33">
        <f t="shared" si="0"/>
        <v>2561.8711061250001</v>
      </c>
      <c r="H3" s="33">
        <f t="shared" si="0"/>
        <v>1312.9589418890623</v>
      </c>
      <c r="I3" s="33">
        <f t="shared" si="0"/>
        <v>2691.5658308725774</v>
      </c>
    </row>
    <row r="4" spans="1:9" ht="15" x14ac:dyDescent="0.25">
      <c r="A4" t="s">
        <v>1643</v>
      </c>
      <c r="B4" s="33"/>
      <c r="C4" s="33"/>
      <c r="D4" s="33">
        <f t="shared" ref="D4:I6" si="1">D34+D54</f>
        <v>0</v>
      </c>
      <c r="E4" s="33">
        <f t="shared" si="1"/>
        <v>0</v>
      </c>
      <c r="F4" s="33">
        <f t="shared" si="1"/>
        <v>0</v>
      </c>
      <c r="G4" s="33">
        <f t="shared" si="1"/>
        <v>0</v>
      </c>
      <c r="H4" s="33">
        <f t="shared" si="1"/>
        <v>0</v>
      </c>
      <c r="I4" s="33">
        <f t="shared" si="1"/>
        <v>0</v>
      </c>
    </row>
    <row r="5" spans="1:9" ht="15" x14ac:dyDescent="0.25">
      <c r="A5" t="s">
        <v>1649</v>
      </c>
      <c r="B5" s="33"/>
      <c r="C5" s="33"/>
      <c r="D5" s="33">
        <f t="shared" si="1"/>
        <v>5334.4504819335925</v>
      </c>
      <c r="E5" s="33">
        <f t="shared" si="1"/>
        <v>1383.7499999999998</v>
      </c>
      <c r="F5" s="33">
        <f t="shared" si="1"/>
        <v>472.78124999999994</v>
      </c>
      <c r="G5" s="33">
        <f t="shared" si="1"/>
        <v>1453.8023437499999</v>
      </c>
      <c r="H5" s="33">
        <f t="shared" si="1"/>
        <v>496.71580078124987</v>
      </c>
      <c r="I5" s="33">
        <f t="shared" si="1"/>
        <v>1527.4010874023434</v>
      </c>
    </row>
    <row r="6" spans="1:9" ht="15" x14ac:dyDescent="0.25">
      <c r="A6" t="s">
        <v>1650</v>
      </c>
      <c r="B6" s="33"/>
      <c r="C6" s="33"/>
      <c r="D6" s="33">
        <f t="shared" si="1"/>
        <v>0</v>
      </c>
      <c r="E6" s="33">
        <f t="shared" si="1"/>
        <v>0</v>
      </c>
      <c r="F6" s="33">
        <f t="shared" si="1"/>
        <v>0</v>
      </c>
      <c r="G6" s="33">
        <f t="shared" si="1"/>
        <v>0</v>
      </c>
      <c r="H6" s="33">
        <f t="shared" si="1"/>
        <v>0</v>
      </c>
      <c r="I6" s="33">
        <f t="shared" si="1"/>
        <v>0</v>
      </c>
    </row>
    <row r="9" spans="1:9" ht="15" x14ac:dyDescent="0.25">
      <c r="A9" t="s">
        <v>1497</v>
      </c>
      <c r="B9" t="s">
        <v>1499</v>
      </c>
    </row>
    <row r="10" spans="1:9" ht="15" x14ac:dyDescent="0.25">
      <c r="A10" t="s">
        <v>1500</v>
      </c>
      <c r="B10" t="s">
        <v>1670</v>
      </c>
    </row>
    <row r="12" spans="1:9" ht="15" x14ac:dyDescent="0.25">
      <c r="B12" s="39"/>
      <c r="C12" s="39"/>
    </row>
    <row r="13" spans="1:9" ht="15" x14ac:dyDescent="0.25">
      <c r="A13" t="s">
        <v>1635</v>
      </c>
    </row>
    <row r="14" spans="1:9" ht="15" x14ac:dyDescent="0.25">
      <c r="B14" s="39" t="s">
        <v>1619</v>
      </c>
      <c r="C14" s="39">
        <v>12</v>
      </c>
    </row>
    <row r="15" spans="1:9" ht="15" x14ac:dyDescent="0.25">
      <c r="A15" s="12" t="s">
        <v>1640</v>
      </c>
      <c r="B15" s="12"/>
      <c r="C15" s="12">
        <f>C14</f>
        <v>12</v>
      </c>
    </row>
    <row r="16" spans="1:9" ht="15" x14ac:dyDescent="0.25">
      <c r="B16" s="39"/>
      <c r="C16" s="39"/>
    </row>
    <row r="17" spans="1:9" s="301" customFormat="1" ht="15" x14ac:dyDescent="0.25">
      <c r="A17" s="301" t="s">
        <v>1992</v>
      </c>
      <c r="B17" s="39"/>
      <c r="C17" s="39"/>
    </row>
    <row r="18" spans="1:9" s="301" customFormat="1" ht="15" x14ac:dyDescent="0.25">
      <c r="A18" s="301" t="s">
        <v>3254</v>
      </c>
      <c r="B18" s="39"/>
      <c r="C18" s="39"/>
    </row>
    <row r="19" spans="1:9" ht="15" x14ac:dyDescent="0.25">
      <c r="B19" s="39"/>
      <c r="C19" s="39"/>
      <c r="E19" s="30" t="str">
        <f>Summary!C4</f>
        <v>2015/16</v>
      </c>
      <c r="F19" s="30" t="str">
        <f>Summary!D4</f>
        <v>2016/17</v>
      </c>
      <c r="G19" s="30" t="str">
        <f>Summary!E4</f>
        <v>2017/18</v>
      </c>
      <c r="H19" s="30" t="str">
        <f>Summary!F4</f>
        <v>2018/19</v>
      </c>
      <c r="I19" s="30" t="str">
        <f>Summary!G4</f>
        <v>2019/20</v>
      </c>
    </row>
    <row r="20" spans="1:9" x14ac:dyDescent="0.3">
      <c r="A20" s="45" t="s">
        <v>1116</v>
      </c>
      <c r="B20" s="45" t="s">
        <v>56</v>
      </c>
      <c r="C20" s="45"/>
      <c r="D20" s="45"/>
      <c r="E20" s="45">
        <v>1</v>
      </c>
      <c r="F20" s="45">
        <v>1</v>
      </c>
      <c r="G20" s="45">
        <v>1</v>
      </c>
      <c r="H20" s="45">
        <v>1</v>
      </c>
      <c r="I20" s="45">
        <v>1</v>
      </c>
    </row>
    <row r="21" spans="1:9" ht="15" x14ac:dyDescent="0.25">
      <c r="A21" s="8" t="s">
        <v>1646</v>
      </c>
      <c r="C21" s="39"/>
    </row>
    <row r="22" spans="1:9" ht="15" x14ac:dyDescent="0.25">
      <c r="A22" s="14" t="s">
        <v>1658</v>
      </c>
      <c r="B22" s="67">
        <f>APATechnicianHours/C15</f>
        <v>8.3333333333333329E-2</v>
      </c>
      <c r="C22" s="14" t="s">
        <v>1671</v>
      </c>
    </row>
    <row r="23" spans="1:9" ht="15" x14ac:dyDescent="0.25">
      <c r="A23" s="14" t="s">
        <v>1997</v>
      </c>
      <c r="B23" s="67">
        <f>APASupervisorHours/C15</f>
        <v>0.71527777777777779</v>
      </c>
      <c r="C23" s="14" t="s">
        <v>1671</v>
      </c>
    </row>
    <row r="24" spans="1:9" ht="15" x14ac:dyDescent="0.25">
      <c r="A24" s="14" t="s">
        <v>1643</v>
      </c>
      <c r="B24" s="55">
        <v>0</v>
      </c>
      <c r="C24" s="14"/>
    </row>
    <row r="25" spans="1:9" ht="15" x14ac:dyDescent="0.25">
      <c r="A25" s="14"/>
      <c r="B25" s="55"/>
      <c r="C25" s="14"/>
    </row>
    <row r="26" spans="1:9" ht="15" x14ac:dyDescent="0.25">
      <c r="A26" s="42" t="s">
        <v>1647</v>
      </c>
      <c r="B26" s="15"/>
      <c r="C26" s="14"/>
    </row>
    <row r="27" spans="1:9" ht="15" x14ac:dyDescent="0.25">
      <c r="A27" s="14" t="s">
        <v>1656</v>
      </c>
      <c r="B27" s="15">
        <v>0.5</v>
      </c>
      <c r="C27" s="14" t="s">
        <v>3267</v>
      </c>
    </row>
    <row r="28" spans="1:9" ht="15" x14ac:dyDescent="0.25">
      <c r="A28" s="14" t="s">
        <v>1651</v>
      </c>
      <c r="B28" s="55">
        <f>ElectricalContractorHourlyRate</f>
        <v>75</v>
      </c>
      <c r="C28" s="14"/>
    </row>
    <row r="29" spans="1:9" ht="15" x14ac:dyDescent="0.25">
      <c r="A29" s="14" t="s">
        <v>1649</v>
      </c>
      <c r="B29" s="56">
        <f>B27*B28</f>
        <v>37.5</v>
      </c>
      <c r="C29" s="14"/>
    </row>
    <row r="30" spans="1:9" ht="15" x14ac:dyDescent="0.25">
      <c r="A30" s="14" t="s">
        <v>1650</v>
      </c>
      <c r="B30" s="55">
        <v>0</v>
      </c>
      <c r="C30" s="14"/>
    </row>
    <row r="31" spans="1:9" x14ac:dyDescent="0.3">
      <c r="A31" s="14"/>
      <c r="B31" s="41"/>
      <c r="C31" s="14"/>
    </row>
    <row r="32" spans="1:9" x14ac:dyDescent="0.3">
      <c r="A32" s="14"/>
      <c r="B32" s="46" t="s">
        <v>2712</v>
      </c>
      <c r="C32" s="46" t="s">
        <v>2720</v>
      </c>
      <c r="D32" s="30" t="s">
        <v>1655</v>
      </c>
      <c r="E32" s="30" t="str">
        <f>Summary!C4</f>
        <v>2015/16</v>
      </c>
      <c r="F32" s="30" t="str">
        <f>Summary!D4</f>
        <v>2016/17</v>
      </c>
      <c r="G32" s="30" t="str">
        <f>Summary!E4</f>
        <v>2017/18</v>
      </c>
      <c r="H32" s="30" t="str">
        <f>Summary!F4</f>
        <v>2018/19</v>
      </c>
      <c r="I32" s="30" t="str">
        <f>Summary!G4</f>
        <v>2019/20</v>
      </c>
    </row>
    <row r="33" spans="1:9" x14ac:dyDescent="0.3">
      <c r="A33" s="14" t="s">
        <v>1648</v>
      </c>
      <c r="B33" s="40">
        <f>B22*HourlyRateAPAMaintenanceStaff+B23*HourlyRateAPAOMSupervisor</f>
        <v>99.123000000000019</v>
      </c>
      <c r="C33" s="40">
        <f>B33*$C$15</f>
        <v>1189.4760000000001</v>
      </c>
      <c r="D33" s="40">
        <f>C33*SUMPRODUCT(LabourAdjustmentFactor,E$20:I$20)</f>
        <v>6408.5835328878511</v>
      </c>
      <c r="E33" s="40">
        <f>$C33*E$20*'Modelling Assumptions'!E$101</f>
        <v>1219.2129</v>
      </c>
      <c r="F33" s="40">
        <f>$C33*F$20*'Modelling Assumptions'!F$101</f>
        <v>1249.6932225</v>
      </c>
      <c r="G33" s="40">
        <f>$C33*G$20*'Modelling Assumptions'!G$101</f>
        <v>1280.9355530625</v>
      </c>
      <c r="H33" s="40">
        <f>$C33*H$20*'Modelling Assumptions'!H$101</f>
        <v>1312.9589418890623</v>
      </c>
      <c r="I33" s="40">
        <f>$C33*I$20*'Modelling Assumptions'!I$101</f>
        <v>1345.7829154362887</v>
      </c>
    </row>
    <row r="34" spans="1:9" x14ac:dyDescent="0.3">
      <c r="A34" s="14" t="s">
        <v>1643</v>
      </c>
      <c r="B34" s="40">
        <f>B24</f>
        <v>0</v>
      </c>
      <c r="C34" s="40">
        <f>B34*$C$15</f>
        <v>0</v>
      </c>
      <c r="D34" s="40">
        <f>C34*SUMPRODUCT(MaterialsAdjustmentFactor,E$20:I$20)</f>
        <v>0</v>
      </c>
      <c r="E34" s="40">
        <f>$C34*E$20*'Modelling Assumptions'!E$102</f>
        <v>0</v>
      </c>
      <c r="F34" s="40">
        <f>$C34*F$20*'Modelling Assumptions'!F$102</f>
        <v>0</v>
      </c>
      <c r="G34" s="40">
        <f>$C34*G$20*'Modelling Assumptions'!G$102</f>
        <v>0</v>
      </c>
      <c r="H34" s="40">
        <f>$C34*H$20*'Modelling Assumptions'!H$102</f>
        <v>0</v>
      </c>
      <c r="I34" s="40">
        <f>$C34*I$20*'Modelling Assumptions'!I$102</f>
        <v>0</v>
      </c>
    </row>
    <row r="35" spans="1:9" x14ac:dyDescent="0.3">
      <c r="A35" s="14" t="s">
        <v>1649</v>
      </c>
      <c r="B35" s="40">
        <f>B29</f>
        <v>37.5</v>
      </c>
      <c r="C35" s="40">
        <f>B35*$C$15</f>
        <v>450</v>
      </c>
      <c r="D35" s="40">
        <f>C35*SUMPRODUCT(LabourAdjustmentFactor,E$20:I$20)</f>
        <v>2424.4815278320307</v>
      </c>
      <c r="E35" s="40">
        <f>$C35*E$20*'Modelling Assumptions'!E$101</f>
        <v>461.24999999999994</v>
      </c>
      <c r="F35" s="40">
        <f>$C35*F$20*'Modelling Assumptions'!F$101</f>
        <v>472.78124999999994</v>
      </c>
      <c r="G35" s="40">
        <f>$C35*G$20*'Modelling Assumptions'!G$101</f>
        <v>484.60078124999995</v>
      </c>
      <c r="H35" s="40">
        <f>$C35*H$20*'Modelling Assumptions'!H$101</f>
        <v>496.71580078124987</v>
      </c>
      <c r="I35" s="40">
        <f>$C35*I$20*'Modelling Assumptions'!I$101</f>
        <v>509.13369580078108</v>
      </c>
    </row>
    <row r="36" spans="1:9" x14ac:dyDescent="0.3">
      <c r="A36" s="14" t="s">
        <v>1650</v>
      </c>
      <c r="B36" s="40">
        <f>B30</f>
        <v>0</v>
      </c>
      <c r="C36" s="40">
        <f>B36*$C$15</f>
        <v>0</v>
      </c>
      <c r="D36" s="40">
        <f>C36*SUMPRODUCT(MaterialsAdjustmentFactor,E$20:I$20)</f>
        <v>0</v>
      </c>
      <c r="E36" s="40">
        <f>$C36*E$20*'Modelling Assumptions'!E$102</f>
        <v>0</v>
      </c>
      <c r="F36" s="40">
        <f>$C36*F$20*'Modelling Assumptions'!F$102</f>
        <v>0</v>
      </c>
      <c r="G36" s="40">
        <f>$C36*G$20*'Modelling Assumptions'!G$102</f>
        <v>0</v>
      </c>
      <c r="H36" s="40">
        <f>$C36*H$20*'Modelling Assumptions'!H$102</f>
        <v>0</v>
      </c>
      <c r="I36" s="40">
        <f>$C36*I$20*'Modelling Assumptions'!I$102</f>
        <v>0</v>
      </c>
    </row>
    <row r="37" spans="1:9" x14ac:dyDescent="0.3">
      <c r="A37" s="14"/>
      <c r="B37" s="41"/>
      <c r="C37" s="14"/>
    </row>
    <row r="38" spans="1:9" x14ac:dyDescent="0.3">
      <c r="A38" s="14"/>
      <c r="B38" s="41"/>
      <c r="C38" s="14"/>
    </row>
    <row r="39" spans="1:9" x14ac:dyDescent="0.3">
      <c r="E39" s="30" t="str">
        <f>Summary!C4</f>
        <v>2015/16</v>
      </c>
      <c r="F39" s="30" t="str">
        <f>Summary!D4</f>
        <v>2016/17</v>
      </c>
      <c r="G39" s="30" t="str">
        <f>Summary!E4</f>
        <v>2017/18</v>
      </c>
      <c r="H39" s="30" t="str">
        <f>Summary!F4</f>
        <v>2018/19</v>
      </c>
      <c r="I39" s="30" t="str">
        <f>Summary!G4</f>
        <v>2019/20</v>
      </c>
    </row>
    <row r="40" spans="1:9" x14ac:dyDescent="0.3">
      <c r="A40" s="45" t="s">
        <v>1117</v>
      </c>
      <c r="B40" s="45" t="s">
        <v>65</v>
      </c>
      <c r="C40" s="45"/>
      <c r="D40" s="45"/>
      <c r="E40" s="45">
        <v>1</v>
      </c>
      <c r="F40" s="45">
        <v>0</v>
      </c>
      <c r="G40" s="45">
        <v>1</v>
      </c>
      <c r="H40" s="45">
        <v>0</v>
      </c>
      <c r="I40" s="45">
        <v>1</v>
      </c>
    </row>
    <row r="41" spans="1:9" x14ac:dyDescent="0.3">
      <c r="A41" s="8" t="s">
        <v>1646</v>
      </c>
      <c r="C41" s="39"/>
    </row>
    <row r="42" spans="1:9" x14ac:dyDescent="0.3">
      <c r="A42" s="14" t="s">
        <v>1658</v>
      </c>
      <c r="B42" s="67">
        <f>1/C15</f>
        <v>8.3333333333333329E-2</v>
      </c>
      <c r="C42" s="14" t="s">
        <v>1671</v>
      </c>
    </row>
    <row r="43" spans="1:9" x14ac:dyDescent="0.3">
      <c r="A43" s="14" t="s">
        <v>1997</v>
      </c>
      <c r="B43" s="67">
        <f>APASupervisorHours/C15</f>
        <v>0.71527777777777779</v>
      </c>
      <c r="C43" s="14" t="s">
        <v>1671</v>
      </c>
    </row>
    <row r="44" spans="1:9" x14ac:dyDescent="0.3">
      <c r="A44" s="14" t="s">
        <v>1643</v>
      </c>
      <c r="B44" s="55">
        <v>0</v>
      </c>
      <c r="C44" s="14"/>
    </row>
    <row r="45" spans="1:9" x14ac:dyDescent="0.3">
      <c r="A45" s="14"/>
      <c r="B45" s="55"/>
      <c r="C45" s="14"/>
    </row>
    <row r="46" spans="1:9" x14ac:dyDescent="0.3">
      <c r="A46" s="42" t="s">
        <v>1647</v>
      </c>
      <c r="B46" s="15"/>
      <c r="C46" s="14"/>
    </row>
    <row r="47" spans="1:9" x14ac:dyDescent="0.3">
      <c r="A47" s="14" t="s">
        <v>1656</v>
      </c>
      <c r="B47" s="15">
        <v>1</v>
      </c>
      <c r="C47" s="14" t="s">
        <v>3266</v>
      </c>
    </row>
    <row r="48" spans="1:9" x14ac:dyDescent="0.3">
      <c r="A48" s="14" t="s">
        <v>1651</v>
      </c>
      <c r="B48" s="55">
        <v>75</v>
      </c>
      <c r="C48" s="14"/>
    </row>
    <row r="49" spans="1:9" x14ac:dyDescent="0.3">
      <c r="A49" s="14" t="s">
        <v>1649</v>
      </c>
      <c r="B49" s="55">
        <f>B47*B48</f>
        <v>75</v>
      </c>
      <c r="C49" s="14"/>
    </row>
    <row r="50" spans="1:9" x14ac:dyDescent="0.3">
      <c r="A50" s="14" t="s">
        <v>1650</v>
      </c>
      <c r="B50" s="55">
        <v>0</v>
      </c>
      <c r="C50" s="7"/>
    </row>
    <row r="52" spans="1:9" x14ac:dyDescent="0.3">
      <c r="A52" s="14"/>
      <c r="B52" s="46" t="s">
        <v>2712</v>
      </c>
      <c r="C52" s="46" t="s">
        <v>2720</v>
      </c>
      <c r="D52" s="30" t="s">
        <v>1655</v>
      </c>
      <c r="E52" s="30" t="str">
        <f>Summary!C4</f>
        <v>2015/16</v>
      </c>
      <c r="F52" s="30" t="str">
        <f>Summary!D4</f>
        <v>2016/17</v>
      </c>
      <c r="G52" s="30" t="str">
        <f>Summary!E4</f>
        <v>2017/18</v>
      </c>
      <c r="H52" s="30" t="str">
        <f>Summary!F4</f>
        <v>2018/19</v>
      </c>
      <c r="I52" s="30" t="str">
        <f>Summary!G4</f>
        <v>2019/20</v>
      </c>
    </row>
    <row r="53" spans="1:9" x14ac:dyDescent="0.3">
      <c r="A53" s="14" t="s">
        <v>1648</v>
      </c>
      <c r="B53" s="40">
        <f>B42*HourlyRateAPAMaintenanceStaff+B43*HourlyRateAPAOMSupervisor</f>
        <v>99.123000000000019</v>
      </c>
      <c r="C53" s="40">
        <f>B53*$C$15</f>
        <v>1189.4760000000001</v>
      </c>
      <c r="D53" s="40">
        <f>C53*SUMPRODUCT(LabourAdjustmentFactor,E$40:I$40)</f>
        <v>3845.9313684987887</v>
      </c>
      <c r="E53" s="40">
        <f>$C53*E$40*'Modelling Assumptions'!E$101</f>
        <v>1219.2129</v>
      </c>
      <c r="F53" s="40">
        <f>$C53*F$40*'Modelling Assumptions'!F$101</f>
        <v>0</v>
      </c>
      <c r="G53" s="40">
        <f>$C53*G$40*'Modelling Assumptions'!G$101</f>
        <v>1280.9355530625</v>
      </c>
      <c r="H53" s="40">
        <f>$C53*H$40*'Modelling Assumptions'!H$101</f>
        <v>0</v>
      </c>
      <c r="I53" s="40">
        <f>$C53*I$40*'Modelling Assumptions'!I$101</f>
        <v>1345.7829154362887</v>
      </c>
    </row>
    <row r="54" spans="1:9" x14ac:dyDescent="0.3">
      <c r="A54" s="14" t="s">
        <v>1643</v>
      </c>
      <c r="B54" s="40">
        <f>B44</f>
        <v>0</v>
      </c>
      <c r="C54" s="40">
        <f>B54*$C$15</f>
        <v>0</v>
      </c>
      <c r="D54" s="40">
        <f>C54*SUMPRODUCT(MaterialsAdjustmentFactor,E$40:I$40)</f>
        <v>0</v>
      </c>
      <c r="E54" s="40">
        <f>$C54*E$40*'Modelling Assumptions'!E$102</f>
        <v>0</v>
      </c>
      <c r="F54" s="40">
        <f>$C54*F$40*'Modelling Assumptions'!F$102</f>
        <v>0</v>
      </c>
      <c r="G54" s="40">
        <f>$C54*G$40*'Modelling Assumptions'!G$102</f>
        <v>0</v>
      </c>
      <c r="H54" s="40">
        <f>$C54*H$40*'Modelling Assumptions'!H$102</f>
        <v>0</v>
      </c>
      <c r="I54" s="40">
        <f>$C54*I$40*'Modelling Assumptions'!I$102</f>
        <v>0</v>
      </c>
    </row>
    <row r="55" spans="1:9" x14ac:dyDescent="0.3">
      <c r="A55" s="14" t="s">
        <v>1649</v>
      </c>
      <c r="B55" s="40">
        <f>B49</f>
        <v>75</v>
      </c>
      <c r="C55" s="40">
        <f>B55*$C$15</f>
        <v>900</v>
      </c>
      <c r="D55" s="40">
        <f>C55*SUMPRODUCT(LabourAdjustmentFactor,E$40:I$40)</f>
        <v>2909.9689541015618</v>
      </c>
      <c r="E55" s="40">
        <f>$C55*E$40*'Modelling Assumptions'!E$101</f>
        <v>922.49999999999989</v>
      </c>
      <c r="F55" s="40">
        <f>$C55*F$40*'Modelling Assumptions'!F$101</f>
        <v>0</v>
      </c>
      <c r="G55" s="40">
        <f>$C55*G$40*'Modelling Assumptions'!G$101</f>
        <v>969.20156249999991</v>
      </c>
      <c r="H55" s="40">
        <f>$C55*H$40*'Modelling Assumptions'!H$101</f>
        <v>0</v>
      </c>
      <c r="I55" s="40">
        <f>$C55*I$40*'Modelling Assumptions'!I$101</f>
        <v>1018.2673916015622</v>
      </c>
    </row>
    <row r="56" spans="1:9" x14ac:dyDescent="0.3">
      <c r="A56" s="14" t="s">
        <v>1650</v>
      </c>
      <c r="B56" s="40">
        <f>B50</f>
        <v>0</v>
      </c>
      <c r="C56" s="40">
        <f>B56*$C$15</f>
        <v>0</v>
      </c>
      <c r="D56" s="40">
        <f>C56*SUMPRODUCT(MaterialsAdjustmentFactor,E$40:I$40)</f>
        <v>0</v>
      </c>
      <c r="E56" s="40">
        <f>$C56*E$40*'Modelling Assumptions'!E$102</f>
        <v>0</v>
      </c>
      <c r="F56" s="40">
        <f>$C56*F$40*'Modelling Assumptions'!F$102</f>
        <v>0</v>
      </c>
      <c r="G56" s="40">
        <f>$C56*G$40*'Modelling Assumptions'!G$102</f>
        <v>0</v>
      </c>
      <c r="H56" s="40">
        <f>$C56*H$40*'Modelling Assumptions'!H$102</f>
        <v>0</v>
      </c>
      <c r="I56" s="40">
        <f>$C56*I$40*'Modelling Assumptions'!I$102</f>
        <v>0</v>
      </c>
    </row>
    <row r="63" spans="1:9" x14ac:dyDescent="0.3">
      <c r="A63" s="10" t="s">
        <v>1641</v>
      </c>
      <c r="B63" s="44"/>
      <c r="C63" s="44"/>
      <c r="D63" s="10"/>
      <c r="E63" s="10"/>
      <c r="F63" s="10"/>
      <c r="G63" s="10"/>
      <c r="H63" s="10"/>
      <c r="I63" s="10"/>
    </row>
    <row r="64" spans="1:9" x14ac:dyDescent="0.3">
      <c r="A64" t="s">
        <v>3</v>
      </c>
      <c r="B64" t="s">
        <v>2</v>
      </c>
      <c r="C64" t="s">
        <v>1</v>
      </c>
    </row>
    <row r="65" spans="1:4" x14ac:dyDescent="0.3">
      <c r="A65" t="s">
        <v>60</v>
      </c>
      <c r="B65" t="s">
        <v>59</v>
      </c>
      <c r="C65" t="s">
        <v>8</v>
      </c>
      <c r="D65" t="s">
        <v>44</v>
      </c>
    </row>
    <row r="66" spans="1:4" x14ac:dyDescent="0.3">
      <c r="A66" t="s">
        <v>98</v>
      </c>
      <c r="B66" t="s">
        <v>59</v>
      </c>
      <c r="C66" t="s">
        <v>8</v>
      </c>
      <c r="D66" t="s">
        <v>93</v>
      </c>
    </row>
    <row r="67" spans="1:4" x14ac:dyDescent="0.3">
      <c r="A67" t="s">
        <v>112</v>
      </c>
      <c r="B67" t="s">
        <v>59</v>
      </c>
      <c r="C67" t="s">
        <v>8</v>
      </c>
      <c r="D67" t="s">
        <v>108</v>
      </c>
    </row>
    <row r="68" spans="1:4" x14ac:dyDescent="0.3">
      <c r="A68" t="s">
        <v>339</v>
      </c>
      <c r="B68" t="s">
        <v>59</v>
      </c>
      <c r="C68" t="s">
        <v>328</v>
      </c>
      <c r="D68" t="s">
        <v>335</v>
      </c>
    </row>
    <row r="69" spans="1:4" x14ac:dyDescent="0.3">
      <c r="A69" t="s">
        <v>350</v>
      </c>
      <c r="B69" t="s">
        <v>59</v>
      </c>
      <c r="C69" t="s">
        <v>328</v>
      </c>
      <c r="D69" t="s">
        <v>346</v>
      </c>
    </row>
    <row r="70" spans="1:4" x14ac:dyDescent="0.3">
      <c r="A70" t="s">
        <v>362</v>
      </c>
      <c r="B70" t="s">
        <v>59</v>
      </c>
      <c r="C70" t="s">
        <v>328</v>
      </c>
      <c r="D70" t="s">
        <v>358</v>
      </c>
    </row>
    <row r="72" spans="1:4" x14ac:dyDescent="0.3">
      <c r="A72" t="s">
        <v>64</v>
      </c>
      <c r="B72" t="s">
        <v>63</v>
      </c>
      <c r="C72" t="s">
        <v>8</v>
      </c>
      <c r="D72" t="s">
        <v>44</v>
      </c>
    </row>
    <row r="73" spans="1:4" x14ac:dyDescent="0.3">
      <c r="A73" t="s">
        <v>99</v>
      </c>
      <c r="B73" t="s">
        <v>63</v>
      </c>
      <c r="C73" t="s">
        <v>8</v>
      </c>
      <c r="D73" t="s">
        <v>93</v>
      </c>
    </row>
    <row r="74" spans="1:4" x14ac:dyDescent="0.3">
      <c r="A74" t="s">
        <v>113</v>
      </c>
      <c r="B74" t="s">
        <v>63</v>
      </c>
      <c r="C74" t="s">
        <v>8</v>
      </c>
      <c r="D74" t="s">
        <v>108</v>
      </c>
    </row>
    <row r="75" spans="1:4" x14ac:dyDescent="0.3">
      <c r="A75" t="s">
        <v>340</v>
      </c>
      <c r="B75" t="s">
        <v>63</v>
      </c>
      <c r="C75" t="s">
        <v>328</v>
      </c>
      <c r="D75" t="s">
        <v>335</v>
      </c>
    </row>
    <row r="76" spans="1:4" x14ac:dyDescent="0.3">
      <c r="A76" t="s">
        <v>351</v>
      </c>
      <c r="B76" t="s">
        <v>63</v>
      </c>
      <c r="C76" t="s">
        <v>328</v>
      </c>
      <c r="D76" t="s">
        <v>346</v>
      </c>
    </row>
    <row r="77" spans="1:4" x14ac:dyDescent="0.3">
      <c r="A77" t="s">
        <v>363</v>
      </c>
      <c r="B77" t="s">
        <v>63</v>
      </c>
      <c r="C77" t="s">
        <v>328</v>
      </c>
      <c r="D77" t="s">
        <v>358</v>
      </c>
    </row>
    <row r="83" spans="1:5" x14ac:dyDescent="0.3">
      <c r="A83" t="s">
        <v>1098</v>
      </c>
      <c r="B83" t="s">
        <v>515</v>
      </c>
    </row>
    <row r="84" spans="1:5" x14ac:dyDescent="0.3">
      <c r="A84" t="s">
        <v>1118</v>
      </c>
      <c r="B84" t="s">
        <v>1100</v>
      </c>
      <c r="C84" t="s">
        <v>1101</v>
      </c>
      <c r="D84" s="29">
        <v>41535.571527777778</v>
      </c>
      <c r="E84" t="s">
        <v>1119</v>
      </c>
    </row>
    <row r="85" spans="1:5" x14ac:dyDescent="0.3">
      <c r="A85" t="s">
        <v>1120</v>
      </c>
      <c r="B85" t="s">
        <v>1121</v>
      </c>
      <c r="C85" t="s">
        <v>1101</v>
      </c>
      <c r="D85" s="29">
        <v>41535.511805555558</v>
      </c>
      <c r="E85" t="s">
        <v>1122</v>
      </c>
    </row>
    <row r="86" spans="1:5" x14ac:dyDescent="0.3">
      <c r="A86" t="s">
        <v>1123</v>
      </c>
      <c r="B86" t="s">
        <v>1100</v>
      </c>
      <c r="C86" t="s">
        <v>1101</v>
      </c>
      <c r="D86" s="29">
        <v>41535.618055555555</v>
      </c>
      <c r="E86" t="s">
        <v>1124</v>
      </c>
    </row>
    <row r="87" spans="1:5" x14ac:dyDescent="0.3">
      <c r="A87" t="s">
        <v>1123</v>
      </c>
      <c r="B87" t="s">
        <v>1121</v>
      </c>
      <c r="C87" t="s">
        <v>1101</v>
      </c>
      <c r="D87" s="29">
        <v>41535.618055555555</v>
      </c>
      <c r="E87" t="s">
        <v>1124</v>
      </c>
    </row>
    <row r="88" spans="1:5" x14ac:dyDescent="0.3">
      <c r="A88" t="s">
        <v>1125</v>
      </c>
      <c r="B88" t="s">
        <v>1100</v>
      </c>
      <c r="C88" t="s">
        <v>1101</v>
      </c>
      <c r="D88" s="29">
        <v>41535.561111111114</v>
      </c>
      <c r="E88" t="s">
        <v>1119</v>
      </c>
    </row>
    <row r="89" spans="1:5" x14ac:dyDescent="0.3">
      <c r="A89" t="s">
        <v>1126</v>
      </c>
      <c r="B89" t="s">
        <v>1114</v>
      </c>
      <c r="C89" t="s">
        <v>1101</v>
      </c>
      <c r="D89" s="29">
        <v>41535.499305555553</v>
      </c>
      <c r="E89" t="s">
        <v>1122</v>
      </c>
    </row>
    <row r="90" spans="1:5" x14ac:dyDescent="0.3">
      <c r="A90" t="s">
        <v>1127</v>
      </c>
      <c r="B90" t="s">
        <v>1114</v>
      </c>
      <c r="C90" t="s">
        <v>1101</v>
      </c>
      <c r="D90" s="29">
        <v>41535.56527777778</v>
      </c>
      <c r="E90" t="s">
        <v>1122</v>
      </c>
    </row>
    <row r="92" spans="1:5" x14ac:dyDescent="0.3">
      <c r="A92" t="s">
        <v>1098</v>
      </c>
      <c r="B92" t="s">
        <v>516</v>
      </c>
    </row>
    <row r="93" spans="1:5" x14ac:dyDescent="0.3">
      <c r="A93" t="s">
        <v>1128</v>
      </c>
      <c r="B93" t="s">
        <v>1100</v>
      </c>
      <c r="C93" t="s">
        <v>1101</v>
      </c>
      <c r="D93" s="29">
        <v>41535.51458333333</v>
      </c>
      <c r="E93" t="s">
        <v>1119</v>
      </c>
    </row>
    <row r="94" spans="1:5" x14ac:dyDescent="0.3">
      <c r="A94" t="s">
        <v>1129</v>
      </c>
      <c r="B94" t="s">
        <v>1121</v>
      </c>
      <c r="C94" t="s">
        <v>1101</v>
      </c>
      <c r="D94" s="29">
        <v>41535.619444444441</v>
      </c>
      <c r="E94" t="s">
        <v>1130</v>
      </c>
    </row>
    <row r="95" spans="1:5" x14ac:dyDescent="0.3">
      <c r="A95" t="s">
        <v>1131</v>
      </c>
      <c r="B95" t="s">
        <v>1121</v>
      </c>
      <c r="C95" t="s">
        <v>1101</v>
      </c>
      <c r="D95" s="29">
        <v>41535.620138888888</v>
      </c>
      <c r="E95" t="s">
        <v>1132</v>
      </c>
    </row>
    <row r="96" spans="1:5" x14ac:dyDescent="0.3">
      <c r="A96" t="s">
        <v>1133</v>
      </c>
      <c r="B96" t="s">
        <v>1100</v>
      </c>
      <c r="C96" t="s">
        <v>1101</v>
      </c>
      <c r="D96" s="29">
        <v>41535.513194444444</v>
      </c>
      <c r="E96" t="s">
        <v>1119</v>
      </c>
    </row>
    <row r="97" spans="1:5" x14ac:dyDescent="0.3">
      <c r="A97" t="s">
        <v>1134</v>
      </c>
      <c r="B97" t="s">
        <v>1114</v>
      </c>
      <c r="C97" t="s">
        <v>1101</v>
      </c>
      <c r="D97" s="29">
        <v>41535.49722222222</v>
      </c>
      <c r="E97" t="s">
        <v>1135</v>
      </c>
    </row>
    <row r="98" spans="1:5" x14ac:dyDescent="0.3">
      <c r="A98" t="s">
        <v>1136</v>
      </c>
      <c r="B98" t="s">
        <v>1114</v>
      </c>
      <c r="C98" t="s">
        <v>1101</v>
      </c>
      <c r="D98" s="29">
        <v>41535.497916666667</v>
      </c>
      <c r="E98" t="s">
        <v>1137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C8C800"/>
    <pageSetUpPr fitToPage="1"/>
  </sheetPr>
  <dimension ref="A1:I80"/>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1472</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D34+D54</f>
        <v>7689.5190859503509</v>
      </c>
      <c r="E3" s="33">
        <f t="shared" ref="E3:I3" si="0">E34+E54</f>
        <v>1219.2129</v>
      </c>
      <c r="F3" s="33">
        <f t="shared" si="0"/>
        <v>1249.6932225</v>
      </c>
      <c r="G3" s="33">
        <f t="shared" si="0"/>
        <v>2561.8711061250001</v>
      </c>
      <c r="H3" s="33">
        <f t="shared" si="0"/>
        <v>1312.9589418890623</v>
      </c>
      <c r="I3" s="33">
        <f t="shared" si="0"/>
        <v>1345.7829154362887</v>
      </c>
    </row>
    <row r="4" spans="1:9" ht="15" x14ac:dyDescent="0.25">
      <c r="A4" t="s">
        <v>1643</v>
      </c>
      <c r="B4" s="33"/>
      <c r="C4" s="33"/>
      <c r="D4" s="33">
        <f t="shared" ref="D4:I6" si="1">D35+D55</f>
        <v>0</v>
      </c>
      <c r="E4" s="33">
        <f t="shared" si="1"/>
        <v>0</v>
      </c>
      <c r="F4" s="33">
        <f t="shared" si="1"/>
        <v>0</v>
      </c>
      <c r="G4" s="33">
        <f t="shared" si="1"/>
        <v>0</v>
      </c>
      <c r="H4" s="33">
        <f t="shared" si="1"/>
        <v>0</v>
      </c>
      <c r="I4" s="33">
        <f t="shared" si="1"/>
        <v>0</v>
      </c>
    </row>
    <row r="5" spans="1:9" ht="15" x14ac:dyDescent="0.25">
      <c r="A5" t="s">
        <v>1649</v>
      </c>
      <c r="B5" s="33"/>
      <c r="C5" s="33"/>
      <c r="D5" s="33">
        <f t="shared" si="1"/>
        <v>9696.4484897460916</v>
      </c>
      <c r="E5" s="33">
        <f t="shared" si="1"/>
        <v>1383.7499999999998</v>
      </c>
      <c r="F5" s="33">
        <f t="shared" si="1"/>
        <v>1418.34375</v>
      </c>
      <c r="G5" s="33">
        <f t="shared" si="1"/>
        <v>3876.8062499999996</v>
      </c>
      <c r="H5" s="33">
        <f t="shared" si="1"/>
        <v>1490.1474023437497</v>
      </c>
      <c r="I5" s="33">
        <f t="shared" si="1"/>
        <v>1527.4010874023434</v>
      </c>
    </row>
    <row r="6" spans="1:9" ht="15" x14ac:dyDescent="0.25">
      <c r="A6" t="s">
        <v>1650</v>
      </c>
      <c r="B6" s="33"/>
      <c r="C6" s="33"/>
      <c r="D6" s="33">
        <f t="shared" si="1"/>
        <v>0</v>
      </c>
      <c r="E6" s="33">
        <f t="shared" si="1"/>
        <v>0</v>
      </c>
      <c r="F6" s="33">
        <f t="shared" si="1"/>
        <v>0</v>
      </c>
      <c r="G6" s="33">
        <f t="shared" si="1"/>
        <v>0</v>
      </c>
      <c r="H6" s="33">
        <f t="shared" si="1"/>
        <v>0</v>
      </c>
      <c r="I6" s="33">
        <f t="shared" si="1"/>
        <v>0</v>
      </c>
    </row>
    <row r="9" spans="1:9" ht="15" x14ac:dyDescent="0.25">
      <c r="A9" t="s">
        <v>1497</v>
      </c>
      <c r="B9" t="s">
        <v>1498</v>
      </c>
    </row>
    <row r="10" spans="1:9" ht="15" x14ac:dyDescent="0.25">
      <c r="A10" t="s">
        <v>1500</v>
      </c>
      <c r="B10" s="14" t="s">
        <v>2556</v>
      </c>
      <c r="C10" s="7"/>
    </row>
    <row r="13" spans="1:9" ht="15" x14ac:dyDescent="0.25">
      <c r="A13" t="s">
        <v>1750</v>
      </c>
    </row>
    <row r="14" spans="1:9" ht="15" x14ac:dyDescent="0.25">
      <c r="B14" s="39" t="s">
        <v>1923</v>
      </c>
      <c r="C14" s="39">
        <v>6</v>
      </c>
    </row>
    <row r="15" spans="1:9" ht="15" x14ac:dyDescent="0.25">
      <c r="A15" s="12" t="s">
        <v>1640</v>
      </c>
      <c r="B15" s="12"/>
      <c r="C15" s="12">
        <f>C14</f>
        <v>6</v>
      </c>
    </row>
    <row r="16" spans="1:9" ht="15" x14ac:dyDescent="0.25">
      <c r="B16" s="39"/>
      <c r="C16" s="39"/>
    </row>
    <row r="17" spans="1:9" s="301" customFormat="1" ht="15" x14ac:dyDescent="0.25">
      <c r="A17" s="301" t="s">
        <v>1992</v>
      </c>
      <c r="B17" s="39"/>
      <c r="C17" s="39"/>
    </row>
    <row r="18" spans="1:9" s="301" customFormat="1" ht="15" x14ac:dyDescent="0.25">
      <c r="A18" s="301" t="s">
        <v>3254</v>
      </c>
      <c r="B18" s="39"/>
      <c r="C18" s="39"/>
    </row>
    <row r="19" spans="1:9" s="301" customFormat="1" ht="15" x14ac:dyDescent="0.25">
      <c r="B19" s="39"/>
      <c r="C19" s="39"/>
    </row>
    <row r="20" spans="1:9" ht="15" x14ac:dyDescent="0.25">
      <c r="B20" s="39"/>
      <c r="C20" s="39"/>
      <c r="E20" s="30" t="str">
        <f>Summary!C4</f>
        <v>2015/16</v>
      </c>
      <c r="F20" s="30" t="str">
        <f>Summary!D4</f>
        <v>2016/17</v>
      </c>
      <c r="G20" s="30" t="str">
        <f>Summary!E4</f>
        <v>2017/18</v>
      </c>
      <c r="H20" s="30" t="str">
        <f>Summary!F4</f>
        <v>2018/19</v>
      </c>
      <c r="I20" s="30" t="str">
        <f>Summary!G4</f>
        <v>2019/20</v>
      </c>
    </row>
    <row r="21" spans="1:9" x14ac:dyDescent="0.3">
      <c r="A21" s="45" t="s">
        <v>1112</v>
      </c>
      <c r="B21" s="45" t="s">
        <v>56</v>
      </c>
      <c r="C21" s="45"/>
      <c r="D21" s="45"/>
      <c r="E21" s="45">
        <v>1</v>
      </c>
      <c r="F21" s="45">
        <v>1</v>
      </c>
      <c r="G21" s="45">
        <v>1</v>
      </c>
      <c r="H21" s="45">
        <v>1</v>
      </c>
      <c r="I21" s="45">
        <v>1</v>
      </c>
    </row>
    <row r="22" spans="1:9" ht="15" x14ac:dyDescent="0.25">
      <c r="A22" s="8" t="s">
        <v>1646</v>
      </c>
      <c r="C22" s="39"/>
    </row>
    <row r="23" spans="1:9" ht="15" x14ac:dyDescent="0.25">
      <c r="A23" s="14" t="s">
        <v>1658</v>
      </c>
      <c r="B23" s="74">
        <f>APATechnicianHours/C15</f>
        <v>0.16666666666666666</v>
      </c>
      <c r="C23" s="14" t="s">
        <v>1788</v>
      </c>
    </row>
    <row r="24" spans="1:9" ht="15" x14ac:dyDescent="0.25">
      <c r="A24" s="14" t="s">
        <v>1997</v>
      </c>
      <c r="B24" s="74">
        <f>APASupervisorHours/C15</f>
        <v>1.4305555555555556</v>
      </c>
      <c r="C24" s="14" t="s">
        <v>1788</v>
      </c>
    </row>
    <row r="25" spans="1:9" ht="15" x14ac:dyDescent="0.25">
      <c r="A25" s="14" t="s">
        <v>1643</v>
      </c>
      <c r="B25" s="55">
        <v>0</v>
      </c>
      <c r="C25" s="14"/>
    </row>
    <row r="26" spans="1:9" ht="15" x14ac:dyDescent="0.25">
      <c r="A26" s="14"/>
      <c r="B26" s="55"/>
      <c r="C26" s="14"/>
    </row>
    <row r="27" spans="1:9" ht="15" x14ac:dyDescent="0.25">
      <c r="A27" s="42" t="s">
        <v>1647</v>
      </c>
      <c r="B27" s="15"/>
      <c r="C27" s="14"/>
    </row>
    <row r="28" spans="1:9" ht="15" x14ac:dyDescent="0.25">
      <c r="A28" s="14" t="s">
        <v>1656</v>
      </c>
      <c r="B28" s="15">
        <v>3</v>
      </c>
      <c r="C28" s="14" t="s">
        <v>3263</v>
      </c>
    </row>
    <row r="29" spans="1:9" ht="15" x14ac:dyDescent="0.25">
      <c r="A29" s="14" t="s">
        <v>1651</v>
      </c>
      <c r="B29" s="55">
        <f>ElectricalContractorHourlyRate</f>
        <v>75</v>
      </c>
      <c r="C29" s="14"/>
    </row>
    <row r="30" spans="1:9" ht="15" x14ac:dyDescent="0.25">
      <c r="A30" s="14" t="s">
        <v>1649</v>
      </c>
      <c r="B30" s="55">
        <f>B28*B29</f>
        <v>225</v>
      </c>
      <c r="C30" s="14"/>
    </row>
    <row r="31" spans="1:9" x14ac:dyDescent="0.3">
      <c r="A31" s="14" t="s">
        <v>1650</v>
      </c>
      <c r="B31" s="55">
        <v>0</v>
      </c>
      <c r="C31" s="14"/>
    </row>
    <row r="32" spans="1:9" x14ac:dyDescent="0.3">
      <c r="A32" s="14"/>
      <c r="B32" s="41"/>
      <c r="C32" s="14"/>
    </row>
    <row r="33" spans="1:9" x14ac:dyDescent="0.3">
      <c r="A33" s="14"/>
      <c r="B33" s="46" t="s">
        <v>2712</v>
      </c>
      <c r="C33" s="46" t="s">
        <v>2720</v>
      </c>
      <c r="D33" s="30" t="s">
        <v>1655</v>
      </c>
      <c r="E33" s="30" t="str">
        <f>Summary!C4</f>
        <v>2015/16</v>
      </c>
      <c r="F33" s="30" t="str">
        <f>Summary!D4</f>
        <v>2016/17</v>
      </c>
      <c r="G33" s="30" t="str">
        <f>Summary!E4</f>
        <v>2017/18</v>
      </c>
      <c r="H33" s="30" t="str">
        <f>Summary!F4</f>
        <v>2018/19</v>
      </c>
      <c r="I33" s="30" t="str">
        <f>Summary!G4</f>
        <v>2019/20</v>
      </c>
    </row>
    <row r="34" spans="1:9" x14ac:dyDescent="0.3">
      <c r="A34" s="14" t="s">
        <v>1648</v>
      </c>
      <c r="B34" s="40">
        <f>B23*HourlyRateAPAMaintenanceStaff+B24*HourlyRateAPAOMSupervisor</f>
        <v>198.24600000000004</v>
      </c>
      <c r="C34" s="40">
        <f>B34*$C$15</f>
        <v>1189.4760000000001</v>
      </c>
      <c r="D34" s="40">
        <f>C34*SUMPRODUCT(LabourAdjustmentFactor,E$21:I$21)</f>
        <v>6408.5835328878511</v>
      </c>
      <c r="E34" s="40">
        <f>$C34*E$21*'Modelling Assumptions'!E$101</f>
        <v>1219.2129</v>
      </c>
      <c r="F34" s="40">
        <f>$C34*F$21*'Modelling Assumptions'!F$101</f>
        <v>1249.6932225</v>
      </c>
      <c r="G34" s="40">
        <f>$C34*G$21*'Modelling Assumptions'!G$101</f>
        <v>1280.9355530625</v>
      </c>
      <c r="H34" s="40">
        <f>$C34*H$21*'Modelling Assumptions'!H$101</f>
        <v>1312.9589418890623</v>
      </c>
      <c r="I34" s="40">
        <f>$C34*I$21*'Modelling Assumptions'!I$101</f>
        <v>1345.7829154362887</v>
      </c>
    </row>
    <row r="35" spans="1:9" x14ac:dyDescent="0.3">
      <c r="A35" s="14" t="s">
        <v>1643</v>
      </c>
      <c r="B35" s="40">
        <f>B25</f>
        <v>0</v>
      </c>
      <c r="C35" s="40">
        <f>B35*$C$15</f>
        <v>0</v>
      </c>
      <c r="D35" s="40">
        <f>C35*SUMPRODUCT(MaterialsAdjustmentFactor,E$21:I$21)</f>
        <v>0</v>
      </c>
      <c r="E35" s="40">
        <f>$C35*E$21*'Modelling Assumptions'!E$102</f>
        <v>0</v>
      </c>
      <c r="F35" s="40">
        <f>$C35*F$21*'Modelling Assumptions'!F$102</f>
        <v>0</v>
      </c>
      <c r="G35" s="40">
        <f>$C35*G$21*'Modelling Assumptions'!G$102</f>
        <v>0</v>
      </c>
      <c r="H35" s="40">
        <f>$C35*H$21*'Modelling Assumptions'!H$102</f>
        <v>0</v>
      </c>
      <c r="I35" s="40">
        <f>$C35*I$21*'Modelling Assumptions'!I$102</f>
        <v>0</v>
      </c>
    </row>
    <row r="36" spans="1:9" x14ac:dyDescent="0.3">
      <c r="A36" s="14" t="s">
        <v>1649</v>
      </c>
      <c r="B36" s="40">
        <f>B30</f>
        <v>225</v>
      </c>
      <c r="C36" s="40">
        <f>B36*$C$15</f>
        <v>1350</v>
      </c>
      <c r="D36" s="40">
        <f>C36*SUMPRODUCT(LabourAdjustmentFactor,E$21:I$21)</f>
        <v>7273.4445834960925</v>
      </c>
      <c r="E36" s="40">
        <f>$C36*E$21*'Modelling Assumptions'!E$101</f>
        <v>1383.7499999999998</v>
      </c>
      <c r="F36" s="40">
        <f>$C36*F$21*'Modelling Assumptions'!F$101</f>
        <v>1418.34375</v>
      </c>
      <c r="G36" s="40">
        <f>$C36*G$21*'Modelling Assumptions'!G$101</f>
        <v>1453.8023437499999</v>
      </c>
      <c r="H36" s="40">
        <f>$C36*H$21*'Modelling Assumptions'!H$101</f>
        <v>1490.1474023437497</v>
      </c>
      <c r="I36" s="40">
        <f>$C36*I$21*'Modelling Assumptions'!I$101</f>
        <v>1527.4010874023434</v>
      </c>
    </row>
    <row r="37" spans="1:9" x14ac:dyDescent="0.3">
      <c r="A37" s="14" t="s">
        <v>1650</v>
      </c>
      <c r="B37" s="40">
        <f>B31</f>
        <v>0</v>
      </c>
      <c r="C37" s="40">
        <f>B37*$C$15</f>
        <v>0</v>
      </c>
      <c r="D37" s="40">
        <f>C37*SUMPRODUCT(MaterialsAdjustmentFactor,E$21:I$21)</f>
        <v>0</v>
      </c>
      <c r="E37" s="40">
        <f>$C37*E$21*'Modelling Assumptions'!E$102</f>
        <v>0</v>
      </c>
      <c r="F37" s="40">
        <f>$C37*F$21*'Modelling Assumptions'!F$102</f>
        <v>0</v>
      </c>
      <c r="G37" s="40">
        <f>$C37*G$21*'Modelling Assumptions'!G$102</f>
        <v>0</v>
      </c>
      <c r="H37" s="40">
        <f>$C37*H$21*'Modelling Assumptions'!H$102</f>
        <v>0</v>
      </c>
      <c r="I37" s="40">
        <f>$C37*I$21*'Modelling Assumptions'!I$102</f>
        <v>0</v>
      </c>
    </row>
    <row r="38" spans="1:9" x14ac:dyDescent="0.3">
      <c r="A38" s="14"/>
      <c r="B38" s="41"/>
      <c r="C38" s="14"/>
    </row>
    <row r="39" spans="1:9" x14ac:dyDescent="0.3">
      <c r="A39" s="14"/>
      <c r="B39" s="41"/>
      <c r="C39" s="14"/>
    </row>
    <row r="40" spans="1:9" x14ac:dyDescent="0.3">
      <c r="E40" s="30" t="str">
        <f>Summary!C4</f>
        <v>2015/16</v>
      </c>
      <c r="F40" s="30" t="str">
        <f>Summary!D4</f>
        <v>2016/17</v>
      </c>
      <c r="G40" s="30" t="str">
        <f>Summary!E4</f>
        <v>2017/18</v>
      </c>
      <c r="H40" s="30" t="str">
        <f>Summary!F4</f>
        <v>2018/19</v>
      </c>
      <c r="I40" s="30" t="str">
        <f>Summary!G4</f>
        <v>2019/20</v>
      </c>
    </row>
    <row r="41" spans="1:9" x14ac:dyDescent="0.3">
      <c r="A41" s="45" t="s">
        <v>1113</v>
      </c>
      <c r="B41" s="45" t="s">
        <v>12</v>
      </c>
      <c r="C41" s="45"/>
      <c r="D41" s="45"/>
      <c r="E41" s="45">
        <v>0</v>
      </c>
      <c r="F41" s="45">
        <v>0</v>
      </c>
      <c r="G41" s="45">
        <v>1</v>
      </c>
      <c r="H41" s="45">
        <v>0</v>
      </c>
      <c r="I41" s="45">
        <v>0</v>
      </c>
    </row>
    <row r="42" spans="1:9" x14ac:dyDescent="0.3">
      <c r="A42" s="8" t="s">
        <v>1646</v>
      </c>
      <c r="C42" s="39"/>
    </row>
    <row r="43" spans="1:9" x14ac:dyDescent="0.3">
      <c r="A43" s="14" t="s">
        <v>1658</v>
      </c>
      <c r="B43" s="74">
        <f>APATechnicianHours/C15</f>
        <v>0.16666666666666666</v>
      </c>
      <c r="C43" s="14" t="s">
        <v>1788</v>
      </c>
    </row>
    <row r="44" spans="1:9" x14ac:dyDescent="0.3">
      <c r="A44" s="14" t="s">
        <v>1997</v>
      </c>
      <c r="B44" s="74">
        <f>APASupervisorHours/C15</f>
        <v>1.4305555555555556</v>
      </c>
      <c r="C44" s="14" t="s">
        <v>1788</v>
      </c>
    </row>
    <row r="45" spans="1:9" x14ac:dyDescent="0.3">
      <c r="A45" s="14" t="s">
        <v>1643</v>
      </c>
      <c r="B45" s="55">
        <v>0</v>
      </c>
      <c r="C45" s="14"/>
    </row>
    <row r="46" spans="1:9" x14ac:dyDescent="0.3">
      <c r="A46" s="14"/>
      <c r="B46" s="41"/>
      <c r="C46" s="14"/>
    </row>
    <row r="47" spans="1:9" x14ac:dyDescent="0.3">
      <c r="A47" s="42" t="s">
        <v>1647</v>
      </c>
      <c r="B47" s="7"/>
      <c r="C47" s="14"/>
    </row>
    <row r="48" spans="1:9" x14ac:dyDescent="0.3">
      <c r="A48" s="14" t="s">
        <v>1656</v>
      </c>
      <c r="B48" s="15">
        <v>5</v>
      </c>
      <c r="C48" s="14" t="s">
        <v>3330</v>
      </c>
    </row>
    <row r="49" spans="1:9" x14ac:dyDescent="0.3">
      <c r="A49" s="14" t="s">
        <v>1651</v>
      </c>
      <c r="B49" s="55">
        <f>ElectricalContractorHourlyRate</f>
        <v>75</v>
      </c>
      <c r="C49" s="14"/>
    </row>
    <row r="50" spans="1:9" x14ac:dyDescent="0.3">
      <c r="A50" s="14" t="s">
        <v>1649</v>
      </c>
      <c r="B50" s="55">
        <f>B48*B49</f>
        <v>375</v>
      </c>
      <c r="C50" s="14"/>
    </row>
    <row r="51" spans="1:9" x14ac:dyDescent="0.3">
      <c r="A51" s="14" t="s">
        <v>1650</v>
      </c>
      <c r="B51" s="55">
        <v>0</v>
      </c>
      <c r="C51" s="14"/>
    </row>
    <row r="53" spans="1:9" x14ac:dyDescent="0.3">
      <c r="A53" s="14"/>
      <c r="B53" s="46" t="s">
        <v>2712</v>
      </c>
      <c r="C53" s="46" t="s">
        <v>2720</v>
      </c>
      <c r="D53" s="30" t="s">
        <v>1655</v>
      </c>
      <c r="E53" s="30" t="str">
        <f>Summary!C4</f>
        <v>2015/16</v>
      </c>
      <c r="F53" s="30" t="str">
        <f>Summary!D4</f>
        <v>2016/17</v>
      </c>
      <c r="G53" s="30" t="str">
        <f>Summary!E4</f>
        <v>2017/18</v>
      </c>
      <c r="H53" s="30" t="str">
        <f>Summary!F4</f>
        <v>2018/19</v>
      </c>
      <c r="I53" s="30" t="str">
        <f>Summary!G4</f>
        <v>2019/20</v>
      </c>
    </row>
    <row r="54" spans="1:9" x14ac:dyDescent="0.3">
      <c r="A54" s="14" t="s">
        <v>1648</v>
      </c>
      <c r="B54" s="40">
        <f>B43*HourlyRateAPAMaintenanceStaff+B44*HourlyRateAPAOMSupervisor</f>
        <v>198.24600000000004</v>
      </c>
      <c r="C54" s="40">
        <f>B54*$C$15</f>
        <v>1189.4760000000001</v>
      </c>
      <c r="D54" s="40">
        <f>C54*SUMPRODUCT(LabourAdjustmentFactor,E$41:I$41)</f>
        <v>1280.9355530625</v>
      </c>
      <c r="E54" s="40">
        <f>$C54*E$41*'Modelling Assumptions'!E$101</f>
        <v>0</v>
      </c>
      <c r="F54" s="40">
        <f>$C54*F$41*'Modelling Assumptions'!F$101</f>
        <v>0</v>
      </c>
      <c r="G54" s="40">
        <f>$C54*G$41*'Modelling Assumptions'!G$101</f>
        <v>1280.9355530625</v>
      </c>
      <c r="H54" s="40">
        <f>$C54*H$41*'Modelling Assumptions'!H$101</f>
        <v>0</v>
      </c>
      <c r="I54" s="40">
        <f>$C54*I$41*'Modelling Assumptions'!I$101</f>
        <v>0</v>
      </c>
    </row>
    <row r="55" spans="1:9" x14ac:dyDescent="0.3">
      <c r="A55" s="14" t="s">
        <v>1643</v>
      </c>
      <c r="B55" s="40">
        <f>B45</f>
        <v>0</v>
      </c>
      <c r="C55" s="40">
        <f>B55*$C$15</f>
        <v>0</v>
      </c>
      <c r="D55" s="40">
        <f>C55*SUMPRODUCT(MaterialsAdjustmentFactor,E$41:I$41)</f>
        <v>0</v>
      </c>
      <c r="E55" s="40">
        <f>$C55*E$41*'Modelling Assumptions'!E$102</f>
        <v>0</v>
      </c>
      <c r="F55" s="40">
        <f>$C55*F$41*'Modelling Assumptions'!F$102</f>
        <v>0</v>
      </c>
      <c r="G55" s="40">
        <f>$C55*G$41*'Modelling Assumptions'!G$102</f>
        <v>0</v>
      </c>
      <c r="H55" s="40">
        <f>$C55*H$41*'Modelling Assumptions'!H$102</f>
        <v>0</v>
      </c>
      <c r="I55" s="40">
        <f>$C55*I$41*'Modelling Assumptions'!I$102</f>
        <v>0</v>
      </c>
    </row>
    <row r="56" spans="1:9" x14ac:dyDescent="0.3">
      <c r="A56" s="14" t="s">
        <v>1649</v>
      </c>
      <c r="B56" s="40">
        <f>B50</f>
        <v>375</v>
      </c>
      <c r="C56" s="40">
        <f>B56*$C$15</f>
        <v>2250</v>
      </c>
      <c r="D56" s="40">
        <f>C56*SUMPRODUCT(LabourAdjustmentFactor,E$41:I$41)</f>
        <v>2423.0039062499995</v>
      </c>
      <c r="E56" s="40">
        <f>$C56*E$41*'Modelling Assumptions'!E$101</f>
        <v>0</v>
      </c>
      <c r="F56" s="40">
        <f>$C56*F$41*'Modelling Assumptions'!F$101</f>
        <v>0</v>
      </c>
      <c r="G56" s="40">
        <f>$C56*G$41*'Modelling Assumptions'!G$101</f>
        <v>2423.0039062499995</v>
      </c>
      <c r="H56" s="40">
        <f>$C56*H$41*'Modelling Assumptions'!H$101</f>
        <v>0</v>
      </c>
      <c r="I56" s="40">
        <f>$C56*I$41*'Modelling Assumptions'!I$101</f>
        <v>0</v>
      </c>
    </row>
    <row r="57" spans="1:9" x14ac:dyDescent="0.3">
      <c r="A57" s="14" t="s">
        <v>1650</v>
      </c>
      <c r="B57" s="40">
        <f>B51</f>
        <v>0</v>
      </c>
      <c r="C57" s="40">
        <f>B57*$C$15</f>
        <v>0</v>
      </c>
      <c r="D57" s="40">
        <f>C57*SUMPRODUCT(MaterialsAdjustmentFactor,E$41:I$41)</f>
        <v>0</v>
      </c>
      <c r="E57" s="40">
        <f>$C57*E$41*'Modelling Assumptions'!E$102</f>
        <v>0</v>
      </c>
      <c r="F57" s="40">
        <f>$C57*F$41*'Modelling Assumptions'!F$102</f>
        <v>0</v>
      </c>
      <c r="G57" s="40">
        <f>$C57*G$41*'Modelling Assumptions'!G$102</f>
        <v>0</v>
      </c>
      <c r="H57" s="40">
        <f>$C57*H$41*'Modelling Assumptions'!H$102</f>
        <v>0</v>
      </c>
      <c r="I57" s="40">
        <f>$C57*I$41*'Modelling Assumptions'!I$102</f>
        <v>0</v>
      </c>
    </row>
    <row r="64" spans="1:9" x14ac:dyDescent="0.3">
      <c r="A64" s="10" t="s">
        <v>1641</v>
      </c>
      <c r="B64" s="44"/>
      <c r="C64" s="44"/>
      <c r="D64" s="10"/>
      <c r="E64" s="10"/>
      <c r="F64" s="10"/>
      <c r="G64" s="10"/>
      <c r="H64" s="10"/>
      <c r="I64" s="10"/>
    </row>
    <row r="65" spans="1:4" x14ac:dyDescent="0.3">
      <c r="A65" t="s">
        <v>3</v>
      </c>
      <c r="B65" t="s">
        <v>2</v>
      </c>
      <c r="C65" t="s">
        <v>1</v>
      </c>
    </row>
    <row r="66" spans="1:4" x14ac:dyDescent="0.3">
      <c r="A66" t="s">
        <v>1112</v>
      </c>
      <c r="B66" t="s">
        <v>56</v>
      </c>
    </row>
    <row r="67" spans="1:4" x14ac:dyDescent="0.3">
      <c r="A67" t="s">
        <v>186</v>
      </c>
      <c r="B67" t="s">
        <v>185</v>
      </c>
      <c r="C67" t="s">
        <v>184</v>
      </c>
      <c r="D67" t="s">
        <v>183</v>
      </c>
    </row>
    <row r="68" spans="1:4" x14ac:dyDescent="0.3">
      <c r="A68" t="s">
        <v>186</v>
      </c>
      <c r="B68" t="s">
        <v>185</v>
      </c>
      <c r="C68" t="s">
        <v>251</v>
      </c>
      <c r="D68" t="s">
        <v>250</v>
      </c>
    </row>
    <row r="69" spans="1:4" x14ac:dyDescent="0.3">
      <c r="A69" t="s">
        <v>186</v>
      </c>
      <c r="B69" t="s">
        <v>185</v>
      </c>
      <c r="C69" t="s">
        <v>295</v>
      </c>
      <c r="D69" t="s">
        <v>294</v>
      </c>
    </row>
    <row r="70" spans="1:4" x14ac:dyDescent="0.3">
      <c r="A70" t="s">
        <v>186</v>
      </c>
      <c r="B70" t="s">
        <v>185</v>
      </c>
      <c r="C70" t="s">
        <v>395</v>
      </c>
      <c r="D70" t="s">
        <v>394</v>
      </c>
    </row>
    <row r="71" spans="1:4" x14ac:dyDescent="0.3">
      <c r="A71" t="s">
        <v>186</v>
      </c>
      <c r="B71" t="s">
        <v>185</v>
      </c>
      <c r="C71" t="s">
        <v>440</v>
      </c>
      <c r="D71" t="s">
        <v>439</v>
      </c>
    </row>
    <row r="72" spans="1:4" x14ac:dyDescent="0.3">
      <c r="A72" t="s">
        <v>186</v>
      </c>
      <c r="B72" t="s">
        <v>185</v>
      </c>
      <c r="C72" t="s">
        <v>483</v>
      </c>
      <c r="D72" t="s">
        <v>482</v>
      </c>
    </row>
    <row r="74" spans="1:4" x14ac:dyDescent="0.3">
      <c r="A74" t="s">
        <v>1113</v>
      </c>
      <c r="B74" t="s">
        <v>12</v>
      </c>
    </row>
    <row r="75" spans="1:4" x14ac:dyDescent="0.3">
      <c r="A75" t="s">
        <v>188</v>
      </c>
      <c r="B75" t="s">
        <v>187</v>
      </c>
      <c r="C75" t="s">
        <v>184</v>
      </c>
      <c r="D75" t="s">
        <v>183</v>
      </c>
    </row>
    <row r="76" spans="1:4" x14ac:dyDescent="0.3">
      <c r="A76" t="s">
        <v>188</v>
      </c>
      <c r="B76" t="s">
        <v>187</v>
      </c>
      <c r="C76" t="s">
        <v>251</v>
      </c>
      <c r="D76" t="s">
        <v>250</v>
      </c>
    </row>
    <row r="77" spans="1:4" x14ac:dyDescent="0.3">
      <c r="A77" t="s">
        <v>188</v>
      </c>
      <c r="B77" t="s">
        <v>187</v>
      </c>
      <c r="C77" t="s">
        <v>295</v>
      </c>
      <c r="D77" t="s">
        <v>294</v>
      </c>
    </row>
    <row r="78" spans="1:4" x14ac:dyDescent="0.3">
      <c r="A78" t="s">
        <v>188</v>
      </c>
      <c r="B78" t="s">
        <v>187</v>
      </c>
      <c r="C78" t="s">
        <v>395</v>
      </c>
      <c r="D78" t="s">
        <v>394</v>
      </c>
    </row>
    <row r="79" spans="1:4" x14ac:dyDescent="0.3">
      <c r="A79" t="s">
        <v>188</v>
      </c>
      <c r="B79" t="s">
        <v>187</v>
      </c>
      <c r="C79" t="s">
        <v>440</v>
      </c>
      <c r="D79" t="s">
        <v>439</v>
      </c>
    </row>
    <row r="80" spans="1:4" x14ac:dyDescent="0.3">
      <c r="A80" t="s">
        <v>188</v>
      </c>
      <c r="B80" t="s">
        <v>187</v>
      </c>
      <c r="C80" t="s">
        <v>483</v>
      </c>
      <c r="D80" t="s">
        <v>482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C8C800"/>
    <pageSetUpPr fitToPage="1"/>
  </sheetPr>
  <dimension ref="A1:I59"/>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61</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D37</f>
        <v>7775.9911145851165</v>
      </c>
      <c r="E3" s="33">
        <f t="shared" si="0"/>
        <v>1479.3579</v>
      </c>
      <c r="F3" s="33">
        <f t="shared" si="0"/>
        <v>1516.3418474999999</v>
      </c>
      <c r="G3" s="33">
        <f t="shared" si="0"/>
        <v>1554.2503936874998</v>
      </c>
      <c r="H3" s="33">
        <f t="shared" si="0"/>
        <v>1593.1066535296873</v>
      </c>
      <c r="I3" s="33">
        <f t="shared" si="0"/>
        <v>1632.9343198679292</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16163.210185546872</v>
      </c>
      <c r="E5" s="33">
        <f t="shared" si="0"/>
        <v>3074.9999999999995</v>
      </c>
      <c r="F5" s="33">
        <f t="shared" si="0"/>
        <v>3151.8749999999995</v>
      </c>
      <c r="G5" s="33">
        <f t="shared" si="0"/>
        <v>3230.6718749999995</v>
      </c>
      <c r="H5" s="33">
        <f t="shared" si="0"/>
        <v>3311.4386718749993</v>
      </c>
      <c r="I5" s="33">
        <f t="shared" si="0"/>
        <v>3394.2246386718739</v>
      </c>
    </row>
    <row r="6" spans="1:9" ht="15" x14ac:dyDescent="0.25">
      <c r="A6" t="s">
        <v>1650</v>
      </c>
      <c r="B6" s="33"/>
      <c r="C6" s="33"/>
      <c r="D6" s="33">
        <f t="shared" si="0"/>
        <v>10936.8197686</v>
      </c>
      <c r="E6" s="33">
        <f t="shared" si="0"/>
        <v>2060</v>
      </c>
      <c r="F6" s="33">
        <f t="shared" si="0"/>
        <v>2121.7999999999997</v>
      </c>
      <c r="G6" s="33">
        <f t="shared" si="0"/>
        <v>2185.4540000000002</v>
      </c>
      <c r="H6" s="33">
        <f t="shared" si="0"/>
        <v>2251.0176199999996</v>
      </c>
      <c r="I6" s="33">
        <f t="shared" si="0"/>
        <v>2318.5481485999999</v>
      </c>
    </row>
    <row r="9" spans="1:9" ht="15" x14ac:dyDescent="0.25">
      <c r="A9" t="s">
        <v>1497</v>
      </c>
      <c r="B9" t="s">
        <v>1498</v>
      </c>
    </row>
    <row r="10" spans="1:9" ht="15" x14ac:dyDescent="0.25">
      <c r="A10" t="s">
        <v>1500</v>
      </c>
      <c r="B10" s="14" t="s">
        <v>3098</v>
      </c>
      <c r="C10" s="52"/>
    </row>
    <row r="12" spans="1:9" ht="15" x14ac:dyDescent="0.25">
      <c r="A12" t="s">
        <v>1991</v>
      </c>
    </row>
    <row r="13" spans="1:9" ht="15" x14ac:dyDescent="0.25">
      <c r="B13" s="39" t="s">
        <v>1678</v>
      </c>
      <c r="C13" s="39">
        <v>2</v>
      </c>
    </row>
    <row r="14" spans="1:9" ht="15" x14ac:dyDescent="0.25">
      <c r="A14" s="12" t="s">
        <v>1640</v>
      </c>
      <c r="B14" s="12"/>
      <c r="C14" s="12">
        <f>SUM(C12:C13)</f>
        <v>2</v>
      </c>
    </row>
    <row r="16" spans="1:9" ht="15" x14ac:dyDescent="0.25">
      <c r="A16" t="s">
        <v>1992</v>
      </c>
    </row>
    <row r="17" spans="1:9" ht="15" x14ac:dyDescent="0.25">
      <c r="A17" t="s">
        <v>1995</v>
      </c>
    </row>
    <row r="18" spans="1:9" ht="15" x14ac:dyDescent="0.25">
      <c r="A18" t="s">
        <v>1996</v>
      </c>
    </row>
    <row r="19" spans="1:9" ht="15" x14ac:dyDescent="0.25">
      <c r="A19" t="s">
        <v>1993</v>
      </c>
    </row>
    <row r="20" spans="1:9" ht="15" x14ac:dyDescent="0.25">
      <c r="A20" t="s">
        <v>1994</v>
      </c>
    </row>
    <row r="21" spans="1:9" ht="15" x14ac:dyDescent="0.25">
      <c r="A21" t="s">
        <v>3508</v>
      </c>
    </row>
    <row r="22" spans="1:9" s="301" customFormat="1" ht="15" x14ac:dyDescent="0.25">
      <c r="A22" s="301" t="s">
        <v>3254</v>
      </c>
    </row>
    <row r="23" spans="1:9" ht="15" x14ac:dyDescent="0.25">
      <c r="E23" s="30" t="str">
        <f>Summary!C4</f>
        <v>2015/16</v>
      </c>
      <c r="F23" s="30" t="str">
        <f>Summary!D4</f>
        <v>2016/17</v>
      </c>
      <c r="G23" s="30" t="str">
        <f>Summary!E4</f>
        <v>2017/18</v>
      </c>
      <c r="H23" s="30" t="str">
        <f>Summary!F4</f>
        <v>2018/19</v>
      </c>
      <c r="I23" s="30" t="str">
        <f>Summary!G4</f>
        <v>2019/20</v>
      </c>
    </row>
    <row r="24" spans="1:9" x14ac:dyDescent="0.3">
      <c r="A24" s="16" t="s">
        <v>1473</v>
      </c>
      <c r="B24" s="16" t="s">
        <v>56</v>
      </c>
      <c r="C24" s="43"/>
      <c r="D24" s="16"/>
      <c r="E24" s="16">
        <v>1</v>
      </c>
      <c r="F24" s="16">
        <v>1</v>
      </c>
      <c r="G24" s="16">
        <v>1</v>
      </c>
      <c r="H24" s="16">
        <v>1</v>
      </c>
      <c r="I24" s="16">
        <v>1</v>
      </c>
    </row>
    <row r="25" spans="1:9" ht="15" x14ac:dyDescent="0.25">
      <c r="A25" s="8" t="s">
        <v>1646</v>
      </c>
      <c r="C25" s="39"/>
    </row>
    <row r="26" spans="1:9" ht="15" x14ac:dyDescent="0.25">
      <c r="A26" s="14" t="s">
        <v>1658</v>
      </c>
      <c r="B26" s="74">
        <f>APATechnicianHours/C14</f>
        <v>0.5</v>
      </c>
      <c r="C26" s="14" t="s">
        <v>1677</v>
      </c>
    </row>
    <row r="27" spans="1:9" ht="15" x14ac:dyDescent="0.25">
      <c r="A27" s="14" t="s">
        <v>1997</v>
      </c>
      <c r="B27" s="74">
        <f>1+APASupervisorHours/C14</f>
        <v>5.291666666666667</v>
      </c>
      <c r="C27" s="14" t="s">
        <v>2201</v>
      </c>
    </row>
    <row r="28" spans="1:9" ht="15" x14ac:dyDescent="0.25">
      <c r="A28" s="14" t="s">
        <v>1643</v>
      </c>
      <c r="B28" s="113">
        <v>0</v>
      </c>
      <c r="C28" s="14"/>
    </row>
    <row r="29" spans="1:9" ht="15" x14ac:dyDescent="0.25">
      <c r="A29" s="14"/>
      <c r="B29" s="41"/>
      <c r="C29" s="14"/>
    </row>
    <row r="30" spans="1:9" ht="15" x14ac:dyDescent="0.25">
      <c r="A30" s="42" t="s">
        <v>1647</v>
      </c>
      <c r="B30" s="7"/>
      <c r="C30" s="14"/>
    </row>
    <row r="31" spans="1:9" x14ac:dyDescent="0.3">
      <c r="A31" s="14" t="s">
        <v>1656</v>
      </c>
      <c r="B31" s="7"/>
      <c r="C31" s="14"/>
    </row>
    <row r="32" spans="1:9" x14ac:dyDescent="0.3">
      <c r="A32" s="14" t="s">
        <v>1651</v>
      </c>
      <c r="B32" s="41"/>
      <c r="C32" s="14"/>
    </row>
    <row r="33" spans="1:9" x14ac:dyDescent="0.3">
      <c r="A33" s="14" t="s">
        <v>1649</v>
      </c>
      <c r="B33" s="55">
        <v>1500</v>
      </c>
      <c r="C33" s="15" t="s">
        <v>3294</v>
      </c>
    </row>
    <row r="34" spans="1:9" x14ac:dyDescent="0.3">
      <c r="A34" s="14" t="s">
        <v>1650</v>
      </c>
      <c r="B34" s="55">
        <v>1000</v>
      </c>
      <c r="C34" s="15" t="s">
        <v>3295</v>
      </c>
    </row>
    <row r="36" spans="1:9" x14ac:dyDescent="0.3">
      <c r="A36" s="14"/>
      <c r="B36" s="46" t="s">
        <v>2712</v>
      </c>
      <c r="C36" s="46" t="s">
        <v>2720</v>
      </c>
      <c r="D36" s="30" t="s">
        <v>1655</v>
      </c>
      <c r="E36" s="30" t="str">
        <f>Summary!C4</f>
        <v>2015/16</v>
      </c>
      <c r="F36" s="30" t="str">
        <f>Summary!D4</f>
        <v>2016/17</v>
      </c>
      <c r="G36" s="30" t="str">
        <f>Summary!E4</f>
        <v>2017/18</v>
      </c>
      <c r="H36" s="30" t="str">
        <f>Summary!F4</f>
        <v>2018/19</v>
      </c>
      <c r="I36" s="30" t="str">
        <f>Summary!G4</f>
        <v>2019/20</v>
      </c>
    </row>
    <row r="37" spans="1:9" x14ac:dyDescent="0.3">
      <c r="A37" s="14" t="s">
        <v>1648</v>
      </c>
      <c r="B37" s="40">
        <f>B26*HourlyRateAPAMaintenanceStaff+B27*HourlyRateAPAOMSupervisor</f>
        <v>721.63800000000003</v>
      </c>
      <c r="C37" s="40">
        <f>B37*$C$14</f>
        <v>1443.2760000000001</v>
      </c>
      <c r="D37" s="40">
        <f>C37*SUMPRODUCT(LabourAdjustmentFactor,E$24:I$24)</f>
        <v>7775.9911145851165</v>
      </c>
      <c r="E37" s="40">
        <f>$C37*E$24*'Modelling Assumptions'!E$101</f>
        <v>1479.3579</v>
      </c>
      <c r="F37" s="40">
        <f>$C37*F$24*'Modelling Assumptions'!F$101</f>
        <v>1516.3418474999999</v>
      </c>
      <c r="G37" s="40">
        <f>$C37*G$24*'Modelling Assumptions'!G$101</f>
        <v>1554.2503936874998</v>
      </c>
      <c r="H37" s="40">
        <f>$C37*H$24*'Modelling Assumptions'!H$101</f>
        <v>1593.1066535296873</v>
      </c>
      <c r="I37" s="40">
        <f>$C37*I$24*'Modelling Assumptions'!I$101</f>
        <v>1632.9343198679292</v>
      </c>
    </row>
    <row r="38" spans="1:9" x14ac:dyDescent="0.3">
      <c r="A38" s="14" t="s">
        <v>1643</v>
      </c>
      <c r="B38" s="40">
        <f>B28</f>
        <v>0</v>
      </c>
      <c r="C38" s="40">
        <f t="shared" ref="C38:C40" si="1">B38*$C$14</f>
        <v>0</v>
      </c>
      <c r="D38" s="40">
        <f>C38*SUMPRODUCT(MaterialsAdjustmentFactor,E$24:I$24)</f>
        <v>0</v>
      </c>
      <c r="E38" s="47">
        <f>$C38*E$24*'Modelling Assumptions'!E$102</f>
        <v>0</v>
      </c>
      <c r="F38" s="47">
        <f>$C38*F$24*'Modelling Assumptions'!F$102</f>
        <v>0</v>
      </c>
      <c r="G38" s="47">
        <f>$C38*G$24*'Modelling Assumptions'!G$102</f>
        <v>0</v>
      </c>
      <c r="H38" s="47">
        <f>$C38*H$24*'Modelling Assumptions'!H$102</f>
        <v>0</v>
      </c>
      <c r="I38" s="47">
        <f>$C38*I$24*'Modelling Assumptions'!I$102</f>
        <v>0</v>
      </c>
    </row>
    <row r="39" spans="1:9" x14ac:dyDescent="0.3">
      <c r="A39" s="14" t="s">
        <v>1649</v>
      </c>
      <c r="B39" s="40">
        <f>B33</f>
        <v>1500</v>
      </c>
      <c r="C39" s="40">
        <f t="shared" si="1"/>
        <v>3000</v>
      </c>
      <c r="D39" s="40">
        <f>C39*SUMPRODUCT(LabourAdjustmentFactor,E$24:I$24)</f>
        <v>16163.210185546872</v>
      </c>
      <c r="E39" s="40">
        <f>$C39*E$24*'Modelling Assumptions'!E$101</f>
        <v>3074.9999999999995</v>
      </c>
      <c r="F39" s="40">
        <f>$C39*F$24*'Modelling Assumptions'!F$101</f>
        <v>3151.8749999999995</v>
      </c>
      <c r="G39" s="40">
        <f>$C39*G$24*'Modelling Assumptions'!G$101</f>
        <v>3230.6718749999995</v>
      </c>
      <c r="H39" s="40">
        <f>$C39*H$24*'Modelling Assumptions'!H$101</f>
        <v>3311.4386718749993</v>
      </c>
      <c r="I39" s="40">
        <f>$C39*I$24*'Modelling Assumptions'!I$101</f>
        <v>3394.2246386718739</v>
      </c>
    </row>
    <row r="40" spans="1:9" x14ac:dyDescent="0.3">
      <c r="A40" s="14" t="s">
        <v>1650</v>
      </c>
      <c r="B40" s="40">
        <f>B34</f>
        <v>1000</v>
      </c>
      <c r="C40" s="40">
        <f t="shared" si="1"/>
        <v>2000</v>
      </c>
      <c r="D40" s="40">
        <f>C40*SUMPRODUCT(MaterialsAdjustmentFactor,E$24:I$24)</f>
        <v>10936.8197686</v>
      </c>
      <c r="E40" s="40">
        <f>$C40*E$24*'Modelling Assumptions'!E$102</f>
        <v>2060</v>
      </c>
      <c r="F40" s="40">
        <f>$C40*F$24*'Modelling Assumptions'!F$102</f>
        <v>2121.7999999999997</v>
      </c>
      <c r="G40" s="40">
        <f>$C40*G$24*'Modelling Assumptions'!G$102</f>
        <v>2185.4540000000002</v>
      </c>
      <c r="H40" s="40">
        <f>$C40*H$24*'Modelling Assumptions'!H$102</f>
        <v>2251.0176199999996</v>
      </c>
      <c r="I40" s="40">
        <f>$C40*I$24*'Modelling Assumptions'!I$102</f>
        <v>2318.5481485999999</v>
      </c>
    </row>
    <row r="43" spans="1:9" x14ac:dyDescent="0.3">
      <c r="A43" s="10" t="s">
        <v>1641</v>
      </c>
      <c r="B43" s="44"/>
      <c r="C43" s="44"/>
      <c r="D43" s="10"/>
      <c r="E43" s="10"/>
      <c r="F43" s="10"/>
      <c r="G43" s="10"/>
      <c r="H43" s="10"/>
      <c r="I43" s="10"/>
    </row>
    <row r="44" spans="1:9" x14ac:dyDescent="0.3">
      <c r="A44" t="s">
        <v>3</v>
      </c>
      <c r="B44" t="s">
        <v>2</v>
      </c>
      <c r="C44" t="s">
        <v>1</v>
      </c>
    </row>
    <row r="45" spans="1:9" x14ac:dyDescent="0.3">
      <c r="A45" t="s">
        <v>1108</v>
      </c>
      <c r="B45" t="s">
        <v>56</v>
      </c>
    </row>
    <row r="46" spans="1:9" x14ac:dyDescent="0.3">
      <c r="A46" t="s">
        <v>62</v>
      </c>
      <c r="B46" t="s">
        <v>61</v>
      </c>
      <c r="C46" t="s">
        <v>8</v>
      </c>
      <c r="D46" t="s">
        <v>44</v>
      </c>
    </row>
    <row r="47" spans="1:9" x14ac:dyDescent="0.3">
      <c r="A47" t="s">
        <v>62</v>
      </c>
      <c r="B47" t="s">
        <v>61</v>
      </c>
      <c r="C47" t="s">
        <v>8</v>
      </c>
      <c r="D47" t="s">
        <v>93</v>
      </c>
    </row>
    <row r="48" spans="1:9" x14ac:dyDescent="0.3">
      <c r="A48" t="s">
        <v>62</v>
      </c>
      <c r="B48" t="s">
        <v>61</v>
      </c>
      <c r="C48" t="s">
        <v>8</v>
      </c>
      <c r="D48" t="s">
        <v>108</v>
      </c>
    </row>
    <row r="49" spans="1:5" x14ac:dyDescent="0.3">
      <c r="A49" t="s">
        <v>62</v>
      </c>
      <c r="B49" t="s">
        <v>61</v>
      </c>
      <c r="C49" t="s">
        <v>328</v>
      </c>
      <c r="D49" t="s">
        <v>335</v>
      </c>
    </row>
    <row r="50" spans="1:5" x14ac:dyDescent="0.3">
      <c r="A50" t="s">
        <v>62</v>
      </c>
      <c r="B50" t="s">
        <v>61</v>
      </c>
      <c r="C50" t="s">
        <v>328</v>
      </c>
      <c r="D50" t="s">
        <v>346</v>
      </c>
    </row>
    <row r="51" spans="1:5" x14ac:dyDescent="0.3">
      <c r="A51" t="s">
        <v>62</v>
      </c>
      <c r="B51" t="s">
        <v>61</v>
      </c>
      <c r="C51" t="s">
        <v>328</v>
      </c>
      <c r="D51" t="s">
        <v>358</v>
      </c>
    </row>
    <row r="57" spans="1:5" x14ac:dyDescent="0.3">
      <c r="A57" t="s">
        <v>1098</v>
      </c>
      <c r="B57" t="s">
        <v>514</v>
      </c>
    </row>
    <row r="58" spans="1:5" x14ac:dyDescent="0.3">
      <c r="A58" t="s">
        <v>1109</v>
      </c>
      <c r="B58" t="s">
        <v>1100</v>
      </c>
      <c r="C58" t="s">
        <v>1101</v>
      </c>
      <c r="D58" s="29">
        <v>41535.593055555553</v>
      </c>
      <c r="E58" t="s">
        <v>1110</v>
      </c>
    </row>
    <row r="59" spans="1:5" x14ac:dyDescent="0.3">
      <c r="A59" t="s">
        <v>1111</v>
      </c>
      <c r="B59" t="s">
        <v>1100</v>
      </c>
      <c r="C59" t="s">
        <v>1101</v>
      </c>
      <c r="D59" s="29">
        <v>41535.593055555553</v>
      </c>
      <c r="E59" t="s">
        <v>1110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C8C800"/>
    <pageSetUpPr fitToPage="1"/>
  </sheetPr>
  <dimension ref="A1:I58"/>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88</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D34</f>
        <v>881.97789019473612</v>
      </c>
      <c r="E3" s="33">
        <f t="shared" si="0"/>
        <v>167.79352499999999</v>
      </c>
      <c r="F3" s="33">
        <f t="shared" si="0"/>
        <v>171.98836312499998</v>
      </c>
      <c r="G3" s="33">
        <f t="shared" si="0"/>
        <v>176.28807220312498</v>
      </c>
      <c r="H3" s="33">
        <f t="shared" si="0"/>
        <v>180.69527400820309</v>
      </c>
      <c r="I3" s="33">
        <f t="shared" si="0"/>
        <v>185.21265585840814</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c r="C10" s="52"/>
    </row>
    <row r="12" spans="1:9" ht="15" x14ac:dyDescent="0.25">
      <c r="A12" t="s">
        <v>1749</v>
      </c>
    </row>
    <row r="13" spans="1:9" ht="15" x14ac:dyDescent="0.25">
      <c r="B13" s="39" t="s">
        <v>1923</v>
      </c>
      <c r="C13" s="39">
        <v>6</v>
      </c>
    </row>
    <row r="14" spans="1:9" ht="15" x14ac:dyDescent="0.25">
      <c r="A14" s="12" t="s">
        <v>1640</v>
      </c>
      <c r="B14" s="12"/>
      <c r="C14" s="12">
        <f>SUM(C12:C13)</f>
        <v>6</v>
      </c>
    </row>
    <row r="16" spans="1:9" ht="15" x14ac:dyDescent="0.25">
      <c r="A16" t="s">
        <v>1992</v>
      </c>
    </row>
    <row r="17" spans="1:9" ht="15" x14ac:dyDescent="0.25">
      <c r="A17" t="s">
        <v>2064</v>
      </c>
    </row>
    <row r="18" spans="1:9" s="301" customFormat="1" ht="15" x14ac:dyDescent="0.25">
      <c r="A18" s="301" t="s">
        <v>3254</v>
      </c>
    </row>
    <row r="19" spans="1:9" s="301" customFormat="1" ht="15" x14ac:dyDescent="0.25"/>
    <row r="20" spans="1:9" ht="15" x14ac:dyDescent="0.25">
      <c r="E20" s="30" t="str">
        <f>Summary!C4</f>
        <v>2015/16</v>
      </c>
      <c r="F20" s="30" t="str">
        <f>Summary!D4</f>
        <v>2016/17</v>
      </c>
      <c r="G20" s="30" t="str">
        <f>Summary!E4</f>
        <v>2017/18</v>
      </c>
      <c r="H20" s="30" t="str">
        <f>Summary!F4</f>
        <v>2018/19</v>
      </c>
      <c r="I20" s="30" t="str">
        <f>Summary!G4</f>
        <v>2019/20</v>
      </c>
    </row>
    <row r="21" spans="1:9" x14ac:dyDescent="0.3">
      <c r="A21" s="16" t="s">
        <v>1097</v>
      </c>
      <c r="B21" s="16" t="s">
        <v>56</v>
      </c>
      <c r="C21" s="43"/>
      <c r="D21" s="16"/>
      <c r="E21" s="16">
        <v>1</v>
      </c>
      <c r="F21" s="16">
        <v>1</v>
      </c>
      <c r="G21" s="16">
        <v>1</v>
      </c>
      <c r="H21" s="16">
        <v>1</v>
      </c>
      <c r="I21" s="16">
        <v>1</v>
      </c>
    </row>
    <row r="22" spans="1:9" ht="15" x14ac:dyDescent="0.25">
      <c r="A22" s="8" t="s">
        <v>1646</v>
      </c>
      <c r="C22" s="39"/>
    </row>
    <row r="23" spans="1:9" ht="15" x14ac:dyDescent="0.25">
      <c r="A23" s="14" t="s">
        <v>1658</v>
      </c>
      <c r="B23" s="74">
        <f>APATechnicianHours/C14</f>
        <v>0.16666666666666666</v>
      </c>
      <c r="C23" s="14" t="s">
        <v>1788</v>
      </c>
    </row>
    <row r="24" spans="1:9" ht="15" x14ac:dyDescent="0.25">
      <c r="A24" s="14" t="s">
        <v>1997</v>
      </c>
      <c r="B24" s="74">
        <f>0.5/C14</f>
        <v>8.3333333333333329E-2</v>
      </c>
      <c r="C24" s="14" t="s">
        <v>2090</v>
      </c>
    </row>
    <row r="25" spans="1:9" ht="15" x14ac:dyDescent="0.25">
      <c r="A25" s="14" t="s">
        <v>1643</v>
      </c>
      <c r="B25" s="55">
        <v>0</v>
      </c>
      <c r="C25" s="14"/>
    </row>
    <row r="26" spans="1:9" ht="15" x14ac:dyDescent="0.25">
      <c r="A26" s="14"/>
      <c r="B26" s="55"/>
      <c r="C26" s="14"/>
    </row>
    <row r="27" spans="1:9" ht="15" x14ac:dyDescent="0.25">
      <c r="A27" s="42" t="s">
        <v>1647</v>
      </c>
      <c r="B27" s="15"/>
      <c r="C27" s="14"/>
    </row>
    <row r="28" spans="1:9" ht="15" x14ac:dyDescent="0.25">
      <c r="A28" s="14" t="s">
        <v>1656</v>
      </c>
      <c r="B28" s="15"/>
      <c r="C28" s="14"/>
    </row>
    <row r="29" spans="1:9" ht="15" x14ac:dyDescent="0.25">
      <c r="A29" s="14" t="s">
        <v>1651</v>
      </c>
      <c r="B29" s="55"/>
      <c r="C29" s="14"/>
    </row>
    <row r="30" spans="1:9" ht="15" x14ac:dyDescent="0.25">
      <c r="A30" s="14" t="s">
        <v>1649</v>
      </c>
      <c r="B30" s="55">
        <v>0</v>
      </c>
      <c r="C30" s="14"/>
    </row>
    <row r="31" spans="1:9" x14ac:dyDescent="0.3">
      <c r="A31" s="14" t="s">
        <v>1650</v>
      </c>
      <c r="B31" s="55">
        <v>0</v>
      </c>
      <c r="C31" s="7"/>
    </row>
    <row r="33" spans="1:9" x14ac:dyDescent="0.3">
      <c r="A33" s="14"/>
      <c r="B33" s="46" t="s">
        <v>2712</v>
      </c>
      <c r="C33" s="46" t="s">
        <v>2720</v>
      </c>
      <c r="D33" s="30" t="s">
        <v>1655</v>
      </c>
      <c r="E33" s="30" t="str">
        <f>Summary!C4</f>
        <v>2015/16</v>
      </c>
      <c r="F33" s="30" t="str">
        <f>Summary!D4</f>
        <v>2016/17</v>
      </c>
      <c r="G33" s="30" t="str">
        <f>Summary!E4</f>
        <v>2017/18</v>
      </c>
      <c r="H33" s="30" t="str">
        <f>Summary!F4</f>
        <v>2018/19</v>
      </c>
      <c r="I33" s="30" t="str">
        <f>Summary!G4</f>
        <v>2019/20</v>
      </c>
    </row>
    <row r="34" spans="1:9" x14ac:dyDescent="0.3">
      <c r="A34" s="14" t="s">
        <v>1648</v>
      </c>
      <c r="B34" s="40">
        <f>B23*HourlyRateAPAMaintenanceStaff+B24*HourlyRateAPAOMSupervisor</f>
        <v>27.2835</v>
      </c>
      <c r="C34" s="40">
        <f>B34*$C$14</f>
        <v>163.70099999999999</v>
      </c>
      <c r="D34" s="40">
        <f>C34*SUMPRODUCT(LabourAdjustmentFactor,E$21:I$21)</f>
        <v>881.97789019473612</v>
      </c>
      <c r="E34" s="40">
        <f>$C34*E$21*'Modelling Assumptions'!E$101</f>
        <v>167.79352499999999</v>
      </c>
      <c r="F34" s="40">
        <f>$C34*F$21*'Modelling Assumptions'!F$101</f>
        <v>171.98836312499998</v>
      </c>
      <c r="G34" s="40">
        <f>$C34*G$21*'Modelling Assumptions'!G$101</f>
        <v>176.28807220312498</v>
      </c>
      <c r="H34" s="40">
        <f>$C34*H$21*'Modelling Assumptions'!H$101</f>
        <v>180.69527400820309</v>
      </c>
      <c r="I34" s="40">
        <f>$C34*I$21*'Modelling Assumptions'!I$101</f>
        <v>185.21265585840814</v>
      </c>
    </row>
    <row r="35" spans="1:9" x14ac:dyDescent="0.3">
      <c r="A35" s="14" t="s">
        <v>1643</v>
      </c>
      <c r="B35" s="40">
        <f>B25</f>
        <v>0</v>
      </c>
      <c r="C35" s="40">
        <f t="shared" ref="C35:C37" si="1">B35*$C$14</f>
        <v>0</v>
      </c>
      <c r="D35" s="40">
        <f>C35*SUMPRODUCT(MaterialsAdjustmentFactor,E$21:I$21)</f>
        <v>0</v>
      </c>
      <c r="E35" s="47">
        <f>$C35*E$21*'Modelling Assumptions'!E$102</f>
        <v>0</v>
      </c>
      <c r="F35" s="47">
        <f>$C35*F$21*'Modelling Assumptions'!F$102</f>
        <v>0</v>
      </c>
      <c r="G35" s="47">
        <f>$C35*G$21*'Modelling Assumptions'!G$102</f>
        <v>0</v>
      </c>
      <c r="H35" s="47">
        <f>$C35*H$21*'Modelling Assumptions'!H$102</f>
        <v>0</v>
      </c>
      <c r="I35" s="47">
        <f>$C35*I$21*'Modelling Assumptions'!I$102</f>
        <v>0</v>
      </c>
    </row>
    <row r="36" spans="1:9" x14ac:dyDescent="0.3">
      <c r="A36" s="14" t="s">
        <v>1649</v>
      </c>
      <c r="B36" s="40">
        <f>B30</f>
        <v>0</v>
      </c>
      <c r="C36" s="40">
        <f t="shared" si="1"/>
        <v>0</v>
      </c>
      <c r="D36" s="40">
        <f>C36*SUMPRODUCT(LabourAdjustmentFactor,E$21:I$21)</f>
        <v>0</v>
      </c>
      <c r="E36" s="40">
        <f>$C36*E$21*'Modelling Assumptions'!E$101</f>
        <v>0</v>
      </c>
      <c r="F36" s="40">
        <f>$C36*F$21*'Modelling Assumptions'!F$101</f>
        <v>0</v>
      </c>
      <c r="G36" s="40">
        <f>$C36*G$21*'Modelling Assumptions'!G$101</f>
        <v>0</v>
      </c>
      <c r="H36" s="40">
        <f>$C36*H$21*'Modelling Assumptions'!H$101</f>
        <v>0</v>
      </c>
      <c r="I36" s="40">
        <f>$C36*I$21*'Modelling Assumptions'!I$101</f>
        <v>0</v>
      </c>
    </row>
    <row r="37" spans="1:9" x14ac:dyDescent="0.3">
      <c r="A37" s="14" t="s">
        <v>1650</v>
      </c>
      <c r="B37" s="40">
        <f>B31</f>
        <v>0</v>
      </c>
      <c r="C37" s="40">
        <f t="shared" si="1"/>
        <v>0</v>
      </c>
      <c r="D37" s="40">
        <f>C37*SUMPRODUCT(MaterialsAdjustmentFactor,E$21:I$21)</f>
        <v>0</v>
      </c>
      <c r="E37" s="40">
        <f>$C37*E$21*'Modelling Assumptions'!E$102</f>
        <v>0</v>
      </c>
      <c r="F37" s="40">
        <f>$C37*F$21*'Modelling Assumptions'!F$102</f>
        <v>0</v>
      </c>
      <c r="G37" s="40">
        <f>$C37*G$21*'Modelling Assumptions'!G$102</f>
        <v>0</v>
      </c>
      <c r="H37" s="40">
        <f>$C37*H$21*'Modelling Assumptions'!H$102</f>
        <v>0</v>
      </c>
      <c r="I37" s="40">
        <f>$C37*I$21*'Modelling Assumptions'!I$102</f>
        <v>0</v>
      </c>
    </row>
    <row r="40" spans="1:9" x14ac:dyDescent="0.3">
      <c r="A40" s="10" t="s">
        <v>1641</v>
      </c>
      <c r="B40" s="44"/>
      <c r="C40" s="44"/>
      <c r="D40" s="10"/>
      <c r="E40" s="10"/>
      <c r="F40" s="10"/>
      <c r="G40" s="10"/>
      <c r="H40" s="10"/>
      <c r="I40" s="10"/>
    </row>
    <row r="41" spans="1:9" x14ac:dyDescent="0.3">
      <c r="A41" t="s">
        <v>3</v>
      </c>
      <c r="B41" t="s">
        <v>2</v>
      </c>
      <c r="C41" t="s">
        <v>1</v>
      </c>
    </row>
    <row r="42" spans="1:9" x14ac:dyDescent="0.3">
      <c r="A42" t="s">
        <v>1097</v>
      </c>
      <c r="B42" t="s">
        <v>56</v>
      </c>
    </row>
    <row r="43" spans="1:9" x14ac:dyDescent="0.3">
      <c r="A43" t="s">
        <v>89</v>
      </c>
      <c r="B43" t="s">
        <v>88</v>
      </c>
      <c r="C43" t="s">
        <v>8</v>
      </c>
      <c r="D43" t="s">
        <v>44</v>
      </c>
    </row>
    <row r="44" spans="1:9" x14ac:dyDescent="0.3">
      <c r="A44" t="s">
        <v>89</v>
      </c>
      <c r="B44" t="s">
        <v>88</v>
      </c>
      <c r="C44" t="s">
        <v>8</v>
      </c>
      <c r="D44" t="s">
        <v>93</v>
      </c>
    </row>
    <row r="45" spans="1:9" x14ac:dyDescent="0.3">
      <c r="A45" t="s">
        <v>89</v>
      </c>
      <c r="B45" t="s">
        <v>88</v>
      </c>
      <c r="C45" t="s">
        <v>8</v>
      </c>
      <c r="D45" t="s">
        <v>108</v>
      </c>
    </row>
    <row r="46" spans="1:9" x14ac:dyDescent="0.3">
      <c r="A46" t="s">
        <v>89</v>
      </c>
      <c r="B46" t="s">
        <v>88</v>
      </c>
      <c r="C46" t="s">
        <v>328</v>
      </c>
      <c r="D46" t="s">
        <v>335</v>
      </c>
    </row>
    <row r="47" spans="1:9" x14ac:dyDescent="0.3">
      <c r="A47" t="s">
        <v>89</v>
      </c>
      <c r="B47" t="s">
        <v>88</v>
      </c>
      <c r="C47" t="s">
        <v>328</v>
      </c>
      <c r="D47" t="s">
        <v>346</v>
      </c>
    </row>
    <row r="48" spans="1:9" x14ac:dyDescent="0.3">
      <c r="A48" t="s">
        <v>89</v>
      </c>
      <c r="B48" t="s">
        <v>88</v>
      </c>
      <c r="C48" t="s">
        <v>328</v>
      </c>
      <c r="D48" t="s">
        <v>358</v>
      </c>
    </row>
    <row r="54" spans="1:5" x14ac:dyDescent="0.3">
      <c r="A54" t="s">
        <v>1098</v>
      </c>
      <c r="B54" t="s">
        <v>522</v>
      </c>
    </row>
    <row r="55" spans="1:5" x14ac:dyDescent="0.3">
      <c r="A55" t="s">
        <v>1099</v>
      </c>
      <c r="B55" t="s">
        <v>1100</v>
      </c>
      <c r="C55" t="s">
        <v>1101</v>
      </c>
      <c r="D55" s="29">
        <v>41533.724305555559</v>
      </c>
      <c r="E55" t="s">
        <v>1102</v>
      </c>
    </row>
    <row r="56" spans="1:5" x14ac:dyDescent="0.3">
      <c r="A56" t="s">
        <v>1103</v>
      </c>
      <c r="B56" t="s">
        <v>1100</v>
      </c>
      <c r="C56" t="s">
        <v>1101</v>
      </c>
      <c r="D56" s="29">
        <v>41533.723611111112</v>
      </c>
      <c r="E56" t="s">
        <v>1104</v>
      </c>
    </row>
    <row r="57" spans="1:5" x14ac:dyDescent="0.3">
      <c r="A57" t="s">
        <v>1105</v>
      </c>
      <c r="B57" t="s">
        <v>1100</v>
      </c>
      <c r="C57" t="s">
        <v>1101</v>
      </c>
      <c r="D57" s="29">
        <v>41452.658333333333</v>
      </c>
      <c r="E57" t="s">
        <v>1106</v>
      </c>
    </row>
    <row r="58" spans="1:5" x14ac:dyDescent="0.3">
      <c r="A58" t="s">
        <v>1107</v>
      </c>
      <c r="B58" t="s">
        <v>1100</v>
      </c>
      <c r="C58" t="s">
        <v>1101</v>
      </c>
      <c r="D58" s="29">
        <v>41533.723611111112</v>
      </c>
      <c r="E58" t="s">
        <v>1104</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8C800"/>
    <pageSetUpPr fitToPage="1"/>
  </sheetPr>
  <dimension ref="A1:I136"/>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1476</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 si="0">D38+D58+D78</f>
        <v>49217.948544951563</v>
      </c>
      <c r="E3" s="33">
        <f>E38+E58+E78</f>
        <v>46624.054049999999</v>
      </c>
      <c r="F3" s="33">
        <f t="shared" ref="F3:I3" si="1">F38+F58+F78</f>
        <v>0</v>
      </c>
      <c r="G3" s="33">
        <f t="shared" si="1"/>
        <v>1280.9355530625003</v>
      </c>
      <c r="H3" s="33">
        <f t="shared" si="1"/>
        <v>1312.9589418890625</v>
      </c>
      <c r="I3" s="33">
        <f t="shared" si="1"/>
        <v>0</v>
      </c>
    </row>
    <row r="4" spans="1:9" ht="15" x14ac:dyDescent="0.25">
      <c r="A4" t="s">
        <v>1643</v>
      </c>
      <c r="B4" s="33"/>
      <c r="C4" s="33"/>
      <c r="D4" s="33">
        <f t="shared" ref="D4:I4" si="2">D39+D59+D79</f>
        <v>6180</v>
      </c>
      <c r="E4" s="33">
        <f t="shared" si="2"/>
        <v>6180</v>
      </c>
      <c r="F4" s="33">
        <f t="shared" si="2"/>
        <v>0</v>
      </c>
      <c r="G4" s="33">
        <f t="shared" si="2"/>
        <v>0</v>
      </c>
      <c r="H4" s="33">
        <f t="shared" si="2"/>
        <v>0</v>
      </c>
      <c r="I4" s="33">
        <f t="shared" si="2"/>
        <v>0</v>
      </c>
    </row>
    <row r="5" spans="1:9" ht="15" x14ac:dyDescent="0.25">
      <c r="A5" t="s">
        <v>1649</v>
      </c>
      <c r="B5" s="33"/>
      <c r="C5" s="33"/>
      <c r="D5" s="33">
        <f t="shared" ref="D5:I5" si="3">D40+D60+D80</f>
        <v>307161.45912421867</v>
      </c>
      <c r="E5" s="33">
        <f t="shared" si="3"/>
        <v>300775.5515624999</v>
      </c>
      <c r="F5" s="33">
        <f t="shared" si="3"/>
        <v>0</v>
      </c>
      <c r="G5" s="33">
        <f t="shared" si="3"/>
        <v>6299.8101562499996</v>
      </c>
      <c r="H5" s="33">
        <f t="shared" si="3"/>
        <v>86.097405468749983</v>
      </c>
      <c r="I5" s="33">
        <f t="shared" si="3"/>
        <v>0</v>
      </c>
    </row>
    <row r="6" spans="1:9" ht="15" x14ac:dyDescent="0.25">
      <c r="A6" t="s">
        <v>1650</v>
      </c>
      <c r="B6" s="33"/>
      <c r="C6" s="33"/>
      <c r="D6" s="33">
        <f t="shared" ref="D6:I6" si="4">D41+D61+D81</f>
        <v>0</v>
      </c>
      <c r="E6" s="33">
        <f t="shared" si="4"/>
        <v>0</v>
      </c>
      <c r="F6" s="33">
        <f t="shared" si="4"/>
        <v>0</v>
      </c>
      <c r="G6" s="33">
        <f t="shared" si="4"/>
        <v>0</v>
      </c>
      <c r="H6" s="33">
        <f t="shared" si="4"/>
        <v>0</v>
      </c>
      <c r="I6" s="33">
        <f t="shared" si="4"/>
        <v>0</v>
      </c>
    </row>
    <row r="9" spans="1:9" ht="15" x14ac:dyDescent="0.25">
      <c r="A9" t="s">
        <v>1497</v>
      </c>
      <c r="B9" t="s">
        <v>1499</v>
      </c>
    </row>
    <row r="10" spans="1:9" ht="15" x14ac:dyDescent="0.25">
      <c r="A10" t="s">
        <v>1500</v>
      </c>
      <c r="B10" t="s">
        <v>3521</v>
      </c>
    </row>
    <row r="12" spans="1:9" ht="15" x14ac:dyDescent="0.25">
      <c r="A12" t="s">
        <v>1511</v>
      </c>
    </row>
    <row r="13" spans="1:9" ht="15" x14ac:dyDescent="0.25">
      <c r="B13" s="39" t="s">
        <v>1495</v>
      </c>
      <c r="C13" s="39">
        <v>6</v>
      </c>
    </row>
    <row r="15" spans="1:9" ht="15" x14ac:dyDescent="0.25">
      <c r="A15" t="s">
        <v>503</v>
      </c>
    </row>
    <row r="16" spans="1:9" ht="15" x14ac:dyDescent="0.25">
      <c r="B16" s="39" t="s">
        <v>1494</v>
      </c>
      <c r="C16" s="39">
        <v>6</v>
      </c>
    </row>
    <row r="18" spans="1:9" ht="15" x14ac:dyDescent="0.25">
      <c r="A18" s="14" t="s">
        <v>1517</v>
      </c>
    </row>
    <row r="19" spans="1:9" ht="15" x14ac:dyDescent="0.25">
      <c r="A19" s="14"/>
      <c r="B19" s="39" t="s">
        <v>1493</v>
      </c>
      <c r="C19" s="39">
        <v>1</v>
      </c>
    </row>
    <row r="20" spans="1:9" ht="15" x14ac:dyDescent="0.25">
      <c r="A20" s="12" t="s">
        <v>1640</v>
      </c>
      <c r="B20" s="12"/>
      <c r="C20" s="12">
        <f>SUM(C13:C19)</f>
        <v>13</v>
      </c>
    </row>
    <row r="21" spans="1:9" ht="15" x14ac:dyDescent="0.25">
      <c r="B21" s="39"/>
      <c r="C21" s="39"/>
    </row>
    <row r="22" spans="1:9" ht="15" x14ac:dyDescent="0.25">
      <c r="A22" t="s">
        <v>1992</v>
      </c>
      <c r="B22" s="39"/>
      <c r="C22" s="39"/>
    </row>
    <row r="23" spans="1:9" ht="15" x14ac:dyDescent="0.25">
      <c r="A23" t="s">
        <v>2206</v>
      </c>
      <c r="B23" s="39"/>
      <c r="C23" s="39"/>
    </row>
    <row r="24" spans="1:9" ht="15" x14ac:dyDescent="0.25">
      <c r="B24" s="39"/>
      <c r="C24" s="39"/>
      <c r="E24" s="30" t="str">
        <f>Summary!C4</f>
        <v>2015/16</v>
      </c>
      <c r="F24" s="30" t="str">
        <f>Summary!D4</f>
        <v>2016/17</v>
      </c>
      <c r="G24" s="30" t="str">
        <f>Summary!E4</f>
        <v>2017/18</v>
      </c>
      <c r="H24" s="30" t="str">
        <f>Summary!F4</f>
        <v>2018/19</v>
      </c>
      <c r="I24" s="30" t="str">
        <f>Summary!G4</f>
        <v>2019/20</v>
      </c>
    </row>
    <row r="25" spans="1:9" x14ac:dyDescent="0.3">
      <c r="A25" s="45" t="s">
        <v>1378</v>
      </c>
      <c r="B25" s="45" t="s">
        <v>12</v>
      </c>
      <c r="C25" s="45"/>
      <c r="D25" s="45"/>
      <c r="E25" s="45">
        <v>0</v>
      </c>
      <c r="F25" s="45">
        <v>0</v>
      </c>
      <c r="G25" s="45">
        <v>1</v>
      </c>
      <c r="H25" s="45">
        <v>0</v>
      </c>
      <c r="I25" s="45">
        <v>0</v>
      </c>
    </row>
    <row r="26" spans="1:9" ht="15" x14ac:dyDescent="0.25">
      <c r="A26" s="8" t="s">
        <v>1646</v>
      </c>
      <c r="C26" s="39"/>
    </row>
    <row r="27" spans="1:9" ht="15" x14ac:dyDescent="0.25">
      <c r="A27" s="14" t="s">
        <v>1658</v>
      </c>
      <c r="B27" s="74">
        <f>APATechnicianHours/C20</f>
        <v>7.6923076923076927E-2</v>
      </c>
      <c r="C27" s="14" t="s">
        <v>1704</v>
      </c>
    </row>
    <row r="28" spans="1:9" ht="15" x14ac:dyDescent="0.25">
      <c r="A28" s="14" t="s">
        <v>1997</v>
      </c>
      <c r="B28" s="74">
        <f>APASupervisorHours/C20</f>
        <v>0.66025641025641035</v>
      </c>
      <c r="C28" s="14" t="s">
        <v>1704</v>
      </c>
    </row>
    <row r="29" spans="1:9" ht="15" x14ac:dyDescent="0.25">
      <c r="A29" s="14" t="s">
        <v>1643</v>
      </c>
      <c r="B29" s="55">
        <v>0</v>
      </c>
      <c r="C29" s="14"/>
    </row>
    <row r="30" spans="1:9" ht="15" x14ac:dyDescent="0.25">
      <c r="A30" s="14"/>
      <c r="B30" s="55"/>
      <c r="C30" s="14"/>
    </row>
    <row r="31" spans="1:9" x14ac:dyDescent="0.3">
      <c r="A31" s="42" t="s">
        <v>1647</v>
      </c>
      <c r="B31" s="15"/>
      <c r="C31" s="14"/>
    </row>
    <row r="32" spans="1:9" x14ac:dyDescent="0.3">
      <c r="A32" s="14" t="s">
        <v>1656</v>
      </c>
      <c r="B32" s="15">
        <v>6</v>
      </c>
      <c r="C32" s="14" t="s">
        <v>3334</v>
      </c>
    </row>
    <row r="33" spans="1:9" x14ac:dyDescent="0.3">
      <c r="A33" s="14" t="s">
        <v>1651</v>
      </c>
      <c r="B33" s="55">
        <f>ElectricalContractorHourlyRate</f>
        <v>75</v>
      </c>
      <c r="C33" s="14"/>
    </row>
    <row r="34" spans="1:9" x14ac:dyDescent="0.3">
      <c r="A34" s="14" t="s">
        <v>1649</v>
      </c>
      <c r="B34" s="55">
        <f>B32*B33</f>
        <v>450</v>
      </c>
      <c r="C34" s="14"/>
    </row>
    <row r="35" spans="1:9" x14ac:dyDescent="0.3">
      <c r="A35" s="14" t="s">
        <v>1650</v>
      </c>
      <c r="B35" s="55">
        <v>0</v>
      </c>
      <c r="C35" s="14"/>
    </row>
    <row r="36" spans="1:9" x14ac:dyDescent="0.3">
      <c r="A36" s="14"/>
      <c r="B36" s="41"/>
      <c r="C36" s="14"/>
    </row>
    <row r="37" spans="1:9" x14ac:dyDescent="0.3">
      <c r="A37" s="14"/>
      <c r="B37" s="46" t="s">
        <v>2712</v>
      </c>
      <c r="C37" s="46" t="s">
        <v>2718</v>
      </c>
      <c r="D37" s="30" t="s">
        <v>1655</v>
      </c>
      <c r="E37" s="30" t="str">
        <f>Summary!C4</f>
        <v>2015/16</v>
      </c>
      <c r="F37" s="30" t="str">
        <f>Summary!D4</f>
        <v>2016/17</v>
      </c>
      <c r="G37" s="30" t="str">
        <f>Summary!E4</f>
        <v>2017/18</v>
      </c>
      <c r="H37" s="30" t="str">
        <f>Summary!F4</f>
        <v>2018/19</v>
      </c>
      <c r="I37" s="30" t="str">
        <f>Summary!G4</f>
        <v>2019/20</v>
      </c>
    </row>
    <row r="38" spans="1:9" x14ac:dyDescent="0.3">
      <c r="A38" s="14" t="s">
        <v>1648</v>
      </c>
      <c r="B38" s="40">
        <f>B27*HourlyRateAPAMaintenanceStaff+B28*HourlyRateAPAOMSupervisor</f>
        <v>91.498153846153869</v>
      </c>
      <c r="C38" s="40">
        <f>B38*$C$20</f>
        <v>1189.4760000000003</v>
      </c>
      <c r="D38" s="40">
        <f>C38*SUMPRODUCT(LabourAdjustmentFactor,E$25:I$25)</f>
        <v>1280.9355530625003</v>
      </c>
      <c r="E38" s="40">
        <f>$C38*E$25*'Modelling Assumptions'!E$101</f>
        <v>0</v>
      </c>
      <c r="F38" s="40">
        <f>$C38*F$25*'Modelling Assumptions'!F$101</f>
        <v>0</v>
      </c>
      <c r="G38" s="40">
        <f>$C38*G$25*'Modelling Assumptions'!G$101</f>
        <v>1280.9355530625003</v>
      </c>
      <c r="H38" s="40">
        <f>$C38*H$25*'Modelling Assumptions'!H$101</f>
        <v>0</v>
      </c>
      <c r="I38" s="40">
        <f>$C38*I$25*'Modelling Assumptions'!I$101</f>
        <v>0</v>
      </c>
    </row>
    <row r="39" spans="1:9" x14ac:dyDescent="0.3">
      <c r="A39" s="14" t="s">
        <v>1643</v>
      </c>
      <c r="B39" s="40">
        <f>B29</f>
        <v>0</v>
      </c>
      <c r="C39" s="40">
        <f>B39*$C$20</f>
        <v>0</v>
      </c>
      <c r="D39" s="40">
        <f>C39*SUMPRODUCT(MaterialsAdjustmentFactor,E$25:I$25)</f>
        <v>0</v>
      </c>
      <c r="E39" s="40">
        <f>$C39*E$25*'Modelling Assumptions'!E$102</f>
        <v>0</v>
      </c>
      <c r="F39" s="40">
        <f>$C39*F$25*'Modelling Assumptions'!F$102</f>
        <v>0</v>
      </c>
      <c r="G39" s="40">
        <f>$C39*G$25*'Modelling Assumptions'!G$102</f>
        <v>0</v>
      </c>
      <c r="H39" s="40">
        <f>$C39*H$25*'Modelling Assumptions'!H$102</f>
        <v>0</v>
      </c>
      <c r="I39" s="40">
        <f>$C39*I$25*'Modelling Assumptions'!I$102</f>
        <v>0</v>
      </c>
    </row>
    <row r="40" spans="1:9" x14ac:dyDescent="0.3">
      <c r="A40" s="14" t="s">
        <v>1649</v>
      </c>
      <c r="B40" s="40">
        <f>B34</f>
        <v>450</v>
      </c>
      <c r="C40" s="40">
        <f>B40*$C$20</f>
        <v>5850</v>
      </c>
      <c r="D40" s="47">
        <f>C40*SUMPRODUCT(LabourAdjustmentFactor,E$25:I$25)</f>
        <v>6299.8101562499996</v>
      </c>
      <c r="E40" s="40">
        <f>$C40*E$25*'Modelling Assumptions'!E$101</f>
        <v>0</v>
      </c>
      <c r="F40" s="40">
        <f>$C40*F$25*'Modelling Assumptions'!F$101</f>
        <v>0</v>
      </c>
      <c r="G40" s="40">
        <f>$C40*G$25*'Modelling Assumptions'!G$101</f>
        <v>6299.8101562499996</v>
      </c>
      <c r="H40" s="40">
        <f>$C40*H$25*'Modelling Assumptions'!H$101</f>
        <v>0</v>
      </c>
      <c r="I40" s="40">
        <f>$C40*I$25*'Modelling Assumptions'!I$101</f>
        <v>0</v>
      </c>
    </row>
    <row r="41" spans="1:9" x14ac:dyDescent="0.3">
      <c r="A41" s="14" t="s">
        <v>1650</v>
      </c>
      <c r="B41" s="40">
        <f>B35</f>
        <v>0</v>
      </c>
      <c r="C41" s="40">
        <f>B41*$C$20</f>
        <v>0</v>
      </c>
      <c r="D41" s="40">
        <f>C41*SUMPRODUCT(MaterialsAdjustmentFactor,E$25:I$25)</f>
        <v>0</v>
      </c>
      <c r="E41" s="40">
        <f>$C41*E$25*'Modelling Assumptions'!E$102</f>
        <v>0</v>
      </c>
      <c r="F41" s="40">
        <f>$C41*F$25*'Modelling Assumptions'!F$102</f>
        <v>0</v>
      </c>
      <c r="G41" s="40">
        <f>$C41*G$25*'Modelling Assumptions'!G$102</f>
        <v>0</v>
      </c>
      <c r="H41" s="40">
        <f>$C41*H$25*'Modelling Assumptions'!H$102</f>
        <v>0</v>
      </c>
      <c r="I41" s="40">
        <f>$C41*I$25*'Modelling Assumptions'!I$102</f>
        <v>0</v>
      </c>
    </row>
    <row r="42" spans="1:9" x14ac:dyDescent="0.3">
      <c r="B42" s="39"/>
      <c r="C42" s="39"/>
    </row>
    <row r="43" spans="1:9" x14ac:dyDescent="0.3">
      <c r="B43" s="39"/>
      <c r="C43" s="39"/>
    </row>
    <row r="44" spans="1:9" x14ac:dyDescent="0.3">
      <c r="B44" s="39"/>
      <c r="C44" s="39"/>
      <c r="E44" s="30" t="str">
        <f>Summary!C4</f>
        <v>2015/16</v>
      </c>
      <c r="F44" s="30" t="str">
        <f>Summary!D4</f>
        <v>2016/17</v>
      </c>
      <c r="G44" s="30" t="str">
        <f>Summary!E4</f>
        <v>2017/18</v>
      </c>
      <c r="H44" s="30" t="str">
        <f>Summary!F4</f>
        <v>2018/19</v>
      </c>
      <c r="I44" s="30" t="str">
        <f>Summary!G4</f>
        <v>2019/20</v>
      </c>
    </row>
    <row r="45" spans="1:9" x14ac:dyDescent="0.3">
      <c r="A45" s="45" t="s">
        <v>1379</v>
      </c>
      <c r="B45" s="45" t="s">
        <v>85</v>
      </c>
      <c r="C45" s="45"/>
      <c r="D45" s="45"/>
      <c r="E45" s="45">
        <v>0</v>
      </c>
      <c r="F45" s="45">
        <v>0</v>
      </c>
      <c r="G45" s="45">
        <v>0</v>
      </c>
      <c r="H45" s="45">
        <v>1</v>
      </c>
      <c r="I45" s="45">
        <v>0</v>
      </c>
    </row>
    <row r="46" spans="1:9" x14ac:dyDescent="0.3">
      <c r="A46" s="8" t="s">
        <v>1646</v>
      </c>
      <c r="C46" s="39"/>
    </row>
    <row r="47" spans="1:9" x14ac:dyDescent="0.3">
      <c r="A47" s="14" t="s">
        <v>1658</v>
      </c>
      <c r="B47" s="74">
        <f>APATechnicianHours/C20</f>
        <v>7.6923076923076927E-2</v>
      </c>
      <c r="C47" s="14" t="s">
        <v>1704</v>
      </c>
    </row>
    <row r="48" spans="1:9" x14ac:dyDescent="0.3">
      <c r="A48" s="14" t="s">
        <v>1997</v>
      </c>
      <c r="B48" s="74">
        <f>APASupervisorHours/C20</f>
        <v>0.66025641025641035</v>
      </c>
      <c r="C48" s="14" t="s">
        <v>1704</v>
      </c>
    </row>
    <row r="49" spans="1:9" x14ac:dyDescent="0.3">
      <c r="A49" s="14" t="s">
        <v>1643</v>
      </c>
      <c r="B49" s="55">
        <v>0</v>
      </c>
      <c r="C49" s="14"/>
    </row>
    <row r="50" spans="1:9" x14ac:dyDescent="0.3">
      <c r="A50" s="14"/>
      <c r="B50" s="55"/>
      <c r="C50" s="14"/>
    </row>
    <row r="51" spans="1:9" x14ac:dyDescent="0.3">
      <c r="A51" s="42" t="s">
        <v>1647</v>
      </c>
      <c r="B51" s="15"/>
      <c r="C51" s="14"/>
    </row>
    <row r="52" spans="1:9" x14ac:dyDescent="0.3">
      <c r="A52" s="14" t="s">
        <v>1656</v>
      </c>
      <c r="B52" s="15">
        <v>6</v>
      </c>
      <c r="C52" s="14" t="s">
        <v>3334</v>
      </c>
    </row>
    <row r="53" spans="1:9" x14ac:dyDescent="0.3">
      <c r="A53" s="14" t="s">
        <v>1651</v>
      </c>
      <c r="B53" s="55">
        <v>1</v>
      </c>
      <c r="C53" s="14"/>
    </row>
    <row r="54" spans="1:9" x14ac:dyDescent="0.3">
      <c r="A54" s="14" t="s">
        <v>1649</v>
      </c>
      <c r="B54" s="55">
        <f>B52*B53</f>
        <v>6</v>
      </c>
      <c r="C54" s="14"/>
    </row>
    <row r="55" spans="1:9" x14ac:dyDescent="0.3">
      <c r="A55" s="14" t="s">
        <v>1650</v>
      </c>
      <c r="B55" s="55">
        <v>0</v>
      </c>
      <c r="C55" s="14"/>
    </row>
    <row r="56" spans="1:9" x14ac:dyDescent="0.3">
      <c r="A56" s="14"/>
      <c r="B56" s="41"/>
      <c r="C56" s="14"/>
    </row>
    <row r="57" spans="1:9" x14ac:dyDescent="0.3">
      <c r="A57" s="14"/>
      <c r="B57" s="46" t="s">
        <v>2712</v>
      </c>
      <c r="C57" s="46" t="s">
        <v>2718</v>
      </c>
      <c r="D57" s="30" t="s">
        <v>1655</v>
      </c>
      <c r="E57" s="30" t="str">
        <f>Summary!C4</f>
        <v>2015/16</v>
      </c>
      <c r="F57" s="30" t="str">
        <f>Summary!D4</f>
        <v>2016/17</v>
      </c>
      <c r="G57" s="30" t="str">
        <f>Summary!E4</f>
        <v>2017/18</v>
      </c>
      <c r="H57" s="30" t="str">
        <f>Summary!F4</f>
        <v>2018/19</v>
      </c>
      <c r="I57" s="30" t="str">
        <f>Summary!G4</f>
        <v>2019/20</v>
      </c>
    </row>
    <row r="58" spans="1:9" x14ac:dyDescent="0.3">
      <c r="A58" s="14" t="s">
        <v>1648</v>
      </c>
      <c r="B58" s="40">
        <f>B47*HourlyRateAPAMaintenanceStaff+B48*HourlyRateAPAOMSupervisor</f>
        <v>91.498153846153869</v>
      </c>
      <c r="C58" s="40">
        <f>B58*$C$20</f>
        <v>1189.4760000000003</v>
      </c>
      <c r="D58" s="40">
        <f>C58*SUMPRODUCT(LabourAdjustmentFactor,E$45:I$45)</f>
        <v>1312.9589418890625</v>
      </c>
      <c r="E58" s="40">
        <f>$C58*E$45*'Modelling Assumptions'!E$101</f>
        <v>0</v>
      </c>
      <c r="F58" s="40">
        <f>$C58*F$45*'Modelling Assumptions'!F$101</f>
        <v>0</v>
      </c>
      <c r="G58" s="40">
        <f>$C58*G$45*'Modelling Assumptions'!G$101</f>
        <v>0</v>
      </c>
      <c r="H58" s="40">
        <f>$C58*H$45*'Modelling Assumptions'!H$101</f>
        <v>1312.9589418890625</v>
      </c>
      <c r="I58" s="40">
        <f>$C58*I$45*'Modelling Assumptions'!I$101</f>
        <v>0</v>
      </c>
    </row>
    <row r="59" spans="1:9" x14ac:dyDescent="0.3">
      <c r="A59" s="14" t="s">
        <v>1643</v>
      </c>
      <c r="B59" s="40">
        <f>B49</f>
        <v>0</v>
      </c>
      <c r="C59" s="40">
        <f>B59*$C$20</f>
        <v>0</v>
      </c>
      <c r="D59" s="40">
        <f>C59*SUMPRODUCT(MaterialsAdjustmentFactor,E$45:I$45)</f>
        <v>0</v>
      </c>
      <c r="E59" s="40">
        <f>$C59*E$45*'Modelling Assumptions'!E$102</f>
        <v>0</v>
      </c>
      <c r="F59" s="40">
        <f>$C59*F$45*'Modelling Assumptions'!F$102</f>
        <v>0</v>
      </c>
      <c r="G59" s="40">
        <f>$C59*G$45*'Modelling Assumptions'!G$102</f>
        <v>0</v>
      </c>
      <c r="H59" s="40">
        <f>$C59*H$45*'Modelling Assumptions'!H$102</f>
        <v>0</v>
      </c>
      <c r="I59" s="40">
        <f>$C59*I$45*'Modelling Assumptions'!I$102</f>
        <v>0</v>
      </c>
    </row>
    <row r="60" spans="1:9" x14ac:dyDescent="0.3">
      <c r="A60" s="14" t="s">
        <v>1649</v>
      </c>
      <c r="B60" s="40">
        <f>B54</f>
        <v>6</v>
      </c>
      <c r="C60" s="40">
        <f>B60*$C$20</f>
        <v>78</v>
      </c>
      <c r="D60" s="40">
        <f>C60*SUMPRODUCT(LabourAdjustmentFactor,E$45:I$45)</f>
        <v>86.097405468749983</v>
      </c>
      <c r="E60" s="40">
        <f>$C60*E$45*'Modelling Assumptions'!E$101</f>
        <v>0</v>
      </c>
      <c r="F60" s="40">
        <f>$C60*F$45*'Modelling Assumptions'!F$101</f>
        <v>0</v>
      </c>
      <c r="G60" s="40">
        <f>$C60*G$45*'Modelling Assumptions'!G$101</f>
        <v>0</v>
      </c>
      <c r="H60" s="40">
        <f>$C60*H$45*'Modelling Assumptions'!H$101</f>
        <v>86.097405468749983</v>
      </c>
      <c r="I60" s="40">
        <f>$C60*I$45*'Modelling Assumptions'!I$101</f>
        <v>0</v>
      </c>
    </row>
    <row r="61" spans="1:9" x14ac:dyDescent="0.3">
      <c r="A61" s="14" t="s">
        <v>1650</v>
      </c>
      <c r="B61" s="40">
        <f>B55</f>
        <v>0</v>
      </c>
      <c r="C61" s="40">
        <f>B61*$C$20</f>
        <v>0</v>
      </c>
      <c r="D61" s="40">
        <f>C61*SUMPRODUCT(MaterialsAdjustmentFactor,E$45:I$45)</f>
        <v>0</v>
      </c>
      <c r="E61" s="40">
        <f>$C61*E$45*'Modelling Assumptions'!E$102</f>
        <v>0</v>
      </c>
      <c r="F61" s="40">
        <f>$C61*F$45*'Modelling Assumptions'!F$102</f>
        <v>0</v>
      </c>
      <c r="G61" s="40">
        <f>$C61*G$45*'Modelling Assumptions'!G$102</f>
        <v>0</v>
      </c>
      <c r="H61" s="40">
        <f>$C61*H$45*'Modelling Assumptions'!H$102</f>
        <v>0</v>
      </c>
      <c r="I61" s="40">
        <f>$C61*I$45*'Modelling Assumptions'!I$102</f>
        <v>0</v>
      </c>
    </row>
    <row r="62" spans="1:9" x14ac:dyDescent="0.3">
      <c r="A62" s="14"/>
      <c r="B62" s="41"/>
      <c r="C62" s="14"/>
    </row>
    <row r="63" spans="1:9" x14ac:dyDescent="0.3">
      <c r="A63" s="14"/>
      <c r="B63" s="41"/>
      <c r="C63" s="14"/>
    </row>
    <row r="64" spans="1:9" x14ac:dyDescent="0.3">
      <c r="E64" s="30" t="str">
        <f>Summary!C4</f>
        <v>2015/16</v>
      </c>
      <c r="F64" s="30" t="str">
        <f>Summary!D4</f>
        <v>2016/17</v>
      </c>
      <c r="G64" s="30" t="str">
        <f>Summary!E4</f>
        <v>2017/18</v>
      </c>
      <c r="H64" s="30" t="str">
        <f>Summary!F4</f>
        <v>2018/19</v>
      </c>
      <c r="I64" s="30" t="str">
        <f>Summary!G4</f>
        <v>2019/20</v>
      </c>
    </row>
    <row r="65" spans="1:9" x14ac:dyDescent="0.3">
      <c r="A65" s="45" t="s">
        <v>1380</v>
      </c>
      <c r="B65" s="45" t="s">
        <v>17</v>
      </c>
      <c r="C65" s="45"/>
      <c r="D65" s="45"/>
      <c r="E65" s="45">
        <v>1</v>
      </c>
      <c r="F65" s="45">
        <v>0</v>
      </c>
      <c r="G65" s="45">
        <v>0</v>
      </c>
      <c r="H65" s="45">
        <v>0</v>
      </c>
      <c r="I65" s="45">
        <v>0</v>
      </c>
    </row>
    <row r="66" spans="1:9" x14ac:dyDescent="0.3">
      <c r="A66" s="8" t="s">
        <v>1646</v>
      </c>
      <c r="C66" s="39"/>
    </row>
    <row r="67" spans="1:9" x14ac:dyDescent="0.3">
      <c r="A67" s="14" t="s">
        <v>1658</v>
      </c>
      <c r="B67" s="78">
        <f>B92/C20</f>
        <v>33.230769230769234</v>
      </c>
      <c r="C67" s="14" t="s">
        <v>2092</v>
      </c>
    </row>
    <row r="68" spans="1:9" x14ac:dyDescent="0.3">
      <c r="A68" s="14" t="s">
        <v>1997</v>
      </c>
      <c r="B68" s="74">
        <f>2*APASupervisorHours/C20</f>
        <v>1.3205128205128207</v>
      </c>
      <c r="C68" s="14" t="s">
        <v>2091</v>
      </c>
    </row>
    <row r="69" spans="1:9" x14ac:dyDescent="0.3">
      <c r="A69" s="14" t="s">
        <v>1643</v>
      </c>
      <c r="B69" s="56">
        <f>B95/C20</f>
        <v>461.53846153846155</v>
      </c>
      <c r="C69" s="14" t="s">
        <v>1705</v>
      </c>
    </row>
    <row r="70" spans="1:9" x14ac:dyDescent="0.3">
      <c r="A70" s="14"/>
      <c r="B70" s="41"/>
      <c r="C70" s="14"/>
    </row>
    <row r="71" spans="1:9" x14ac:dyDescent="0.3">
      <c r="A71" s="42" t="s">
        <v>1647</v>
      </c>
      <c r="B71" s="7"/>
      <c r="C71" s="14"/>
    </row>
    <row r="72" spans="1:9" x14ac:dyDescent="0.3">
      <c r="A72" s="14" t="s">
        <v>1656</v>
      </c>
      <c r="B72" s="7"/>
      <c r="C72" s="14"/>
    </row>
    <row r="73" spans="1:9" x14ac:dyDescent="0.3">
      <c r="A73" s="14" t="s">
        <v>1651</v>
      </c>
      <c r="B73" s="41"/>
      <c r="C73" s="14"/>
    </row>
    <row r="74" spans="1:9" x14ac:dyDescent="0.3">
      <c r="A74" s="14" t="s">
        <v>1649</v>
      </c>
      <c r="B74" s="55">
        <f>B109/C20</f>
        <v>22572.274038461535</v>
      </c>
      <c r="C74" s="14" t="s">
        <v>1695</v>
      </c>
    </row>
    <row r="75" spans="1:9" x14ac:dyDescent="0.3">
      <c r="A75" s="14" t="s">
        <v>1650</v>
      </c>
      <c r="B75" s="55">
        <v>0</v>
      </c>
      <c r="C75" s="7"/>
    </row>
    <row r="77" spans="1:9" x14ac:dyDescent="0.3">
      <c r="A77" s="14"/>
      <c r="B77" s="46" t="s">
        <v>2712</v>
      </c>
      <c r="C77" s="46" t="s">
        <v>2718</v>
      </c>
      <c r="D77" s="30" t="s">
        <v>1655</v>
      </c>
      <c r="E77" s="30" t="str">
        <f>Summary!C4</f>
        <v>2015/16</v>
      </c>
      <c r="F77" s="30" t="str">
        <f>Summary!D4</f>
        <v>2016/17</v>
      </c>
      <c r="G77" s="30" t="str">
        <f>Summary!E4</f>
        <v>2017/18</v>
      </c>
      <c r="H77" s="30" t="str">
        <f>Summary!F4</f>
        <v>2018/19</v>
      </c>
      <c r="I77" s="30" t="str">
        <f>Summary!G4</f>
        <v>2019/20</v>
      </c>
    </row>
    <row r="78" spans="1:9" x14ac:dyDescent="0.3">
      <c r="A78" s="14" t="s">
        <v>1648</v>
      </c>
      <c r="B78" s="40">
        <f>B67*HourlyRateAPAMaintenanceStaff+B68*HourlyRateAPAOMSupervisor</f>
        <v>3498.9909230769235</v>
      </c>
      <c r="C78" s="40">
        <f>B78*$C$20</f>
        <v>45486.882000000005</v>
      </c>
      <c r="D78" s="40">
        <f>C78*SUMPRODUCT(LabourAdjustmentFactor,E$65:I$65)</f>
        <v>46624.054049999999</v>
      </c>
      <c r="E78" s="40">
        <f>$C78*E$65*'Modelling Assumptions'!E$101</f>
        <v>46624.054049999999</v>
      </c>
      <c r="F78" s="40">
        <f>$C78*F$65*'Modelling Assumptions'!F$101</f>
        <v>0</v>
      </c>
      <c r="G78" s="40">
        <f>$C78*G$65*'Modelling Assumptions'!G$101</f>
        <v>0</v>
      </c>
      <c r="H78" s="40">
        <f>$C78*H$65*'Modelling Assumptions'!H$101</f>
        <v>0</v>
      </c>
      <c r="I78" s="40">
        <f>$C78*I$65*'Modelling Assumptions'!I$101</f>
        <v>0</v>
      </c>
    </row>
    <row r="79" spans="1:9" x14ac:dyDescent="0.3">
      <c r="A79" s="14" t="s">
        <v>1643</v>
      </c>
      <c r="B79" s="40">
        <f>B69</f>
        <v>461.53846153846155</v>
      </c>
      <c r="C79" s="40">
        <f>B79*$C$20</f>
        <v>6000</v>
      </c>
      <c r="D79" s="40">
        <f>C79*SUMPRODUCT(MaterialsAdjustmentFactor,E$65:I$65)</f>
        <v>6180</v>
      </c>
      <c r="E79" s="40">
        <f>$C79*E$65*'Modelling Assumptions'!E$102</f>
        <v>6180</v>
      </c>
      <c r="F79" s="40">
        <f>$C79*F$65*'Modelling Assumptions'!F$102</f>
        <v>0</v>
      </c>
      <c r="G79" s="40">
        <f>$C79*G$65*'Modelling Assumptions'!G$102</f>
        <v>0</v>
      </c>
      <c r="H79" s="40">
        <f>$C79*H$65*'Modelling Assumptions'!H$102</f>
        <v>0</v>
      </c>
      <c r="I79" s="40">
        <f>$C79*I$65*'Modelling Assumptions'!I$102</f>
        <v>0</v>
      </c>
    </row>
    <row r="80" spans="1:9" x14ac:dyDescent="0.3">
      <c r="A80" s="14" t="s">
        <v>1649</v>
      </c>
      <c r="B80" s="40">
        <f>B74</f>
        <v>22572.274038461535</v>
      </c>
      <c r="C80" s="40">
        <f>B80*$C$20</f>
        <v>293439.56249999994</v>
      </c>
      <c r="D80" s="40">
        <f>C80*SUMPRODUCT(LabourAdjustmentFactor,E$65:I$65)</f>
        <v>300775.5515624999</v>
      </c>
      <c r="E80" s="40">
        <f>$C80*E$65*'Modelling Assumptions'!E$101</f>
        <v>300775.5515624999</v>
      </c>
      <c r="F80" s="40">
        <f>$C80*F$65*'Modelling Assumptions'!F$101</f>
        <v>0</v>
      </c>
      <c r="G80" s="40">
        <f>$C80*G$65*'Modelling Assumptions'!G$101</f>
        <v>0</v>
      </c>
      <c r="H80" s="40">
        <f>$C80*H$65*'Modelling Assumptions'!H$101</f>
        <v>0</v>
      </c>
      <c r="I80" s="40">
        <f>$C80*I$65*'Modelling Assumptions'!I$101</f>
        <v>0</v>
      </c>
    </row>
    <row r="81" spans="1:9" x14ac:dyDescent="0.3">
      <c r="A81" s="14" t="s">
        <v>1650</v>
      </c>
      <c r="B81" s="40">
        <f>B75</f>
        <v>0</v>
      </c>
      <c r="C81" s="40">
        <f>B81*$C$20</f>
        <v>0</v>
      </c>
      <c r="D81" s="40">
        <f>C81*SUMPRODUCT(MaterialsAdjustmentFactor,E$65:I$65)</f>
        <v>0</v>
      </c>
      <c r="E81" s="40">
        <f>$C81*E$65*'Modelling Assumptions'!E$102</f>
        <v>0</v>
      </c>
      <c r="F81" s="40">
        <f>$C81*F$65*'Modelling Assumptions'!F$102</f>
        <v>0</v>
      </c>
      <c r="G81" s="40">
        <f>$C81*G$65*'Modelling Assumptions'!G$102</f>
        <v>0</v>
      </c>
      <c r="H81" s="40">
        <f>$C81*H$65*'Modelling Assumptions'!H$102</f>
        <v>0</v>
      </c>
      <c r="I81" s="40">
        <f>$C81*I$65*'Modelling Assumptions'!I$102</f>
        <v>0</v>
      </c>
    </row>
    <row r="83" spans="1:9" x14ac:dyDescent="0.3">
      <c r="A83" s="48" t="s">
        <v>1691</v>
      </c>
      <c r="B83" s="11"/>
      <c r="C83" s="11"/>
      <c r="D83" s="11"/>
      <c r="E83" s="11"/>
      <c r="F83" s="11"/>
      <c r="G83" s="11"/>
      <c r="H83" s="11"/>
      <c r="I83" s="11"/>
    </row>
    <row r="85" spans="1:9" s="301" customFormat="1" x14ac:dyDescent="0.3">
      <c r="A85" s="301" t="s">
        <v>3331</v>
      </c>
    </row>
    <row r="86" spans="1:9" s="301" customFormat="1" x14ac:dyDescent="0.3">
      <c r="A86" s="301" t="s">
        <v>3332</v>
      </c>
    </row>
    <row r="87" spans="1:9" s="301" customFormat="1" x14ac:dyDescent="0.3"/>
    <row r="88" spans="1:9" x14ac:dyDescent="0.3">
      <c r="A88" s="48" t="s">
        <v>1697</v>
      </c>
      <c r="C88" t="s">
        <v>3333</v>
      </c>
    </row>
    <row r="89" spans="1:9" x14ac:dyDescent="0.3">
      <c r="A89" s="52" t="s">
        <v>1698</v>
      </c>
      <c r="B89" s="15">
        <v>8</v>
      </c>
      <c r="C89" t="s">
        <v>1699</v>
      </c>
    </row>
    <row r="90" spans="1:9" x14ac:dyDescent="0.3">
      <c r="A90" s="52" t="s">
        <v>1700</v>
      </c>
      <c r="B90" s="15">
        <v>2</v>
      </c>
      <c r="C90" t="s">
        <v>1703</v>
      </c>
    </row>
    <row r="91" spans="1:9" x14ac:dyDescent="0.3">
      <c r="A91" t="s">
        <v>1701</v>
      </c>
      <c r="B91">
        <f>B89*B90</f>
        <v>16</v>
      </c>
    </row>
    <row r="92" spans="1:9" x14ac:dyDescent="0.3">
      <c r="A92" t="s">
        <v>1702</v>
      </c>
      <c r="B92">
        <f>B91*C102</f>
        <v>432</v>
      </c>
    </row>
    <row r="94" spans="1:9" x14ac:dyDescent="0.3">
      <c r="A94" s="48" t="s">
        <v>1643</v>
      </c>
      <c r="C94" t="s">
        <v>1706</v>
      </c>
    </row>
    <row r="95" spans="1:9" x14ac:dyDescent="0.3">
      <c r="A95" t="s">
        <v>2251</v>
      </c>
      <c r="B95" s="55">
        <v>6000</v>
      </c>
    </row>
    <row r="97" spans="1:9" x14ac:dyDescent="0.3">
      <c r="A97" s="48" t="s">
        <v>1696</v>
      </c>
    </row>
    <row r="98" spans="1:9" x14ac:dyDescent="0.3">
      <c r="B98" s="31" t="s">
        <v>1693</v>
      </c>
      <c r="C98" s="31" t="s">
        <v>1694</v>
      </c>
      <c r="D98" s="31" t="s">
        <v>1692</v>
      </c>
      <c r="E98" s="321" t="s">
        <v>3070</v>
      </c>
    </row>
    <row r="99" spans="1:9" x14ac:dyDescent="0.3">
      <c r="A99" t="s">
        <v>1493</v>
      </c>
      <c r="B99" s="31">
        <v>3</v>
      </c>
      <c r="C99" s="31">
        <v>3</v>
      </c>
      <c r="D99" s="32">
        <v>1</v>
      </c>
      <c r="E99" s="53">
        <f>(B99*$B$106+C99*$B$107)*D99</f>
        <v>29942.812499999996</v>
      </c>
    </row>
    <row r="100" spans="1:9" x14ac:dyDescent="0.3">
      <c r="A100" t="s">
        <v>1494</v>
      </c>
      <c r="B100" s="31">
        <v>3</v>
      </c>
      <c r="C100" s="31">
        <v>3</v>
      </c>
      <c r="D100" s="31">
        <v>6</v>
      </c>
      <c r="E100" s="53">
        <f t="shared" ref="E100:E101" si="5">(B100*$B$106+C100*$B$107)*D100</f>
        <v>179656.87499999997</v>
      </c>
    </row>
    <row r="101" spans="1:9" x14ac:dyDescent="0.3">
      <c r="A101" t="s">
        <v>1495</v>
      </c>
      <c r="B101" s="31">
        <v>3</v>
      </c>
      <c r="C101" s="31">
        <v>1</v>
      </c>
      <c r="D101" s="31">
        <v>6</v>
      </c>
      <c r="E101" s="53">
        <f t="shared" si="5"/>
        <v>83839.874999999985</v>
      </c>
    </row>
    <row r="102" spans="1:9" x14ac:dyDescent="0.3">
      <c r="A102" s="112" t="s">
        <v>2741</v>
      </c>
      <c r="B102" s="112">
        <f>SUMPRODUCT(B99:B101,D99:D101)</f>
        <v>39</v>
      </c>
      <c r="C102" s="112">
        <f>SUMPRODUCT(C99:C101,D99:D101)</f>
        <v>27</v>
      </c>
      <c r="D102" s="112">
        <f>SUM(D99:D101)</f>
        <v>13</v>
      </c>
      <c r="E102" s="33">
        <f>SUM(E99:E101)</f>
        <v>293439.56249999994</v>
      </c>
    </row>
    <row r="104" spans="1:9" x14ac:dyDescent="0.3">
      <c r="A104" t="s">
        <v>2350</v>
      </c>
      <c r="B104" s="33">
        <v>9500</v>
      </c>
      <c r="C104" s="15" t="s">
        <v>1690</v>
      </c>
    </row>
    <row r="105" spans="1:9" x14ac:dyDescent="0.3">
      <c r="C105" s="15"/>
    </row>
    <row r="106" spans="1:9" x14ac:dyDescent="0.3">
      <c r="A106" t="s">
        <v>1688</v>
      </c>
      <c r="B106" s="55">
        <f>B104*0.2*POWER(1+InflationContractorLabour,2014-2012)</f>
        <v>1996.1874999999998</v>
      </c>
      <c r="C106" s="15" t="s">
        <v>2721</v>
      </c>
    </row>
    <row r="107" spans="1:9" x14ac:dyDescent="0.3">
      <c r="A107" t="s">
        <v>1689</v>
      </c>
      <c r="B107" s="55">
        <f>B104*0.8*POWER(1+InflationContractorLabour,2014-2012)</f>
        <v>7984.7499999999991</v>
      </c>
      <c r="C107" s="15" t="s">
        <v>2722</v>
      </c>
    </row>
    <row r="108" spans="1:9" x14ac:dyDescent="0.3">
      <c r="B108" s="41"/>
      <c r="C108" s="7"/>
    </row>
    <row r="109" spans="1:9" x14ac:dyDescent="0.3">
      <c r="A109" t="s">
        <v>1707</v>
      </c>
      <c r="B109" s="33">
        <f>SUM(E99:E101)</f>
        <v>293439.56249999994</v>
      </c>
    </row>
    <row r="112" spans="1:9" x14ac:dyDescent="0.3">
      <c r="A112" s="10" t="s">
        <v>1641</v>
      </c>
      <c r="B112" s="44"/>
      <c r="C112" s="44"/>
      <c r="D112" s="10"/>
      <c r="E112" s="10"/>
      <c r="F112" s="10"/>
      <c r="G112" s="10"/>
      <c r="H112" s="10"/>
      <c r="I112" s="10"/>
    </row>
    <row r="113" spans="1:4" x14ac:dyDescent="0.3">
      <c r="A113" t="s">
        <v>3</v>
      </c>
      <c r="B113" t="s">
        <v>2</v>
      </c>
      <c r="C113" t="s">
        <v>1</v>
      </c>
    </row>
    <row r="114" spans="1:4" x14ac:dyDescent="0.3">
      <c r="A114" t="s">
        <v>1094</v>
      </c>
      <c r="B114" t="s">
        <v>12</v>
      </c>
    </row>
    <row r="115" spans="1:4" x14ac:dyDescent="0.3">
      <c r="A115" t="s">
        <v>11</v>
      </c>
      <c r="B115" t="s">
        <v>10</v>
      </c>
      <c r="C115" t="s">
        <v>9</v>
      </c>
      <c r="D115" t="s">
        <v>276</v>
      </c>
    </row>
    <row r="116" spans="1:4" x14ac:dyDescent="0.3">
      <c r="A116" t="s">
        <v>233</v>
      </c>
      <c r="B116" t="s">
        <v>10</v>
      </c>
      <c r="C116" t="s">
        <v>93</v>
      </c>
      <c r="D116" t="s">
        <v>276</v>
      </c>
    </row>
    <row r="117" spans="1:4" x14ac:dyDescent="0.3">
      <c r="A117" t="s">
        <v>277</v>
      </c>
      <c r="B117" t="s">
        <v>10</v>
      </c>
      <c r="C117" t="s">
        <v>108</v>
      </c>
      <c r="D117" t="s">
        <v>276</v>
      </c>
    </row>
    <row r="118" spans="1:4" x14ac:dyDescent="0.3">
      <c r="A118" t="s">
        <v>374</v>
      </c>
      <c r="B118" t="s">
        <v>10</v>
      </c>
      <c r="C118" t="s">
        <v>335</v>
      </c>
      <c r="D118" t="s">
        <v>373</v>
      </c>
    </row>
    <row r="119" spans="1:4" x14ac:dyDescent="0.3">
      <c r="A119" t="s">
        <v>422</v>
      </c>
      <c r="B119" t="s">
        <v>10</v>
      </c>
      <c r="C119" t="s">
        <v>346</v>
      </c>
      <c r="D119" t="s">
        <v>373</v>
      </c>
    </row>
    <row r="120" spans="1:4" x14ac:dyDescent="0.3">
      <c r="A120" t="s">
        <v>466</v>
      </c>
      <c r="B120" t="s">
        <v>10</v>
      </c>
      <c r="C120" t="s">
        <v>358</v>
      </c>
      <c r="D120" t="s">
        <v>373</v>
      </c>
    </row>
    <row r="122" spans="1:4" x14ac:dyDescent="0.3">
      <c r="A122" t="s">
        <v>1095</v>
      </c>
      <c r="B122" t="s">
        <v>85</v>
      </c>
    </row>
    <row r="123" spans="1:4" x14ac:dyDescent="0.3">
      <c r="A123" t="s">
        <v>128</v>
      </c>
      <c r="B123" t="s">
        <v>127</v>
      </c>
      <c r="C123" t="s">
        <v>44</v>
      </c>
      <c r="D123" t="s">
        <v>421</v>
      </c>
    </row>
    <row r="124" spans="1:4" x14ac:dyDescent="0.3">
      <c r="A124" t="s">
        <v>234</v>
      </c>
      <c r="B124" t="s">
        <v>127</v>
      </c>
      <c r="C124" t="s">
        <v>93</v>
      </c>
      <c r="D124" t="s">
        <v>421</v>
      </c>
    </row>
    <row r="125" spans="1:4" x14ac:dyDescent="0.3">
      <c r="A125" t="s">
        <v>278</v>
      </c>
      <c r="B125" t="s">
        <v>127</v>
      </c>
      <c r="C125" t="s">
        <v>108</v>
      </c>
      <c r="D125" t="s">
        <v>421</v>
      </c>
    </row>
    <row r="126" spans="1:4" x14ac:dyDescent="0.3">
      <c r="A126" t="s">
        <v>375</v>
      </c>
      <c r="B126" t="s">
        <v>127</v>
      </c>
      <c r="C126" t="s">
        <v>335</v>
      </c>
      <c r="D126" t="s">
        <v>464</v>
      </c>
    </row>
    <row r="127" spans="1:4" x14ac:dyDescent="0.3">
      <c r="A127" t="s">
        <v>423</v>
      </c>
      <c r="B127" t="s">
        <v>127</v>
      </c>
      <c r="C127" t="s">
        <v>346</v>
      </c>
      <c r="D127" t="s">
        <v>464</v>
      </c>
    </row>
    <row r="128" spans="1:4" x14ac:dyDescent="0.3">
      <c r="A128" t="s">
        <v>465</v>
      </c>
      <c r="B128" t="s">
        <v>127</v>
      </c>
      <c r="C128" t="s">
        <v>358</v>
      </c>
      <c r="D128" t="s">
        <v>464</v>
      </c>
    </row>
    <row r="130" spans="1:4" x14ac:dyDescent="0.3">
      <c r="A130" t="s">
        <v>1096</v>
      </c>
      <c r="B130" t="s">
        <v>17</v>
      </c>
    </row>
    <row r="131" spans="1:4" x14ac:dyDescent="0.3">
      <c r="A131" t="s">
        <v>21</v>
      </c>
      <c r="B131" t="s">
        <v>20</v>
      </c>
      <c r="C131" t="s">
        <v>9</v>
      </c>
      <c r="D131" t="s">
        <v>8</v>
      </c>
    </row>
    <row r="132" spans="1:4" x14ac:dyDescent="0.3">
      <c r="A132" t="s">
        <v>235</v>
      </c>
      <c r="B132" t="s">
        <v>20</v>
      </c>
      <c r="C132" t="s">
        <v>93</v>
      </c>
      <c r="D132" t="s">
        <v>8</v>
      </c>
    </row>
    <row r="133" spans="1:4" x14ac:dyDescent="0.3">
      <c r="A133" t="s">
        <v>279</v>
      </c>
      <c r="B133" t="s">
        <v>20</v>
      </c>
      <c r="C133" t="s">
        <v>108</v>
      </c>
      <c r="D133" t="s">
        <v>126</v>
      </c>
    </row>
    <row r="134" spans="1:4" x14ac:dyDescent="0.3">
      <c r="A134" t="s">
        <v>376</v>
      </c>
      <c r="B134" t="s">
        <v>20</v>
      </c>
      <c r="C134" t="s">
        <v>335</v>
      </c>
      <c r="D134" t="s">
        <v>232</v>
      </c>
    </row>
    <row r="135" spans="1:4" x14ac:dyDescent="0.3">
      <c r="A135" t="s">
        <v>424</v>
      </c>
      <c r="B135" t="s">
        <v>20</v>
      </c>
      <c r="C135" t="s">
        <v>346</v>
      </c>
      <c r="D135" t="s">
        <v>232</v>
      </c>
    </row>
    <row r="136" spans="1:4" x14ac:dyDescent="0.3">
      <c r="A136" t="s">
        <v>467</v>
      </c>
      <c r="B136" t="s">
        <v>20</v>
      </c>
      <c r="C136" t="s">
        <v>358</v>
      </c>
      <c r="D136" t="s">
        <v>232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C8C800"/>
    <pageSetUpPr fitToPage="1"/>
  </sheetPr>
  <dimension ref="A1:I48"/>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224</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s="301" t="s">
        <v>1648</v>
      </c>
      <c r="B3" s="40"/>
      <c r="C3" s="33"/>
      <c r="D3" s="33">
        <f t="shared" ref="D3:I6" si="0">D33</f>
        <v>1280.9355530625</v>
      </c>
      <c r="E3" s="33">
        <f t="shared" si="0"/>
        <v>0</v>
      </c>
      <c r="F3" s="33">
        <f t="shared" si="0"/>
        <v>0</v>
      </c>
      <c r="G3" s="33">
        <f t="shared" si="0"/>
        <v>1280.9355530625</v>
      </c>
      <c r="H3" s="33">
        <f t="shared" si="0"/>
        <v>0</v>
      </c>
      <c r="I3" s="33">
        <f t="shared" si="0"/>
        <v>0</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1453.8023437499999</v>
      </c>
      <c r="E5" s="33">
        <f t="shared" si="0"/>
        <v>0</v>
      </c>
      <c r="F5" s="33">
        <f t="shared" si="0"/>
        <v>0</v>
      </c>
      <c r="G5" s="33">
        <f t="shared" si="0"/>
        <v>1453.8023437499999</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3098</v>
      </c>
    </row>
    <row r="12" spans="1:9" ht="15" x14ac:dyDescent="0.25">
      <c r="A12" t="s">
        <v>1636</v>
      </c>
    </row>
    <row r="13" spans="1:9" ht="15" x14ac:dyDescent="0.25">
      <c r="B13" s="39" t="s">
        <v>1603</v>
      </c>
      <c r="C13" s="39">
        <v>18</v>
      </c>
    </row>
    <row r="14" spans="1:9" ht="15" x14ac:dyDescent="0.25">
      <c r="A14" s="12" t="s">
        <v>1640</v>
      </c>
      <c r="B14" s="12"/>
      <c r="C14" s="12">
        <f>C13</f>
        <v>18</v>
      </c>
    </row>
    <row r="16" spans="1:9" s="301" customFormat="1" ht="15" x14ac:dyDescent="0.25">
      <c r="A16" s="301" t="s">
        <v>1992</v>
      </c>
    </row>
    <row r="17" spans="1:9" s="301" customFormat="1" ht="15" x14ac:dyDescent="0.25">
      <c r="A17" s="301" t="s">
        <v>3254</v>
      </c>
    </row>
    <row r="18" spans="1:9" s="301" customFormat="1" ht="15" x14ac:dyDescent="0.25"/>
    <row r="19" spans="1:9" ht="15" x14ac:dyDescent="0.25">
      <c r="E19" s="30" t="str">
        <f>Summary!C4</f>
        <v>2015/16</v>
      </c>
      <c r="F19" s="30" t="str">
        <f>Summary!D4</f>
        <v>2016/17</v>
      </c>
      <c r="G19" s="30" t="str">
        <f>Summary!E4</f>
        <v>2017/18</v>
      </c>
      <c r="H19" s="30" t="str">
        <f>Summary!F4</f>
        <v>2018/19</v>
      </c>
      <c r="I19" s="30" t="str">
        <f>Summary!G4</f>
        <v>2019/20</v>
      </c>
    </row>
    <row r="20" spans="1:9" x14ac:dyDescent="0.3">
      <c r="A20" s="45" t="s">
        <v>1093</v>
      </c>
      <c r="B20" s="16" t="s">
        <v>12</v>
      </c>
      <c r="C20" s="43"/>
      <c r="D20" s="16"/>
      <c r="E20" s="16">
        <v>0</v>
      </c>
      <c r="F20" s="16">
        <v>0</v>
      </c>
      <c r="G20" s="16">
        <v>1</v>
      </c>
      <c r="H20" s="16">
        <v>0</v>
      </c>
      <c r="I20" s="16">
        <v>0</v>
      </c>
    </row>
    <row r="21" spans="1:9" ht="15" x14ac:dyDescent="0.25">
      <c r="A21" s="8" t="s">
        <v>1646</v>
      </c>
      <c r="C21" s="39"/>
    </row>
    <row r="22" spans="1:9" ht="15" x14ac:dyDescent="0.25">
      <c r="A22" s="14" t="s">
        <v>1658</v>
      </c>
      <c r="B22" s="74">
        <f>APATechnicianHours/C14</f>
        <v>5.5555555555555552E-2</v>
      </c>
      <c r="C22" s="14" t="s">
        <v>1708</v>
      </c>
    </row>
    <row r="23" spans="1:9" ht="15" x14ac:dyDescent="0.25">
      <c r="A23" s="14" t="s">
        <v>1997</v>
      </c>
      <c r="B23" s="74">
        <f>APASupervisorHours/C14</f>
        <v>0.47685185185185186</v>
      </c>
      <c r="C23" s="14" t="s">
        <v>1708</v>
      </c>
    </row>
    <row r="24" spans="1:9" ht="15" x14ac:dyDescent="0.25">
      <c r="A24" s="14" t="s">
        <v>1643</v>
      </c>
      <c r="B24" s="55">
        <v>0</v>
      </c>
      <c r="C24" s="14" t="s">
        <v>3262</v>
      </c>
    </row>
    <row r="25" spans="1:9" ht="15" x14ac:dyDescent="0.25">
      <c r="A25" s="14"/>
      <c r="B25" s="41"/>
      <c r="C25" s="14"/>
    </row>
    <row r="26" spans="1:9" ht="15" x14ac:dyDescent="0.25">
      <c r="A26" s="42" t="s">
        <v>1647</v>
      </c>
      <c r="B26" s="7"/>
      <c r="C26" s="14"/>
    </row>
    <row r="27" spans="1:9" ht="15" x14ac:dyDescent="0.25">
      <c r="A27" s="14" t="s">
        <v>1656</v>
      </c>
      <c r="B27" s="15">
        <v>1</v>
      </c>
      <c r="C27" s="14" t="s">
        <v>3472</v>
      </c>
    </row>
    <row r="28" spans="1:9" ht="15" x14ac:dyDescent="0.25">
      <c r="A28" s="14" t="s">
        <v>1651</v>
      </c>
      <c r="B28" s="55">
        <f>ElectricalContractorHourlyRate</f>
        <v>75</v>
      </c>
      <c r="C28" s="14"/>
    </row>
    <row r="29" spans="1:9" ht="15" x14ac:dyDescent="0.25">
      <c r="A29" s="14" t="s">
        <v>1649</v>
      </c>
      <c r="B29" s="55">
        <f>B27*B28</f>
        <v>75</v>
      </c>
      <c r="C29" s="14"/>
    </row>
    <row r="30" spans="1:9" ht="15" x14ac:dyDescent="0.25">
      <c r="A30" s="14" t="s">
        <v>1650</v>
      </c>
      <c r="B30" s="55">
        <v>0</v>
      </c>
      <c r="C30" s="7"/>
    </row>
    <row r="32" spans="1:9" x14ac:dyDescent="0.3">
      <c r="A32" s="14"/>
      <c r="B32" s="46" t="s">
        <v>2712</v>
      </c>
      <c r="C32" s="46" t="s">
        <v>2720</v>
      </c>
      <c r="D32" s="30" t="s">
        <v>1655</v>
      </c>
      <c r="E32" s="30" t="str">
        <f>Summary!C4</f>
        <v>2015/16</v>
      </c>
      <c r="F32" s="30" t="str">
        <f>Summary!D4</f>
        <v>2016/17</v>
      </c>
      <c r="G32" s="30" t="str">
        <f>Summary!E4</f>
        <v>2017/18</v>
      </c>
      <c r="H32" s="30" t="str">
        <f>Summary!F4</f>
        <v>2018/19</v>
      </c>
      <c r="I32" s="30" t="str">
        <f>Summary!G4</f>
        <v>2019/20</v>
      </c>
    </row>
    <row r="33" spans="1:9" x14ac:dyDescent="0.3">
      <c r="A33" s="14" t="s">
        <v>1648</v>
      </c>
      <c r="B33" s="40">
        <f>B22*HourlyRateAPAMaintenanceStaff+B23*HourlyRateAPAOMSupervisor</f>
        <v>66.082000000000008</v>
      </c>
      <c r="C33" s="40">
        <f>B33*$C$14</f>
        <v>1189.4760000000001</v>
      </c>
      <c r="D33" s="40">
        <f>C33*SUMPRODUCT(LabourAdjustmentFactor,E$20:I$20)</f>
        <v>1280.9355530625</v>
      </c>
      <c r="E33" s="40">
        <f>$C33*E$20*'Modelling Assumptions'!E$101</f>
        <v>0</v>
      </c>
      <c r="F33" s="40">
        <f>$C33*F$20*'Modelling Assumptions'!F$101</f>
        <v>0</v>
      </c>
      <c r="G33" s="40">
        <f>$C33*G$20*'Modelling Assumptions'!G$101</f>
        <v>1280.9355530625</v>
      </c>
      <c r="H33" s="40">
        <f>$C33*H$20*'Modelling Assumptions'!H$101</f>
        <v>0</v>
      </c>
      <c r="I33" s="40">
        <f>$C33*I$20*'Modelling Assumptions'!I$101</f>
        <v>0</v>
      </c>
    </row>
    <row r="34" spans="1:9" x14ac:dyDescent="0.3">
      <c r="A34" s="14" t="s">
        <v>1643</v>
      </c>
      <c r="B34" s="40">
        <f>B24</f>
        <v>0</v>
      </c>
      <c r="C34" s="40">
        <f t="shared" ref="C34:C36" si="1">B34*$C$14</f>
        <v>0</v>
      </c>
      <c r="D34" s="40">
        <f>C34*SUMPRODUCT(MaterialsAdjustmentFactor,E$20:I$20)</f>
        <v>0</v>
      </c>
      <c r="E34" s="40">
        <f>$C34*E$20*'Modelling Assumptions'!E$102</f>
        <v>0</v>
      </c>
      <c r="F34" s="40">
        <f>$C34*F$20*'Modelling Assumptions'!F$102</f>
        <v>0</v>
      </c>
      <c r="G34" s="40">
        <f>$C34*G$20*'Modelling Assumptions'!G$102</f>
        <v>0</v>
      </c>
      <c r="H34" s="40">
        <f>$C34*H$20*'Modelling Assumptions'!H$102</f>
        <v>0</v>
      </c>
      <c r="I34" s="40">
        <f>$C34*I$20*'Modelling Assumptions'!I$102</f>
        <v>0</v>
      </c>
    </row>
    <row r="35" spans="1:9" x14ac:dyDescent="0.3">
      <c r="A35" s="14" t="s">
        <v>1649</v>
      </c>
      <c r="B35" s="40">
        <f>B29</f>
        <v>75</v>
      </c>
      <c r="C35" s="40">
        <f t="shared" si="1"/>
        <v>1350</v>
      </c>
      <c r="D35" s="40">
        <f>C35*SUMPRODUCT(LabourAdjustmentFactor,E$20:I$20)</f>
        <v>1453.8023437499999</v>
      </c>
      <c r="E35" s="40">
        <f>$C35*E$20*'Modelling Assumptions'!E$101</f>
        <v>0</v>
      </c>
      <c r="F35" s="40">
        <f>$C35*F$20*'Modelling Assumptions'!F$101</f>
        <v>0</v>
      </c>
      <c r="G35" s="40">
        <f>$C35*G$20*'Modelling Assumptions'!G$101</f>
        <v>1453.8023437499999</v>
      </c>
      <c r="H35" s="40">
        <f>$C35*H$20*'Modelling Assumptions'!H$101</f>
        <v>0</v>
      </c>
      <c r="I35" s="40">
        <f>$C35*I$20*'Modelling Assumptions'!I$101</f>
        <v>0</v>
      </c>
    </row>
    <row r="36" spans="1:9" x14ac:dyDescent="0.3">
      <c r="A36" s="14" t="s">
        <v>1650</v>
      </c>
      <c r="B36" s="40">
        <f>B30</f>
        <v>0</v>
      </c>
      <c r="C36" s="40">
        <f t="shared" si="1"/>
        <v>0</v>
      </c>
      <c r="D36" s="40">
        <f>C36*SUMPRODUCT(MaterialsAdjustmentFactor,E$20:I$20)</f>
        <v>0</v>
      </c>
      <c r="E36" s="40">
        <f>$C36*E$20*'Modelling Assumptions'!E$102</f>
        <v>0</v>
      </c>
      <c r="F36" s="40">
        <f>$C36*F$20*'Modelling Assumptions'!F$102</f>
        <v>0</v>
      </c>
      <c r="G36" s="40">
        <f>$C36*G$20*'Modelling Assumptions'!G$102</f>
        <v>0</v>
      </c>
      <c r="H36" s="40">
        <f>$C36*H$20*'Modelling Assumptions'!H$102</f>
        <v>0</v>
      </c>
      <c r="I36" s="40">
        <f>$C36*I$20*'Modelling Assumptions'!I$102</f>
        <v>0</v>
      </c>
    </row>
    <row r="40" spans="1:9" x14ac:dyDescent="0.3">
      <c r="A40" s="10" t="s">
        <v>1641</v>
      </c>
      <c r="B40" s="44"/>
      <c r="C40" s="44"/>
      <c r="D40" s="10"/>
      <c r="E40" s="10"/>
      <c r="F40" s="10"/>
      <c r="G40" s="10"/>
      <c r="H40" s="10"/>
      <c r="I40" s="10"/>
    </row>
    <row r="41" spans="1:9" x14ac:dyDescent="0.3">
      <c r="A41" t="s">
        <v>3</v>
      </c>
      <c r="B41" t="s">
        <v>2</v>
      </c>
      <c r="C41" t="s">
        <v>1</v>
      </c>
    </row>
    <row r="42" spans="1:9" x14ac:dyDescent="0.3">
      <c r="A42" t="s">
        <v>1093</v>
      </c>
      <c r="B42" t="s">
        <v>12</v>
      </c>
    </row>
    <row r="43" spans="1:9" x14ac:dyDescent="0.3">
      <c r="A43" t="s">
        <v>225</v>
      </c>
      <c r="B43" t="s">
        <v>224</v>
      </c>
      <c r="C43" t="s">
        <v>172</v>
      </c>
      <c r="D43" t="s">
        <v>223</v>
      </c>
    </row>
    <row r="44" spans="1:9" x14ac:dyDescent="0.3">
      <c r="A44" t="s">
        <v>225</v>
      </c>
      <c r="B44" t="s">
        <v>224</v>
      </c>
      <c r="C44" t="s">
        <v>248</v>
      </c>
      <c r="D44" t="s">
        <v>271</v>
      </c>
    </row>
    <row r="45" spans="1:9" x14ac:dyDescent="0.3">
      <c r="A45" t="s">
        <v>225</v>
      </c>
      <c r="B45" t="s">
        <v>224</v>
      </c>
      <c r="C45" t="s">
        <v>292</v>
      </c>
      <c r="D45" t="s">
        <v>314</v>
      </c>
    </row>
    <row r="46" spans="1:9" x14ac:dyDescent="0.3">
      <c r="A46" t="s">
        <v>225</v>
      </c>
      <c r="B46" t="s">
        <v>224</v>
      </c>
      <c r="C46" t="s">
        <v>392</v>
      </c>
      <c r="D46" t="s">
        <v>416</v>
      </c>
    </row>
    <row r="47" spans="1:9" x14ac:dyDescent="0.3">
      <c r="A47" t="s">
        <v>225</v>
      </c>
      <c r="B47" t="s">
        <v>224</v>
      </c>
      <c r="C47" t="s">
        <v>437</v>
      </c>
      <c r="D47" t="s">
        <v>459</v>
      </c>
    </row>
    <row r="48" spans="1:9" x14ac:dyDescent="0.3">
      <c r="A48" t="s">
        <v>225</v>
      </c>
      <c r="B48" t="s">
        <v>224</v>
      </c>
      <c r="C48" t="s">
        <v>480</v>
      </c>
      <c r="D48" t="s">
        <v>502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C8C800"/>
    <pageSetUpPr fitToPage="1"/>
  </sheetPr>
  <dimension ref="A1:I44"/>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x14ac:dyDescent="0.3">
      <c r="A1" t="s">
        <v>1642</v>
      </c>
      <c r="B1" t="s">
        <v>1730</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D33</f>
        <v>1732.9992749999999</v>
      </c>
      <c r="E3" s="33">
        <f t="shared" si="0"/>
        <v>1732.9992749999999</v>
      </c>
      <c r="F3" s="33">
        <f t="shared" si="0"/>
        <v>0</v>
      </c>
      <c r="G3" s="33">
        <f t="shared" si="0"/>
        <v>0</v>
      </c>
      <c r="H3" s="33">
        <f t="shared" si="0"/>
        <v>0</v>
      </c>
      <c r="I3" s="33">
        <f t="shared" si="0"/>
        <v>0</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461.24999999999994</v>
      </c>
      <c r="E5" s="33">
        <f t="shared" si="0"/>
        <v>461.24999999999994</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3521</v>
      </c>
    </row>
    <row r="12" spans="1:9" ht="15" x14ac:dyDescent="0.25">
      <c r="A12" t="s">
        <v>1514</v>
      </c>
    </row>
    <row r="13" spans="1:9" ht="15" x14ac:dyDescent="0.25">
      <c r="B13" s="39" t="s">
        <v>1633</v>
      </c>
      <c r="C13" s="39">
        <v>12</v>
      </c>
    </row>
    <row r="14" spans="1:9" ht="15" x14ac:dyDescent="0.25">
      <c r="A14" s="12" t="s">
        <v>1640</v>
      </c>
      <c r="B14" s="12"/>
      <c r="C14" s="12">
        <f>C13</f>
        <v>12</v>
      </c>
    </row>
    <row r="16" spans="1:9" s="301" customFormat="1" ht="15" x14ac:dyDescent="0.25">
      <c r="A16" s="301" t="s">
        <v>1992</v>
      </c>
    </row>
    <row r="17" spans="1:9" s="301" customFormat="1" ht="15" x14ac:dyDescent="0.25">
      <c r="A17" s="301" t="s">
        <v>3254</v>
      </c>
    </row>
    <row r="18" spans="1:9" s="301" customFormat="1" ht="15" x14ac:dyDescent="0.25"/>
    <row r="19" spans="1:9" ht="15" x14ac:dyDescent="0.25">
      <c r="E19" s="30" t="str">
        <f>Summary!C4</f>
        <v>2015/16</v>
      </c>
      <c r="F19" s="30" t="str">
        <f>Summary!D4</f>
        <v>2016/17</v>
      </c>
      <c r="G19" s="30" t="str">
        <f>Summary!E4</f>
        <v>2017/18</v>
      </c>
      <c r="H19" s="30" t="str">
        <f>Summary!F4</f>
        <v>2018/19</v>
      </c>
      <c r="I19" s="30" t="str">
        <f>Summary!G4</f>
        <v>2019/20</v>
      </c>
    </row>
    <row r="20" spans="1:9" x14ac:dyDescent="0.3">
      <c r="A20" s="45" t="s">
        <v>1092</v>
      </c>
      <c r="B20" s="16" t="s">
        <v>32</v>
      </c>
      <c r="C20" s="43"/>
      <c r="D20" s="16"/>
      <c r="E20" s="16">
        <v>1</v>
      </c>
      <c r="F20" s="16">
        <v>0</v>
      </c>
      <c r="G20" s="16">
        <v>0</v>
      </c>
      <c r="H20" s="16">
        <v>0</v>
      </c>
      <c r="I20" s="16">
        <v>0</v>
      </c>
    </row>
    <row r="21" spans="1:9" ht="15" x14ac:dyDescent="0.25">
      <c r="A21" s="8" t="s">
        <v>1646</v>
      </c>
      <c r="C21" s="39"/>
    </row>
    <row r="22" spans="1:9" ht="15" x14ac:dyDescent="0.25">
      <c r="A22" s="14" t="s">
        <v>1658</v>
      </c>
      <c r="B22" s="78">
        <v>0.5</v>
      </c>
      <c r="C22" s="14" t="s">
        <v>1731</v>
      </c>
    </row>
    <row r="23" spans="1:9" ht="15" x14ac:dyDescent="0.25">
      <c r="A23" s="14" t="s">
        <v>1997</v>
      </c>
      <c r="B23" s="74">
        <f>APASupervisorHours/C14</f>
        <v>0.71527777777777779</v>
      </c>
      <c r="C23" s="14" t="s">
        <v>1731</v>
      </c>
    </row>
    <row r="24" spans="1:9" ht="15" x14ac:dyDescent="0.25">
      <c r="A24" s="14" t="s">
        <v>1643</v>
      </c>
      <c r="B24" s="55">
        <v>0</v>
      </c>
      <c r="C24" s="14"/>
    </row>
    <row r="25" spans="1:9" ht="15" x14ac:dyDescent="0.25">
      <c r="A25" s="14"/>
      <c r="B25" s="55"/>
      <c r="C25" s="14"/>
    </row>
    <row r="26" spans="1:9" ht="15" x14ac:dyDescent="0.25">
      <c r="A26" s="42" t="s">
        <v>1647</v>
      </c>
      <c r="B26" s="15"/>
      <c r="C26" s="14"/>
    </row>
    <row r="27" spans="1:9" ht="15" x14ac:dyDescent="0.25">
      <c r="A27" s="14" t="s">
        <v>1656</v>
      </c>
      <c r="B27" s="15">
        <v>0.5</v>
      </c>
      <c r="C27" s="14" t="s">
        <v>3336</v>
      </c>
    </row>
    <row r="28" spans="1:9" ht="15" x14ac:dyDescent="0.25">
      <c r="A28" s="14" t="s">
        <v>1651</v>
      </c>
      <c r="B28" s="55">
        <f>ElectricalContractorHourlyRate</f>
        <v>75</v>
      </c>
      <c r="C28" t="s">
        <v>3335</v>
      </c>
    </row>
    <row r="29" spans="1:9" ht="15" x14ac:dyDescent="0.25">
      <c r="A29" s="14" t="s">
        <v>1649</v>
      </c>
      <c r="B29" s="56">
        <f>B27*B28</f>
        <v>37.5</v>
      </c>
      <c r="C29" s="14"/>
    </row>
    <row r="30" spans="1:9" ht="15" x14ac:dyDescent="0.25">
      <c r="A30" s="14" t="s">
        <v>1650</v>
      </c>
      <c r="B30" s="55">
        <v>0</v>
      </c>
      <c r="C30" s="7"/>
    </row>
    <row r="32" spans="1:9" x14ac:dyDescent="0.3">
      <c r="A32" s="14"/>
      <c r="B32" s="46" t="s">
        <v>2712</v>
      </c>
      <c r="C32" s="46" t="s">
        <v>2720</v>
      </c>
      <c r="D32" s="30" t="s">
        <v>1655</v>
      </c>
      <c r="E32" s="30" t="str">
        <f>Summary!C4</f>
        <v>2015/16</v>
      </c>
      <c r="F32" s="30" t="str">
        <f>Summary!D4</f>
        <v>2016/17</v>
      </c>
      <c r="G32" s="30" t="str">
        <f>Summary!E4</f>
        <v>2017/18</v>
      </c>
      <c r="H32" s="30" t="str">
        <f>Summary!F4</f>
        <v>2018/19</v>
      </c>
      <c r="I32" s="30" t="str">
        <f>Summary!G4</f>
        <v>2019/20</v>
      </c>
    </row>
    <row r="33" spans="1:9" x14ac:dyDescent="0.3">
      <c r="A33" s="14" t="s">
        <v>1648</v>
      </c>
      <c r="B33" s="40">
        <f>B22*HourlyRateAPAMaintenanceStaff+B23*HourlyRateAPAOMSupervisor</f>
        <v>140.89425</v>
      </c>
      <c r="C33" s="40">
        <f>B33*$C$14</f>
        <v>1690.731</v>
      </c>
      <c r="D33" s="40">
        <f>C33*SUMPRODUCT(LabourAdjustmentFactor,E$20:I$20)</f>
        <v>1732.9992749999999</v>
      </c>
      <c r="E33" s="40">
        <f>$C33*E$20*'Modelling Assumptions'!E$101</f>
        <v>1732.9992749999999</v>
      </c>
      <c r="F33" s="40">
        <f>$C33*F$20*'Modelling Assumptions'!F$101</f>
        <v>0</v>
      </c>
      <c r="G33" s="40">
        <f>$C33*G$20*'Modelling Assumptions'!G$101</f>
        <v>0</v>
      </c>
      <c r="H33" s="40">
        <f>$C33*H$20*'Modelling Assumptions'!H$101</f>
        <v>0</v>
      </c>
      <c r="I33" s="40">
        <f>$C33*I$20*'Modelling Assumptions'!I$101</f>
        <v>0</v>
      </c>
    </row>
    <row r="34" spans="1:9" x14ac:dyDescent="0.3">
      <c r="A34" s="14" t="s">
        <v>1643</v>
      </c>
      <c r="B34" s="40">
        <f>B24</f>
        <v>0</v>
      </c>
      <c r="C34" s="40">
        <f t="shared" ref="C34:C36" si="1">B34*$C$14</f>
        <v>0</v>
      </c>
      <c r="D34" s="40">
        <f>C34*SUMPRODUCT(MaterialsAdjustmentFactor,E$20:I$20)</f>
        <v>0</v>
      </c>
      <c r="E34" s="40">
        <f>$C34*E$20*'Modelling Assumptions'!E$102</f>
        <v>0</v>
      </c>
      <c r="F34" s="40">
        <f>$C34*F$20*'Modelling Assumptions'!F$102</f>
        <v>0</v>
      </c>
      <c r="G34" s="40">
        <f>$C34*G$20*'Modelling Assumptions'!G$102</f>
        <v>0</v>
      </c>
      <c r="H34" s="40">
        <f>$C34*H$20*'Modelling Assumptions'!H$102</f>
        <v>0</v>
      </c>
      <c r="I34" s="40">
        <f>$C34*I$20*'Modelling Assumptions'!I$102</f>
        <v>0</v>
      </c>
    </row>
    <row r="35" spans="1:9" x14ac:dyDescent="0.3">
      <c r="A35" s="14" t="s">
        <v>1649</v>
      </c>
      <c r="B35" s="40">
        <f>B29</f>
        <v>37.5</v>
      </c>
      <c r="C35" s="40">
        <f t="shared" si="1"/>
        <v>450</v>
      </c>
      <c r="D35" s="40">
        <f>C35*SUMPRODUCT(LabourAdjustmentFactor,E$20:I$20)</f>
        <v>461.24999999999994</v>
      </c>
      <c r="E35" s="40">
        <f>$C35*E$20*'Modelling Assumptions'!E$101</f>
        <v>461.24999999999994</v>
      </c>
      <c r="F35" s="40">
        <f>$C35*F$20*'Modelling Assumptions'!F$101</f>
        <v>0</v>
      </c>
      <c r="G35" s="40">
        <f>$C35*G$20*'Modelling Assumptions'!G$101</f>
        <v>0</v>
      </c>
      <c r="H35" s="40">
        <f>$C35*H$20*'Modelling Assumptions'!H$101</f>
        <v>0</v>
      </c>
      <c r="I35" s="40">
        <f>$C35*I$20*'Modelling Assumptions'!I$101</f>
        <v>0</v>
      </c>
    </row>
    <row r="36" spans="1:9" x14ac:dyDescent="0.3">
      <c r="A36" s="14" t="s">
        <v>1650</v>
      </c>
      <c r="B36" s="40">
        <f>B30</f>
        <v>0</v>
      </c>
      <c r="C36" s="40">
        <f t="shared" si="1"/>
        <v>0</v>
      </c>
      <c r="D36" s="40">
        <f>C36*SUMPRODUCT(MaterialsAdjustmentFactor,E$20:I$20)</f>
        <v>0</v>
      </c>
      <c r="E36" s="40">
        <f>$C36*E$20*'Modelling Assumptions'!E$102</f>
        <v>0</v>
      </c>
      <c r="F36" s="40">
        <f>$C36*F$20*'Modelling Assumptions'!F$102</f>
        <v>0</v>
      </c>
      <c r="G36" s="40">
        <f>$C36*G$20*'Modelling Assumptions'!G$102</f>
        <v>0</v>
      </c>
      <c r="H36" s="40">
        <f>$C36*H$20*'Modelling Assumptions'!H$102</f>
        <v>0</v>
      </c>
      <c r="I36" s="40">
        <f>$C36*I$20*'Modelling Assumptions'!I$102</f>
        <v>0</v>
      </c>
    </row>
    <row r="40" spans="1:9" x14ac:dyDescent="0.3">
      <c r="A40" s="10" t="s">
        <v>1641</v>
      </c>
      <c r="B40" s="44"/>
      <c r="C40" s="44"/>
      <c r="D40" s="10"/>
      <c r="E40" s="10"/>
      <c r="F40" s="10"/>
      <c r="G40" s="10"/>
      <c r="H40" s="10"/>
      <c r="I40" s="10"/>
    </row>
    <row r="41" spans="1:9" x14ac:dyDescent="0.3">
      <c r="A41" t="s">
        <v>3</v>
      </c>
      <c r="B41" t="s">
        <v>2</v>
      </c>
      <c r="C41" t="s">
        <v>1</v>
      </c>
    </row>
    <row r="42" spans="1:9" x14ac:dyDescent="0.3">
      <c r="A42" t="s">
        <v>1092</v>
      </c>
      <c r="B42" t="s">
        <v>32</v>
      </c>
    </row>
    <row r="43" spans="1:9" x14ac:dyDescent="0.3">
      <c r="A43" t="s">
        <v>31</v>
      </c>
      <c r="B43" t="s">
        <v>30</v>
      </c>
      <c r="C43" t="s">
        <v>8</v>
      </c>
      <c r="D43" t="s">
        <v>29</v>
      </c>
    </row>
    <row r="44" spans="1:9" x14ac:dyDescent="0.3">
      <c r="A44" t="s">
        <v>332</v>
      </c>
      <c r="B44" t="s">
        <v>30</v>
      </c>
      <c r="C44" t="s">
        <v>328</v>
      </c>
      <c r="D44" t="s">
        <v>331</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C8C800"/>
    <pageSetUpPr fitToPage="1"/>
  </sheetPr>
  <dimension ref="A1:I53"/>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1752</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D38</f>
        <v>1312.9589418890623</v>
      </c>
      <c r="E3" s="33">
        <f t="shared" si="0"/>
        <v>0</v>
      </c>
      <c r="F3" s="33">
        <f t="shared" si="0"/>
        <v>0</v>
      </c>
      <c r="G3" s="33">
        <f t="shared" si="0"/>
        <v>0</v>
      </c>
      <c r="H3" s="33">
        <f t="shared" si="0"/>
        <v>1312.9589418890623</v>
      </c>
      <c r="I3" s="33">
        <f t="shared" si="0"/>
        <v>0</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1986.8632031249995</v>
      </c>
      <c r="E5" s="33">
        <f t="shared" si="0"/>
        <v>0</v>
      </c>
      <c r="F5" s="33">
        <f t="shared" si="0"/>
        <v>0</v>
      </c>
      <c r="G5" s="33">
        <f t="shared" si="0"/>
        <v>0</v>
      </c>
      <c r="H5" s="33">
        <f t="shared" si="0"/>
        <v>1986.8632031249995</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1733</v>
      </c>
    </row>
    <row r="11" spans="1:9" ht="15" x14ac:dyDescent="0.25">
      <c r="B11" s="7"/>
    </row>
    <row r="12" spans="1:9" ht="15" x14ac:dyDescent="0.25">
      <c r="A12" s="14" t="s">
        <v>1620</v>
      </c>
    </row>
    <row r="13" spans="1:9" ht="15" x14ac:dyDescent="0.25">
      <c r="A13" s="14"/>
      <c r="B13" s="39" t="s">
        <v>1545</v>
      </c>
      <c r="C13" s="39">
        <v>6</v>
      </c>
    </row>
    <row r="14" spans="1:9" ht="15" x14ac:dyDescent="0.25">
      <c r="A14" s="14"/>
      <c r="B14" s="39" t="s">
        <v>1546</v>
      </c>
      <c r="C14" s="39">
        <v>6</v>
      </c>
    </row>
    <row r="15" spans="1:9" ht="15" x14ac:dyDescent="0.25">
      <c r="A15" s="14"/>
    </row>
    <row r="16" spans="1:9" ht="15" x14ac:dyDescent="0.25">
      <c r="A16" s="14" t="s">
        <v>1621</v>
      </c>
    </row>
    <row r="17" spans="1:9" ht="15" x14ac:dyDescent="0.25">
      <c r="B17" s="39" t="s">
        <v>1547</v>
      </c>
      <c r="C17" s="39">
        <v>6</v>
      </c>
    </row>
    <row r="18" spans="1:9" ht="15" x14ac:dyDescent="0.25">
      <c r="B18" s="39" t="s">
        <v>1548</v>
      </c>
      <c r="C18" s="39">
        <v>6</v>
      </c>
    </row>
    <row r="19" spans="1:9" ht="15" x14ac:dyDescent="0.25">
      <c r="A19" s="12" t="s">
        <v>1640</v>
      </c>
      <c r="B19" s="12"/>
      <c r="C19" s="12">
        <f>SUM(C13:C18)</f>
        <v>24</v>
      </c>
    </row>
    <row r="21" spans="1:9" ht="15" x14ac:dyDescent="0.25">
      <c r="A21" s="301" t="s">
        <v>1992</v>
      </c>
    </row>
    <row r="22" spans="1:9" ht="15" x14ac:dyDescent="0.25">
      <c r="A22" s="301" t="s">
        <v>3254</v>
      </c>
    </row>
    <row r="24" spans="1:9" ht="15" x14ac:dyDescent="0.25">
      <c r="E24" s="30" t="str">
        <f>Summary!C4</f>
        <v>2015/16</v>
      </c>
      <c r="F24" s="30" t="str">
        <f>Summary!D4</f>
        <v>2016/17</v>
      </c>
      <c r="G24" s="30" t="str">
        <f>Summary!E4</f>
        <v>2017/18</v>
      </c>
      <c r="H24" s="30" t="str">
        <f>Summary!F4</f>
        <v>2018/19</v>
      </c>
      <c r="I24" s="30" t="str">
        <f>Summary!G4</f>
        <v>2019/20</v>
      </c>
    </row>
    <row r="25" spans="1:9" x14ac:dyDescent="0.3">
      <c r="A25" s="45" t="s">
        <v>1091</v>
      </c>
      <c r="B25" s="16" t="s">
        <v>85</v>
      </c>
      <c r="C25" s="43"/>
      <c r="D25" s="16"/>
      <c r="E25" s="16">
        <v>0</v>
      </c>
      <c r="F25" s="16">
        <v>0</v>
      </c>
      <c r="G25" s="16">
        <v>0</v>
      </c>
      <c r="H25" s="16">
        <v>1</v>
      </c>
      <c r="I25" s="16">
        <v>0</v>
      </c>
    </row>
    <row r="26" spans="1:9" ht="15" x14ac:dyDescent="0.25">
      <c r="A26" s="8" t="s">
        <v>1646</v>
      </c>
      <c r="C26" s="39"/>
    </row>
    <row r="27" spans="1:9" ht="15" x14ac:dyDescent="0.25">
      <c r="A27" s="14" t="s">
        <v>1658</v>
      </c>
      <c r="B27" s="74">
        <f>APATechnicianHours/C19</f>
        <v>4.1666666666666664E-2</v>
      </c>
      <c r="C27" s="14" t="s">
        <v>1751</v>
      </c>
    </row>
    <row r="28" spans="1:9" ht="15" x14ac:dyDescent="0.25">
      <c r="A28" s="14" t="s">
        <v>1997</v>
      </c>
      <c r="B28" s="74">
        <f>APASupervisorHours/C19</f>
        <v>0.3576388888888889</v>
      </c>
      <c r="C28" s="14" t="s">
        <v>1751</v>
      </c>
    </row>
    <row r="29" spans="1:9" ht="15" x14ac:dyDescent="0.25">
      <c r="A29" s="14" t="s">
        <v>1643</v>
      </c>
      <c r="B29" s="55">
        <v>0</v>
      </c>
      <c r="C29" s="14"/>
    </row>
    <row r="30" spans="1:9" ht="15" x14ac:dyDescent="0.25">
      <c r="A30" s="14"/>
      <c r="B30" s="41"/>
      <c r="C30" s="14"/>
    </row>
    <row r="31" spans="1:9" x14ac:dyDescent="0.3">
      <c r="A31" s="42" t="s">
        <v>1647</v>
      </c>
      <c r="B31" s="7"/>
      <c r="C31" s="14"/>
    </row>
    <row r="32" spans="1:9" x14ac:dyDescent="0.3">
      <c r="A32" s="14" t="s">
        <v>1656</v>
      </c>
      <c r="B32" s="15">
        <v>1</v>
      </c>
      <c r="C32" s="14" t="s">
        <v>3257</v>
      </c>
    </row>
    <row r="33" spans="1:9" x14ac:dyDescent="0.3">
      <c r="A33" s="14" t="s">
        <v>1651</v>
      </c>
      <c r="B33" s="55">
        <f>ElectricalContractorHourlyRate</f>
        <v>75</v>
      </c>
      <c r="C33" s="14"/>
    </row>
    <row r="34" spans="1:9" x14ac:dyDescent="0.3">
      <c r="A34" s="14" t="s">
        <v>1649</v>
      </c>
      <c r="B34" s="55">
        <f>B32*B33</f>
        <v>75</v>
      </c>
      <c r="C34" s="14"/>
    </row>
    <row r="35" spans="1:9" x14ac:dyDescent="0.3">
      <c r="A35" s="14" t="s">
        <v>1650</v>
      </c>
      <c r="B35" s="55">
        <v>0</v>
      </c>
      <c r="C35" s="7"/>
    </row>
    <row r="37" spans="1:9" x14ac:dyDescent="0.3">
      <c r="A37" s="14"/>
      <c r="B37" s="46" t="s">
        <v>2712</v>
      </c>
      <c r="C37" s="46" t="s">
        <v>2720</v>
      </c>
      <c r="D37" s="30" t="s">
        <v>1655</v>
      </c>
      <c r="E37" s="30" t="str">
        <f>Summary!C4</f>
        <v>2015/16</v>
      </c>
      <c r="F37" s="30" t="str">
        <f>Summary!D4</f>
        <v>2016/17</v>
      </c>
      <c r="G37" s="30" t="str">
        <f>Summary!E4</f>
        <v>2017/18</v>
      </c>
      <c r="H37" s="30" t="str">
        <f>Summary!F4</f>
        <v>2018/19</v>
      </c>
      <c r="I37" s="30" t="str">
        <f>Summary!G4</f>
        <v>2019/20</v>
      </c>
    </row>
    <row r="38" spans="1:9" x14ac:dyDescent="0.3">
      <c r="A38" s="14" t="s">
        <v>1648</v>
      </c>
      <c r="B38" s="40">
        <f>B27*HourlyRateAPAMaintenanceStaff+B28*HourlyRateAPAOMSupervisor</f>
        <v>49.561500000000009</v>
      </c>
      <c r="C38" s="40">
        <f>B38*$C$19</f>
        <v>1189.4760000000001</v>
      </c>
      <c r="D38" s="40">
        <f>C38*SUMPRODUCT(LabourAdjustmentFactor,E$25:I$25)</f>
        <v>1312.9589418890623</v>
      </c>
      <c r="E38" s="40">
        <f>$C38*E$25*'Modelling Assumptions'!E$101</f>
        <v>0</v>
      </c>
      <c r="F38" s="40">
        <f>$C38*F$25*'Modelling Assumptions'!F$101</f>
        <v>0</v>
      </c>
      <c r="G38" s="40">
        <f>$C38*G$25*'Modelling Assumptions'!G$101</f>
        <v>0</v>
      </c>
      <c r="H38" s="40">
        <f>$C38*H$25*'Modelling Assumptions'!H$101</f>
        <v>1312.9589418890623</v>
      </c>
      <c r="I38" s="40">
        <f>$C38*I$25*'Modelling Assumptions'!I$101</f>
        <v>0</v>
      </c>
    </row>
    <row r="39" spans="1:9" x14ac:dyDescent="0.3">
      <c r="A39" s="14" t="s">
        <v>1643</v>
      </c>
      <c r="B39" s="40">
        <f>B29</f>
        <v>0</v>
      </c>
      <c r="C39" s="40">
        <f t="shared" ref="C39:C41" si="1">B39*$C$19</f>
        <v>0</v>
      </c>
      <c r="D39" s="40">
        <f>C39*SUMPRODUCT(MaterialsAdjustmentFactor,E$25:I$25)</f>
        <v>0</v>
      </c>
      <c r="E39" s="40">
        <f>$C39*E$25*'Modelling Assumptions'!E$102</f>
        <v>0</v>
      </c>
      <c r="F39" s="40">
        <f>$C39*F$25*'Modelling Assumptions'!F$102</f>
        <v>0</v>
      </c>
      <c r="G39" s="40">
        <f>$C39*G$25*'Modelling Assumptions'!G$102</f>
        <v>0</v>
      </c>
      <c r="H39" s="40">
        <f>$C39*H$25*'Modelling Assumptions'!H$102</f>
        <v>0</v>
      </c>
      <c r="I39" s="40">
        <f>$C39*I$25*'Modelling Assumptions'!I$102</f>
        <v>0</v>
      </c>
    </row>
    <row r="40" spans="1:9" x14ac:dyDescent="0.3">
      <c r="A40" s="14" t="s">
        <v>1649</v>
      </c>
      <c r="B40" s="40">
        <f>B34</f>
        <v>75</v>
      </c>
      <c r="C40" s="40">
        <f t="shared" si="1"/>
        <v>1800</v>
      </c>
      <c r="D40" s="40">
        <f>C40*SUMPRODUCT(LabourAdjustmentFactor,E$25:I$25)</f>
        <v>1986.8632031249995</v>
      </c>
      <c r="E40" s="40">
        <f>$C40*E$25*'Modelling Assumptions'!E$101</f>
        <v>0</v>
      </c>
      <c r="F40" s="40">
        <f>$C40*F$25*'Modelling Assumptions'!F$101</f>
        <v>0</v>
      </c>
      <c r="G40" s="40">
        <f>$C40*G$25*'Modelling Assumptions'!G$101</f>
        <v>0</v>
      </c>
      <c r="H40" s="40">
        <f>$C40*H$25*'Modelling Assumptions'!H$101</f>
        <v>1986.8632031249995</v>
      </c>
      <c r="I40" s="40">
        <f>$C40*I$25*'Modelling Assumptions'!I$101</f>
        <v>0</v>
      </c>
    </row>
    <row r="41" spans="1:9" x14ac:dyDescent="0.3">
      <c r="A41" s="14" t="s">
        <v>1650</v>
      </c>
      <c r="B41" s="40">
        <f>B35</f>
        <v>0</v>
      </c>
      <c r="C41" s="40">
        <f t="shared" si="1"/>
        <v>0</v>
      </c>
      <c r="D41" s="40">
        <f>C41*SUMPRODUCT(MaterialsAdjustmentFactor,E$25:I$25)</f>
        <v>0</v>
      </c>
      <c r="E41" s="40">
        <f>$C41*E$25*'Modelling Assumptions'!E$102</f>
        <v>0</v>
      </c>
      <c r="F41" s="40">
        <f>$C41*F$25*'Modelling Assumptions'!F$102</f>
        <v>0</v>
      </c>
      <c r="G41" s="40">
        <f>$C41*G$25*'Modelling Assumptions'!G$102</f>
        <v>0</v>
      </c>
      <c r="H41" s="40">
        <f>$C41*H$25*'Modelling Assumptions'!H$102</f>
        <v>0</v>
      </c>
      <c r="I41" s="40">
        <f>$C41*I$25*'Modelling Assumptions'!I$102</f>
        <v>0</v>
      </c>
    </row>
    <row r="45" spans="1:9" x14ac:dyDescent="0.3">
      <c r="A45" s="10" t="s">
        <v>1641</v>
      </c>
      <c r="B45" s="44"/>
      <c r="C45" s="44"/>
      <c r="D45" s="10"/>
      <c r="E45" s="10"/>
      <c r="F45" s="10"/>
      <c r="G45" s="10"/>
      <c r="H45" s="10"/>
      <c r="I45" s="10"/>
    </row>
    <row r="46" spans="1:9" x14ac:dyDescent="0.3">
      <c r="A46" t="s">
        <v>3</v>
      </c>
      <c r="B46" t="s">
        <v>2</v>
      </c>
      <c r="C46" t="s">
        <v>1</v>
      </c>
    </row>
    <row r="47" spans="1:9" x14ac:dyDescent="0.3">
      <c r="A47" t="s">
        <v>1091</v>
      </c>
      <c r="B47" t="s">
        <v>85</v>
      </c>
    </row>
    <row r="48" spans="1:9" x14ac:dyDescent="0.3">
      <c r="A48" t="s">
        <v>84</v>
      </c>
      <c r="B48" t="s">
        <v>83</v>
      </c>
      <c r="C48" t="s">
        <v>8</v>
      </c>
      <c r="D48" t="s">
        <v>44</v>
      </c>
    </row>
    <row r="49" spans="1:4" x14ac:dyDescent="0.3">
      <c r="A49" t="s">
        <v>94</v>
      </c>
      <c r="B49" t="s">
        <v>83</v>
      </c>
      <c r="C49" t="s">
        <v>8</v>
      </c>
      <c r="D49" t="s">
        <v>93</v>
      </c>
    </row>
    <row r="50" spans="1:4" x14ac:dyDescent="0.3">
      <c r="A50" t="s">
        <v>116</v>
      </c>
      <c r="B50" t="s">
        <v>83</v>
      </c>
      <c r="C50" t="s">
        <v>8</v>
      </c>
      <c r="D50" t="s">
        <v>108</v>
      </c>
    </row>
    <row r="51" spans="1:4" x14ac:dyDescent="0.3">
      <c r="A51" t="s">
        <v>343</v>
      </c>
      <c r="B51" t="s">
        <v>83</v>
      </c>
      <c r="C51" t="s">
        <v>328</v>
      </c>
      <c r="D51" t="s">
        <v>335</v>
      </c>
    </row>
    <row r="52" spans="1:4" x14ac:dyDescent="0.3">
      <c r="A52" t="s">
        <v>353</v>
      </c>
      <c r="B52" t="s">
        <v>83</v>
      </c>
      <c r="C52" t="s">
        <v>328</v>
      </c>
      <c r="D52" t="s">
        <v>346</v>
      </c>
    </row>
    <row r="53" spans="1:4" x14ac:dyDescent="0.3">
      <c r="A53" t="s">
        <v>366</v>
      </c>
      <c r="B53" t="s">
        <v>83</v>
      </c>
      <c r="C53" t="s">
        <v>328</v>
      </c>
      <c r="D53" t="s">
        <v>358</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C8C800"/>
    <pageSetUpPr fitToPage="1"/>
  </sheetPr>
  <dimension ref="A1:I42"/>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1753</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D39</f>
        <v>1312.9589418890623</v>
      </c>
      <c r="E3" s="33">
        <f t="shared" si="0"/>
        <v>0</v>
      </c>
      <c r="F3" s="33">
        <f t="shared" si="0"/>
        <v>0</v>
      </c>
      <c r="G3" s="33">
        <f t="shared" si="0"/>
        <v>0</v>
      </c>
      <c r="H3" s="33">
        <f t="shared" si="0"/>
        <v>1312.9589418890623</v>
      </c>
      <c r="I3" s="33">
        <f t="shared" si="0"/>
        <v>0</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1986.8632031249995</v>
      </c>
      <c r="E5" s="33">
        <f t="shared" si="0"/>
        <v>0</v>
      </c>
      <c r="F5" s="33">
        <f t="shared" si="0"/>
        <v>0</v>
      </c>
      <c r="G5" s="33">
        <f t="shared" si="0"/>
        <v>0</v>
      </c>
      <c r="H5" s="33">
        <f t="shared" si="0"/>
        <v>1986.8632031249995</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1733</v>
      </c>
    </row>
    <row r="11" spans="1:9" ht="15" x14ac:dyDescent="0.25">
      <c r="B11" s="7"/>
    </row>
    <row r="12" spans="1:9" ht="15" x14ac:dyDescent="0.25">
      <c r="A12" s="14" t="s">
        <v>1620</v>
      </c>
    </row>
    <row r="13" spans="1:9" ht="15" x14ac:dyDescent="0.25">
      <c r="A13" s="14"/>
      <c r="B13" s="39" t="s">
        <v>1545</v>
      </c>
      <c r="C13" s="39">
        <v>6</v>
      </c>
    </row>
    <row r="14" spans="1:9" ht="15" x14ac:dyDescent="0.25">
      <c r="A14" s="14"/>
      <c r="B14" s="39" t="s">
        <v>1546</v>
      </c>
      <c r="C14" s="39">
        <v>6</v>
      </c>
    </row>
    <row r="15" spans="1:9" ht="15" x14ac:dyDescent="0.25">
      <c r="A15" s="14"/>
    </row>
    <row r="16" spans="1:9" ht="15" x14ac:dyDescent="0.25">
      <c r="A16" s="14" t="s">
        <v>1621</v>
      </c>
    </row>
    <row r="17" spans="1:9" ht="15" x14ac:dyDescent="0.25">
      <c r="B17" s="39" t="s">
        <v>1547</v>
      </c>
      <c r="C17" s="39">
        <v>6</v>
      </c>
    </row>
    <row r="18" spans="1:9" ht="15" x14ac:dyDescent="0.25">
      <c r="B18" s="39" t="s">
        <v>1548</v>
      </c>
      <c r="C18" s="39">
        <v>6</v>
      </c>
    </row>
    <row r="19" spans="1:9" ht="15" x14ac:dyDescent="0.25">
      <c r="A19" s="12" t="s">
        <v>1640</v>
      </c>
      <c r="B19" s="12"/>
      <c r="C19" s="12">
        <f>SUM(C13:C18)</f>
        <v>24</v>
      </c>
    </row>
    <row r="21" spans="1:9" ht="15" x14ac:dyDescent="0.25">
      <c r="A21" t="s">
        <v>1992</v>
      </c>
    </row>
    <row r="22" spans="1:9" ht="15" x14ac:dyDescent="0.25">
      <c r="A22" t="s">
        <v>3255</v>
      </c>
    </row>
    <row r="23" spans="1:9" ht="15" x14ac:dyDescent="0.25">
      <c r="A23" s="301" t="s">
        <v>3254</v>
      </c>
    </row>
    <row r="24" spans="1:9" ht="15" x14ac:dyDescent="0.25">
      <c r="A24" s="301"/>
    </row>
    <row r="25" spans="1:9" ht="15" x14ac:dyDescent="0.25">
      <c r="E25" s="30" t="str">
        <f>Summary!C4</f>
        <v>2015/16</v>
      </c>
      <c r="F25" s="30" t="str">
        <f>Summary!D4</f>
        <v>2016/17</v>
      </c>
      <c r="G25" s="30" t="str">
        <f>Summary!E4</f>
        <v>2017/18</v>
      </c>
      <c r="H25" s="30" t="str">
        <f>Summary!F4</f>
        <v>2018/19</v>
      </c>
      <c r="I25" s="30" t="str">
        <f>Summary!G4</f>
        <v>2019/20</v>
      </c>
    </row>
    <row r="26" spans="1:9" x14ac:dyDescent="0.3">
      <c r="A26" s="45" t="s">
        <v>1091</v>
      </c>
      <c r="B26" s="16" t="s">
        <v>85</v>
      </c>
      <c r="C26" s="43"/>
      <c r="D26" s="16"/>
      <c r="E26" s="16">
        <v>0</v>
      </c>
      <c r="F26" s="16">
        <v>0</v>
      </c>
      <c r="G26" s="16">
        <v>0</v>
      </c>
      <c r="H26" s="16">
        <v>1</v>
      </c>
      <c r="I26" s="16">
        <v>0</v>
      </c>
    </row>
    <row r="27" spans="1:9" ht="15" x14ac:dyDescent="0.25">
      <c r="A27" s="8" t="s">
        <v>1646</v>
      </c>
      <c r="C27" s="39"/>
    </row>
    <row r="28" spans="1:9" ht="15" x14ac:dyDescent="0.25">
      <c r="A28" s="14" t="s">
        <v>1658</v>
      </c>
      <c r="B28" s="74">
        <f>APATechnicianHours/C19</f>
        <v>4.1666666666666664E-2</v>
      </c>
      <c r="C28" s="14" t="s">
        <v>1751</v>
      </c>
    </row>
    <row r="29" spans="1:9" ht="15" x14ac:dyDescent="0.25">
      <c r="A29" s="14" t="s">
        <v>1997</v>
      </c>
      <c r="B29" s="74">
        <f>APASupervisorHours/C19</f>
        <v>0.3576388888888889</v>
      </c>
      <c r="C29" s="14" t="s">
        <v>1751</v>
      </c>
    </row>
    <row r="30" spans="1:9" ht="15" x14ac:dyDescent="0.25">
      <c r="A30" s="14" t="s">
        <v>1643</v>
      </c>
      <c r="B30" s="55">
        <v>0</v>
      </c>
      <c r="C30" s="14"/>
    </row>
    <row r="31" spans="1:9" x14ac:dyDescent="0.3">
      <c r="A31" s="14"/>
      <c r="B31" s="41"/>
      <c r="C31" s="14"/>
    </row>
    <row r="32" spans="1:9" x14ac:dyDescent="0.3">
      <c r="A32" s="42" t="s">
        <v>1647</v>
      </c>
      <c r="B32" s="7"/>
      <c r="C32" s="14"/>
    </row>
    <row r="33" spans="1:9" x14ac:dyDescent="0.3">
      <c r="A33" s="14" t="s">
        <v>1656</v>
      </c>
      <c r="B33" s="15">
        <v>1</v>
      </c>
      <c r="C33" s="14" t="s">
        <v>3253</v>
      </c>
    </row>
    <row r="34" spans="1:9" x14ac:dyDescent="0.3">
      <c r="A34" s="14" t="s">
        <v>1651</v>
      </c>
      <c r="B34" s="55">
        <f>ElectricalContractorHourlyRate</f>
        <v>75</v>
      </c>
      <c r="C34" s="14"/>
    </row>
    <row r="35" spans="1:9" x14ac:dyDescent="0.3">
      <c r="A35" s="14" t="s">
        <v>1649</v>
      </c>
      <c r="B35" s="55">
        <f>B33*B34</f>
        <v>75</v>
      </c>
      <c r="C35" s="14"/>
    </row>
    <row r="36" spans="1:9" x14ac:dyDescent="0.3">
      <c r="A36" s="14" t="s">
        <v>1650</v>
      </c>
      <c r="B36" s="55">
        <v>0</v>
      </c>
      <c r="C36" s="7"/>
    </row>
    <row r="38" spans="1:9" x14ac:dyDescent="0.3">
      <c r="A38" s="14"/>
      <c r="B38" s="46" t="s">
        <v>2712</v>
      </c>
      <c r="C38" s="46" t="s">
        <v>2720</v>
      </c>
      <c r="D38" s="30" t="s">
        <v>1655</v>
      </c>
      <c r="E38" s="30" t="str">
        <f>Summary!C4</f>
        <v>2015/16</v>
      </c>
      <c r="F38" s="30" t="str">
        <f>Summary!D4</f>
        <v>2016/17</v>
      </c>
      <c r="G38" s="30" t="str">
        <f>Summary!E4</f>
        <v>2017/18</v>
      </c>
      <c r="H38" s="30" t="str">
        <f>Summary!F4</f>
        <v>2018/19</v>
      </c>
      <c r="I38" s="30" t="str">
        <f>Summary!G4</f>
        <v>2019/20</v>
      </c>
    </row>
    <row r="39" spans="1:9" x14ac:dyDescent="0.3">
      <c r="A39" s="14" t="s">
        <v>1648</v>
      </c>
      <c r="B39" s="40">
        <f>B28*HourlyRateAPAMaintenanceStaff+B29*HourlyRateAPAOMSupervisor</f>
        <v>49.561500000000009</v>
      </c>
      <c r="C39" s="40">
        <f>B39*$C$19</f>
        <v>1189.4760000000001</v>
      </c>
      <c r="D39" s="40">
        <f>C39*SUMPRODUCT(LabourAdjustmentFactor,E$26:I$26)</f>
        <v>1312.9589418890623</v>
      </c>
      <c r="E39" s="40">
        <f>$C39*E$26*'Modelling Assumptions'!E$101</f>
        <v>0</v>
      </c>
      <c r="F39" s="40">
        <f>$C39*F$26*'Modelling Assumptions'!F$101</f>
        <v>0</v>
      </c>
      <c r="G39" s="40">
        <f>$C39*G$26*'Modelling Assumptions'!G$101</f>
        <v>0</v>
      </c>
      <c r="H39" s="40">
        <f>$C39*H$26*'Modelling Assumptions'!H$101</f>
        <v>1312.9589418890623</v>
      </c>
      <c r="I39" s="40">
        <f>$C39*I$26*'Modelling Assumptions'!I$101</f>
        <v>0</v>
      </c>
    </row>
    <row r="40" spans="1:9" x14ac:dyDescent="0.3">
      <c r="A40" s="14" t="s">
        <v>1643</v>
      </c>
      <c r="B40" s="40">
        <f>B30</f>
        <v>0</v>
      </c>
      <c r="C40" s="40">
        <f t="shared" ref="C40:C42" si="1">B40*$C$19</f>
        <v>0</v>
      </c>
      <c r="D40" s="40">
        <f>C40*SUMPRODUCT(MaterialsAdjustmentFactor,E$26:I$26)</f>
        <v>0</v>
      </c>
      <c r="E40" s="40">
        <f>$C40*E$26*'Modelling Assumptions'!E$102</f>
        <v>0</v>
      </c>
      <c r="F40" s="40">
        <f>$C40*F$26*'Modelling Assumptions'!F$102</f>
        <v>0</v>
      </c>
      <c r="G40" s="40">
        <f>$C40*G$26*'Modelling Assumptions'!G$102</f>
        <v>0</v>
      </c>
      <c r="H40" s="40">
        <f>$C40*H$26*'Modelling Assumptions'!H$102</f>
        <v>0</v>
      </c>
      <c r="I40" s="40">
        <f>$C40*I$26*'Modelling Assumptions'!I$102</f>
        <v>0</v>
      </c>
    </row>
    <row r="41" spans="1:9" x14ac:dyDescent="0.3">
      <c r="A41" s="14" t="s">
        <v>1649</v>
      </c>
      <c r="B41" s="40">
        <f>B35</f>
        <v>75</v>
      </c>
      <c r="C41" s="40">
        <f t="shared" si="1"/>
        <v>1800</v>
      </c>
      <c r="D41" s="40">
        <f>C41*SUMPRODUCT(LabourAdjustmentFactor,E$26:I$26)</f>
        <v>1986.8632031249995</v>
      </c>
      <c r="E41" s="40">
        <f>$C41*E$26*'Modelling Assumptions'!E$101</f>
        <v>0</v>
      </c>
      <c r="F41" s="40">
        <f>$C41*F$26*'Modelling Assumptions'!F$101</f>
        <v>0</v>
      </c>
      <c r="G41" s="40">
        <f>$C41*G$26*'Modelling Assumptions'!G$101</f>
        <v>0</v>
      </c>
      <c r="H41" s="40">
        <f>$C41*H$26*'Modelling Assumptions'!H$101</f>
        <v>1986.8632031249995</v>
      </c>
      <c r="I41" s="40">
        <f>$C41*I$26*'Modelling Assumptions'!I$101</f>
        <v>0</v>
      </c>
    </row>
    <row r="42" spans="1:9" x14ac:dyDescent="0.3">
      <c r="A42" s="14" t="s">
        <v>1650</v>
      </c>
      <c r="B42" s="40">
        <f>B36</f>
        <v>0</v>
      </c>
      <c r="C42" s="40">
        <f t="shared" si="1"/>
        <v>0</v>
      </c>
      <c r="D42" s="40">
        <f>C42*SUMPRODUCT(MaterialsAdjustmentFactor,E$26:I$26)</f>
        <v>0</v>
      </c>
      <c r="E42" s="40">
        <f>$C42*E$26*'Modelling Assumptions'!E$102</f>
        <v>0</v>
      </c>
      <c r="F42" s="40">
        <f>$C42*F$26*'Modelling Assumptions'!F$102</f>
        <v>0</v>
      </c>
      <c r="G42" s="40">
        <f>$C42*G$26*'Modelling Assumptions'!G$102</f>
        <v>0</v>
      </c>
      <c r="H42" s="40">
        <f>$C42*H$26*'Modelling Assumptions'!H$102</f>
        <v>0</v>
      </c>
      <c r="I42" s="40">
        <f>$C42*I$26*'Modelling Assumptions'!I$102</f>
        <v>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39997558519241921"/>
    <pageSetUpPr fitToPage="1"/>
  </sheetPr>
  <dimension ref="A1:L87"/>
  <sheetViews>
    <sheetView workbookViewId="0"/>
  </sheetViews>
  <sheetFormatPr defaultRowHeight="14.4" x14ac:dyDescent="0.3"/>
  <cols>
    <col min="1" max="1" width="21.109375" customWidth="1"/>
    <col min="3" max="3" width="52.88671875" customWidth="1"/>
    <col min="4" max="8" width="11.5546875" customWidth="1"/>
    <col min="9" max="9" width="30.88671875" style="17" customWidth="1"/>
    <col min="10" max="10" width="7.33203125" customWidth="1"/>
    <col min="12" max="12" width="14.109375" customWidth="1"/>
  </cols>
  <sheetData>
    <row r="1" spans="1:12" s="301" customFormat="1" ht="15" x14ac:dyDescent="0.25">
      <c r="B1" s="301" t="str">
        <f ca="1">UPPER(RIGHT(CELL("filename",A1),LEN(CELL("filename",A1))-FIND("]",CELL("filename",A1))))</f>
        <v>SUMMARY OF PMS</v>
      </c>
      <c r="I1" s="17"/>
    </row>
    <row r="2" spans="1:12" s="301" customFormat="1" ht="15" x14ac:dyDescent="0.25">
      <c r="A2" s="167" t="s">
        <v>3454</v>
      </c>
      <c r="I2" s="17"/>
    </row>
    <row r="3" spans="1:12" s="301" customFormat="1" ht="15" x14ac:dyDescent="0.25">
      <c r="A3" s="167"/>
      <c r="I3" s="17"/>
    </row>
    <row r="4" spans="1:12" ht="45" x14ac:dyDescent="0.25">
      <c r="A4" s="52" t="s">
        <v>1685</v>
      </c>
      <c r="B4" s="17" t="s">
        <v>1686</v>
      </c>
      <c r="D4" t="s">
        <v>505</v>
      </c>
      <c r="E4" s="95" t="s">
        <v>1648</v>
      </c>
      <c r="F4" s="95" t="s">
        <v>1643</v>
      </c>
      <c r="G4" s="95" t="s">
        <v>1649</v>
      </c>
      <c r="H4" s="95" t="s">
        <v>1650</v>
      </c>
      <c r="I4" s="70" t="s">
        <v>1639</v>
      </c>
      <c r="L4" s="268" t="s">
        <v>1796</v>
      </c>
    </row>
    <row r="5" spans="1:12" ht="15" x14ac:dyDescent="0.25">
      <c r="A5" s="51" t="s">
        <v>2329</v>
      </c>
      <c r="B5" s="9" t="str">
        <f>HYPERLINK("#"&amp;ADDRESS(1,1,1,1,A5),"…")</f>
        <v>…</v>
      </c>
      <c r="C5" t="str">
        <f t="shared" ref="C5:C48" ca="1" si="0">INDIRECT("'"&amp;A5&amp;"'!$B$1")</f>
        <v>FIRE DETECTION &amp; ALARM SYSTEM</v>
      </c>
      <c r="D5" s="33">
        <f t="shared" ref="D5:D48" ca="1" si="1">SUM(INDIRECT("'"&amp;A5&amp;"'!$D$3:$D$6"))</f>
        <v>63884.265547099203</v>
      </c>
      <c r="E5" s="96">
        <f t="shared" ref="E5:E48" ca="1" si="2">IF(INDIRECT("'"&amp;A5&amp;"'!$D$3")=0,"",INDIRECT("'"&amp;A5&amp;"'!$D$3"))</f>
        <v>24489.134588192963</v>
      </c>
      <c r="F5" s="96" t="str">
        <f t="shared" ref="F5:F48" ca="1" si="3">IF(INDIRECT("'"&amp;A5&amp;"'!$D$4")=0,"",INDIRECT("'"&amp;A5&amp;"'!$D$4"))</f>
        <v/>
      </c>
      <c r="G5" s="96">
        <f t="shared" ref="G5:G48" ca="1" si="4">IF(INDIRECT("'"&amp;A5&amp;"'!$D$5")=0,"",INDIRECT("'"&amp;A5&amp;"'!$D$5"))</f>
        <v>39395.130958906244</v>
      </c>
      <c r="H5" s="96" t="str">
        <f t="shared" ref="H5:H48" ca="1" si="5">IF(INDIRECT("'"&amp;A5&amp;"'!$D$6")=0,"",INDIRECT("'"&amp;A5&amp;"'!$D$6"))</f>
        <v/>
      </c>
      <c r="I5" s="17" t="s">
        <v>1435</v>
      </c>
      <c r="J5">
        <v>4</v>
      </c>
      <c r="L5" t="s">
        <v>1918</v>
      </c>
    </row>
    <row r="6" spans="1:12" ht="15" x14ac:dyDescent="0.25">
      <c r="A6" s="51" t="s">
        <v>2330</v>
      </c>
      <c r="B6" s="9" t="str">
        <f t="shared" ref="B6:B64" si="6">HYPERLINK("#"&amp;ADDRESS(1,1,1,1,A6),"…")</f>
        <v>…</v>
      </c>
      <c r="C6" t="str">
        <f t="shared" ca="1" si="0"/>
        <v>FIRE SPRINKER SYSTEM</v>
      </c>
      <c r="D6" s="33">
        <f t="shared" ca="1" si="1"/>
        <v>136610.68411409645</v>
      </c>
      <c r="E6" s="96">
        <f t="shared" ca="1" si="2"/>
        <v>18425.291237377693</v>
      </c>
      <c r="F6" s="96" t="str">
        <f t="shared" ca="1" si="3"/>
        <v/>
      </c>
      <c r="G6" s="96">
        <f t="shared" ca="1" si="4"/>
        <v>118185.39287671875</v>
      </c>
      <c r="H6" s="96" t="str">
        <f t="shared" ca="1" si="5"/>
        <v/>
      </c>
      <c r="I6" s="17" t="s">
        <v>1435</v>
      </c>
      <c r="J6">
        <v>1</v>
      </c>
      <c r="L6" t="s">
        <v>1918</v>
      </c>
    </row>
    <row r="7" spans="1:12" ht="15" x14ac:dyDescent="0.25">
      <c r="A7" s="51" t="s">
        <v>1961</v>
      </c>
      <c r="B7" s="9" t="str">
        <f t="shared" si="6"/>
        <v>…</v>
      </c>
      <c r="C7" t="str">
        <f t="shared" ca="1" si="0"/>
        <v>CHECK EYE WASH STATION </v>
      </c>
      <c r="D7" s="33">
        <f t="shared" ca="1" si="1"/>
        <v>3527.9115607789454</v>
      </c>
      <c r="E7" s="96">
        <f t="shared" ca="1" si="2"/>
        <v>3527.9115607789454</v>
      </c>
      <c r="F7" s="96" t="str">
        <f t="shared" ca="1" si="3"/>
        <v/>
      </c>
      <c r="G7" s="96" t="str">
        <f t="shared" ca="1" si="4"/>
        <v/>
      </c>
      <c r="H7" s="96" t="str">
        <f t="shared" ca="1" si="5"/>
        <v/>
      </c>
      <c r="I7" s="17" t="s">
        <v>1437</v>
      </c>
      <c r="J7">
        <v>1</v>
      </c>
    </row>
    <row r="8" spans="1:12" ht="15" x14ac:dyDescent="0.25">
      <c r="A8" s="51" t="s">
        <v>1962</v>
      </c>
      <c r="B8" s="9" t="str">
        <f t="shared" si="6"/>
        <v>…</v>
      </c>
      <c r="C8" t="str">
        <f t="shared" ca="1" si="0"/>
        <v>PORTABLE FIRE EXTINGUISHER INSPECTION </v>
      </c>
      <c r="D8" s="33">
        <f t="shared" ca="1" si="1"/>
        <v>23883.578306146796</v>
      </c>
      <c r="E8" s="96">
        <f t="shared" ca="1" si="2"/>
        <v>12817.167065775702</v>
      </c>
      <c r="F8" s="96" t="str">
        <f t="shared" ca="1" si="3"/>
        <v/>
      </c>
      <c r="G8" s="96">
        <f t="shared" ca="1" si="4"/>
        <v>11066.411240371091</v>
      </c>
      <c r="H8" s="96" t="str">
        <f t="shared" ca="1" si="5"/>
        <v/>
      </c>
      <c r="I8" s="17" t="s">
        <v>1438</v>
      </c>
      <c r="J8">
        <v>1</v>
      </c>
    </row>
    <row r="9" spans="1:12" ht="15" x14ac:dyDescent="0.25">
      <c r="A9" s="51" t="s">
        <v>1963</v>
      </c>
      <c r="B9" s="9" t="str">
        <f t="shared" si="6"/>
        <v>…</v>
      </c>
      <c r="C9" t="str">
        <f t="shared" ca="1" si="0"/>
        <v>EMERGENCY LIGHTING MAINTENANCE </v>
      </c>
      <c r="D9" s="33">
        <f t="shared" ca="1" si="1"/>
        <v>23461.052774457887</v>
      </c>
      <c r="E9" s="96">
        <f t="shared" ca="1" si="2"/>
        <v>7055.823121557889</v>
      </c>
      <c r="F9" s="96">
        <f t="shared" ca="1" si="3"/>
        <v>16405.229652899998</v>
      </c>
      <c r="G9" s="96" t="str">
        <f t="shared" ca="1" si="4"/>
        <v/>
      </c>
      <c r="H9" s="96" t="str">
        <f t="shared" ca="1" si="5"/>
        <v/>
      </c>
      <c r="I9" s="17" t="s">
        <v>1439</v>
      </c>
      <c r="J9">
        <v>1</v>
      </c>
      <c r="L9" t="s">
        <v>1918</v>
      </c>
    </row>
    <row r="10" spans="1:12" ht="15" x14ac:dyDescent="0.25">
      <c r="A10" s="51" t="s">
        <v>1964</v>
      </c>
      <c r="B10" s="9" t="str">
        <f t="shared" si="6"/>
        <v>…</v>
      </c>
      <c r="C10" t="str">
        <f t="shared" ca="1" si="0"/>
        <v>ENERGISED MAINTENANCE INSPECTION </v>
      </c>
      <c r="D10" s="33">
        <f t="shared" ca="1" si="1"/>
        <v>162448.02070563514</v>
      </c>
      <c r="E10" s="96">
        <f t="shared" ca="1" si="2"/>
        <v>162448.02070563514</v>
      </c>
      <c r="F10" s="96" t="str">
        <f t="shared" ca="1" si="3"/>
        <v/>
      </c>
      <c r="G10" s="96" t="str">
        <f t="shared" ca="1" si="4"/>
        <v/>
      </c>
      <c r="H10" s="96" t="str">
        <f t="shared" ca="1" si="5"/>
        <v/>
      </c>
      <c r="I10" s="17" t="s">
        <v>1440</v>
      </c>
      <c r="J10">
        <v>1</v>
      </c>
      <c r="L10" t="s">
        <v>1919</v>
      </c>
    </row>
    <row r="11" spans="1:12" ht="15" x14ac:dyDescent="0.25">
      <c r="A11" s="51" t="s">
        <v>1965</v>
      </c>
      <c r="B11" s="9" t="str">
        <f t="shared" si="6"/>
        <v>…</v>
      </c>
      <c r="C11" t="str">
        <f t="shared" ca="1" si="0"/>
        <v>UNINTERRUPTIBLE POWER SUPPLY </v>
      </c>
      <c r="D11" s="33">
        <f t="shared" ca="1" si="1"/>
        <v>30984.707604529372</v>
      </c>
      <c r="E11" s="96">
        <f t="shared" ca="1" si="2"/>
        <v>23547.670161881375</v>
      </c>
      <c r="F11" s="96">
        <f t="shared" ca="1" si="3"/>
        <v>7437.0374426479993</v>
      </c>
      <c r="G11" s="96" t="str">
        <f t="shared" ca="1" si="4"/>
        <v/>
      </c>
      <c r="H11" s="96" t="str">
        <f t="shared" ca="1" si="5"/>
        <v/>
      </c>
      <c r="I11" s="17" t="s">
        <v>1441</v>
      </c>
      <c r="J11">
        <v>1</v>
      </c>
      <c r="L11" t="s">
        <v>1918</v>
      </c>
    </row>
    <row r="12" spans="1:12" ht="15" x14ac:dyDescent="0.25">
      <c r="A12" s="51" t="s">
        <v>1683</v>
      </c>
      <c r="B12" s="9" t="str">
        <f t="shared" si="6"/>
        <v>…</v>
      </c>
      <c r="C12" t="str">
        <f t="shared" ca="1" si="0"/>
        <v>YARD MAINTENANCE </v>
      </c>
      <c r="D12" s="33">
        <f t="shared" ca="1" si="1"/>
        <v>127979.81797091462</v>
      </c>
      <c r="E12" s="96">
        <f t="shared" ca="1" si="2"/>
        <v>34130.493239163749</v>
      </c>
      <c r="F12" s="96" t="str">
        <f t="shared" ca="1" si="3"/>
        <v/>
      </c>
      <c r="G12" s="96">
        <f t="shared" ca="1" si="4"/>
        <v>93849.324731750879</v>
      </c>
      <c r="H12" s="96" t="str">
        <f t="shared" ca="1" si="5"/>
        <v/>
      </c>
      <c r="I12" s="17" t="s">
        <v>1442</v>
      </c>
      <c r="J12">
        <v>1</v>
      </c>
    </row>
    <row r="13" spans="1:12" ht="15" x14ac:dyDescent="0.25">
      <c r="A13" s="51" t="s">
        <v>1684</v>
      </c>
      <c r="B13" s="9" t="str">
        <f t="shared" si="6"/>
        <v>…</v>
      </c>
      <c r="C13" t="str">
        <f t="shared" ca="1" si="0"/>
        <v>OIL FILLED CAPACITOR MAINTENANCE</v>
      </c>
      <c r="D13" s="33">
        <f t="shared" ca="1" si="1"/>
        <v>62940.659333571428</v>
      </c>
      <c r="E13" s="96">
        <f t="shared" ca="1" si="2"/>
        <v>6545.2409532003512</v>
      </c>
      <c r="F13" s="96" t="str">
        <f t="shared" ca="1" si="3"/>
        <v/>
      </c>
      <c r="G13" s="96">
        <f t="shared" ca="1" si="4"/>
        <v>56395.418380371077</v>
      </c>
      <c r="H13" s="96" t="str">
        <f t="shared" ca="1" si="5"/>
        <v/>
      </c>
      <c r="I13" s="17" t="s">
        <v>1442</v>
      </c>
      <c r="J13" s="14">
        <v>2</v>
      </c>
      <c r="L13" t="s">
        <v>1998</v>
      </c>
    </row>
    <row r="14" spans="1:12" ht="15" x14ac:dyDescent="0.25">
      <c r="A14" s="51" t="s">
        <v>1966</v>
      </c>
      <c r="B14" s="9" t="str">
        <f t="shared" si="6"/>
        <v>…</v>
      </c>
      <c r="C14" t="str">
        <f t="shared" ca="1" si="0"/>
        <v>INSPECT SPILL KITS </v>
      </c>
      <c r="D14" s="33">
        <f t="shared" ca="1" si="1"/>
        <v>14972.261757181952</v>
      </c>
      <c r="E14" s="96">
        <f t="shared" ca="1" si="2"/>
        <v>12817.167065775702</v>
      </c>
      <c r="F14" s="96" t="str">
        <f t="shared" ca="1" si="3"/>
        <v/>
      </c>
      <c r="G14" s="96">
        <f t="shared" ca="1" si="4"/>
        <v>2155.0946914062497</v>
      </c>
      <c r="H14" s="96" t="str">
        <f t="shared" ca="1" si="5"/>
        <v/>
      </c>
      <c r="I14" s="17" t="s">
        <v>1443</v>
      </c>
      <c r="J14">
        <v>1</v>
      </c>
    </row>
    <row r="15" spans="1:12" ht="15" x14ac:dyDescent="0.25">
      <c r="A15" s="51" t="s">
        <v>1967</v>
      </c>
      <c r="B15" s="9" t="str">
        <f t="shared" si="6"/>
        <v>…</v>
      </c>
      <c r="C15" t="str">
        <f t="shared" ca="1" si="0"/>
        <v>FUNCTIONAL TEST OF HIGH VOLTAGE TEST EQUIPMENT </v>
      </c>
      <c r="D15" s="33">
        <f t="shared" ca="1" si="1"/>
        <v>4068.0375555493647</v>
      </c>
      <c r="E15" s="96">
        <f t="shared" ca="1" si="2"/>
        <v>4068.0375555493647</v>
      </c>
      <c r="F15" s="96" t="str">
        <f t="shared" ca="1" si="3"/>
        <v/>
      </c>
      <c r="G15" s="96" t="str">
        <f t="shared" ca="1" si="4"/>
        <v/>
      </c>
      <c r="H15" s="96" t="str">
        <f t="shared" ca="1" si="5"/>
        <v/>
      </c>
      <c r="I15" s="17" t="s">
        <v>1444</v>
      </c>
      <c r="J15">
        <v>1</v>
      </c>
      <c r="L15" t="s">
        <v>1918</v>
      </c>
    </row>
    <row r="16" spans="1:12" ht="15" x14ac:dyDescent="0.25">
      <c r="A16" s="51" t="s">
        <v>1968</v>
      </c>
      <c r="B16" s="9" t="str">
        <f t="shared" si="6"/>
        <v>…</v>
      </c>
      <c r="C16" t="str">
        <f t="shared" ca="1" si="0"/>
        <v>HALL EFFECT CURRENT TRANSDUCER MAINTENANCE </v>
      </c>
      <c r="D16" s="33">
        <f t="shared" ca="1" si="1"/>
        <v>12469.787352467927</v>
      </c>
      <c r="E16" s="96">
        <f t="shared" ca="1" si="2"/>
        <v>6408.5835328878511</v>
      </c>
      <c r="F16" s="96" t="str">
        <f t="shared" ca="1" si="3"/>
        <v/>
      </c>
      <c r="G16" s="96">
        <f t="shared" ca="1" si="4"/>
        <v>6061.2038195800769</v>
      </c>
      <c r="H16" s="96" t="str">
        <f t="shared" ca="1" si="5"/>
        <v/>
      </c>
      <c r="I16" s="17" t="s">
        <v>1445</v>
      </c>
      <c r="J16">
        <v>1</v>
      </c>
      <c r="L16" t="s">
        <v>1918</v>
      </c>
    </row>
    <row r="17" spans="1:12" ht="15" x14ac:dyDescent="0.25">
      <c r="A17" s="51" t="s">
        <v>1969</v>
      </c>
      <c r="B17" s="9" t="str">
        <f t="shared" si="6"/>
        <v>…</v>
      </c>
      <c r="C17" t="str">
        <f t="shared" ca="1" si="0"/>
        <v>ROGOWSKI CURRENT TRANSDUCER MAINTENANCE </v>
      </c>
      <c r="D17" s="33">
        <f t="shared" ca="1" si="1"/>
        <v>17318.750408131989</v>
      </c>
      <c r="E17" s="96">
        <f t="shared" ca="1" si="2"/>
        <v>6408.5835328878511</v>
      </c>
      <c r="F17" s="96" t="str">
        <f t="shared" ca="1" si="3"/>
        <v/>
      </c>
      <c r="G17" s="96">
        <f t="shared" ca="1" si="4"/>
        <v>10910.166875244138</v>
      </c>
      <c r="H17" s="96" t="str">
        <f t="shared" ca="1" si="5"/>
        <v/>
      </c>
      <c r="I17" s="17" t="s">
        <v>1446</v>
      </c>
      <c r="J17">
        <v>1</v>
      </c>
      <c r="L17" t="s">
        <v>1918</v>
      </c>
    </row>
    <row r="18" spans="1:12" ht="15" x14ac:dyDescent="0.25">
      <c r="A18" s="51" t="s">
        <v>1970</v>
      </c>
      <c r="B18" s="9" t="str">
        <f t="shared" si="6"/>
        <v>…</v>
      </c>
      <c r="C18" t="str">
        <f t="shared" ca="1" si="0"/>
        <v>VEGETATION MANAGEMENT</v>
      </c>
      <c r="D18" s="33">
        <f t="shared" ca="1" si="1"/>
        <v>456452.45453204273</v>
      </c>
      <c r="E18" s="96">
        <f t="shared" ca="1" si="2"/>
        <v>34130.493239163749</v>
      </c>
      <c r="F18" s="96" t="str">
        <f t="shared" ca="1" si="3"/>
        <v/>
      </c>
      <c r="G18" s="96">
        <f t="shared" ca="1" si="4"/>
        <v>422321.96129287896</v>
      </c>
      <c r="H18" s="96" t="str">
        <f t="shared" ca="1" si="5"/>
        <v/>
      </c>
      <c r="I18" s="17" t="s">
        <v>1447</v>
      </c>
      <c r="J18">
        <v>1</v>
      </c>
      <c r="L18" t="s">
        <v>1921</v>
      </c>
    </row>
    <row r="19" spans="1:12" ht="15" x14ac:dyDescent="0.25">
      <c r="A19" s="51" t="s">
        <v>1971</v>
      </c>
      <c r="B19" s="9" t="str">
        <f t="shared" si="6"/>
        <v>…</v>
      </c>
      <c r="C19" t="str">
        <f t="shared" ca="1" si="0"/>
        <v>CABLE MARKER SIGN MAINTENANCE</v>
      </c>
      <c r="D19" s="33">
        <f t="shared" ca="1" si="1"/>
        <v>127331.5294766625</v>
      </c>
      <c r="E19" s="96">
        <f t="shared" ca="1" si="2"/>
        <v>120769.43761550249</v>
      </c>
      <c r="F19" s="96">
        <f t="shared" ca="1" si="3"/>
        <v>6562.09186116</v>
      </c>
      <c r="G19" s="96" t="str">
        <f t="shared" ca="1" si="4"/>
        <v/>
      </c>
      <c r="H19" s="96" t="str">
        <f t="shared" ca="1" si="5"/>
        <v/>
      </c>
      <c r="I19" s="17" t="s">
        <v>1449</v>
      </c>
      <c r="J19">
        <v>1</v>
      </c>
      <c r="L19" t="s">
        <v>1921</v>
      </c>
    </row>
    <row r="20" spans="1:12" ht="15" x14ac:dyDescent="0.25">
      <c r="A20" s="51" t="s">
        <v>1972</v>
      </c>
      <c r="B20" s="9" t="str">
        <f t="shared" si="6"/>
        <v>…</v>
      </c>
      <c r="C20" t="str">
        <f t="shared" ca="1" si="0"/>
        <v>OUTDOOR POST TYPE CURRENT TRANSFORMER</v>
      </c>
      <c r="D20" s="33">
        <f t="shared" ca="1" si="1"/>
        <v>28260.517127712064</v>
      </c>
      <c r="E20" s="96">
        <f t="shared" ca="1" si="2"/>
        <v>7627.7964328878525</v>
      </c>
      <c r="F20" s="96" t="str">
        <f t="shared" ca="1" si="3"/>
        <v/>
      </c>
      <c r="G20" s="96">
        <f t="shared" ca="1" si="4"/>
        <v>20200.120694824214</v>
      </c>
      <c r="H20" s="96">
        <f t="shared" ca="1" si="5"/>
        <v>432.6</v>
      </c>
      <c r="I20" s="17" t="s">
        <v>1451</v>
      </c>
      <c r="J20">
        <v>2</v>
      </c>
      <c r="L20" t="s">
        <v>1918</v>
      </c>
    </row>
    <row r="21" spans="1:12" ht="15" x14ac:dyDescent="0.25">
      <c r="A21" s="51" t="s">
        <v>1973</v>
      </c>
      <c r="B21" s="9" t="str">
        <f t="shared" si="6"/>
        <v>…</v>
      </c>
      <c r="C21" t="str">
        <f t="shared" ca="1" si="0"/>
        <v>CABLE SCREEN CURRENT TRANSFORMER </v>
      </c>
      <c r="D21" s="33">
        <f t="shared" ca="1" si="1"/>
        <v>11257.546588551912</v>
      </c>
      <c r="E21" s="96">
        <f t="shared" ca="1" si="2"/>
        <v>6408.5835328878511</v>
      </c>
      <c r="F21" s="96" t="str">
        <f t="shared" ca="1" si="3"/>
        <v/>
      </c>
      <c r="G21" s="96">
        <f t="shared" ca="1" si="4"/>
        <v>4848.9630556640614</v>
      </c>
      <c r="H21" s="96" t="str">
        <f t="shared" ca="1" si="5"/>
        <v/>
      </c>
      <c r="I21" s="17" t="s">
        <v>1453</v>
      </c>
      <c r="J21">
        <v>1</v>
      </c>
      <c r="L21" t="s">
        <v>1918</v>
      </c>
    </row>
    <row r="22" spans="1:12" ht="15" x14ac:dyDescent="0.25">
      <c r="A22" s="51" t="s">
        <v>1974</v>
      </c>
      <c r="B22" s="9" t="str">
        <f t="shared" si="6"/>
        <v>…</v>
      </c>
      <c r="C22" t="str">
        <f t="shared" ca="1" si="0"/>
        <v>CAPACITIVE VOLTAGE TRANSFORMER MAINTENANCE</v>
      </c>
      <c r="D22" s="33">
        <f t="shared" ca="1" si="1"/>
        <v>14086.108371022616</v>
      </c>
      <c r="E22" s="96">
        <f t="shared" ca="1" si="2"/>
        <v>6408.5835328878511</v>
      </c>
      <c r="F22" s="96" t="str">
        <f t="shared" ca="1" si="3"/>
        <v/>
      </c>
      <c r="G22" s="96">
        <f t="shared" ca="1" si="4"/>
        <v>7677.5248381347647</v>
      </c>
      <c r="H22" s="96" t="str">
        <f t="shared" ca="1" si="5"/>
        <v/>
      </c>
      <c r="I22" s="17" t="s">
        <v>1454</v>
      </c>
      <c r="J22">
        <v>1</v>
      </c>
      <c r="L22" t="s">
        <v>1918</v>
      </c>
    </row>
    <row r="23" spans="1:12" ht="15" x14ac:dyDescent="0.25">
      <c r="A23" s="51" t="s">
        <v>1975</v>
      </c>
      <c r="B23" s="9" t="str">
        <f t="shared" si="6"/>
        <v>…</v>
      </c>
      <c r="C23" t="str">
        <f t="shared" ca="1" si="0"/>
        <v>POWER TRANSFORMER MAINTENANCE </v>
      </c>
      <c r="D23" s="33">
        <f t="shared" ca="1" si="1"/>
        <v>418441.07691075047</v>
      </c>
      <c r="E23" s="96">
        <f t="shared" ca="1" si="2"/>
        <v>7488.8355224286906</v>
      </c>
      <c r="F23" s="96">
        <f t="shared" ca="1" si="3"/>
        <v>2734.2049421500001</v>
      </c>
      <c r="G23" s="96">
        <f t="shared" ca="1" si="4"/>
        <v>408218.03644617181</v>
      </c>
      <c r="H23" s="96" t="str">
        <f t="shared" ca="1" si="5"/>
        <v/>
      </c>
      <c r="I23" s="17" t="s">
        <v>1456</v>
      </c>
      <c r="J23">
        <v>1</v>
      </c>
      <c r="L23" t="s">
        <v>1918</v>
      </c>
    </row>
    <row r="24" spans="1:12" ht="15" x14ac:dyDescent="0.25">
      <c r="A24" s="51" t="s">
        <v>1958</v>
      </c>
      <c r="B24" s="9" t="str">
        <f t="shared" si="6"/>
        <v>…</v>
      </c>
      <c r="C24" t="str">
        <f t="shared" ca="1" si="0"/>
        <v>ZINC OXIDE SURGE ARRESTOR MAINTENANCE </v>
      </c>
      <c r="D24" s="33">
        <f t="shared" ca="1" si="1"/>
        <v>33077.880339040188</v>
      </c>
      <c r="E24" s="96">
        <f t="shared" ca="1" si="2"/>
        <v>6408.5835328878502</v>
      </c>
      <c r="F24" s="96" t="str">
        <f t="shared" ca="1" si="3"/>
        <v/>
      </c>
      <c r="G24" s="96">
        <f t="shared" ca="1" si="4"/>
        <v>26669.296806152339</v>
      </c>
      <c r="H24" s="96" t="str">
        <f t="shared" ca="1" si="5"/>
        <v/>
      </c>
      <c r="I24" s="17" t="s">
        <v>1457</v>
      </c>
      <c r="J24">
        <v>1</v>
      </c>
      <c r="L24" t="s">
        <v>1918</v>
      </c>
    </row>
    <row r="25" spans="1:12" ht="15" x14ac:dyDescent="0.25">
      <c r="A25" s="51" t="s">
        <v>1959</v>
      </c>
      <c r="B25" s="9" t="str">
        <f t="shared" si="6"/>
        <v>…</v>
      </c>
      <c r="C25" t="str">
        <f t="shared" ca="1" si="0"/>
        <v>AIR GAP SURGE LIMITER MAINTENANCE </v>
      </c>
      <c r="D25" s="33">
        <f t="shared" ca="1" si="1"/>
        <v>7620.8242968038667</v>
      </c>
      <c r="E25" s="96">
        <f t="shared" ca="1" si="2"/>
        <v>6408.5835328878511</v>
      </c>
      <c r="F25" s="96" t="str">
        <f t="shared" ca="1" si="3"/>
        <v/>
      </c>
      <c r="G25" s="96">
        <f t="shared" ca="1" si="4"/>
        <v>1212.2407639160153</v>
      </c>
      <c r="H25" s="96" t="str">
        <f t="shared" ca="1" si="5"/>
        <v/>
      </c>
      <c r="I25" s="17" t="s">
        <v>1457</v>
      </c>
      <c r="J25">
        <v>1</v>
      </c>
      <c r="L25" t="s">
        <v>1918</v>
      </c>
    </row>
    <row r="26" spans="1:12" ht="15" x14ac:dyDescent="0.25">
      <c r="A26" s="51" t="s">
        <v>1976</v>
      </c>
      <c r="B26" s="9" t="str">
        <f t="shared" si="6"/>
        <v>…</v>
      </c>
      <c r="C26" t="str">
        <f t="shared" ca="1" si="0"/>
        <v>AC FILTER RESISTOR MAINTENANCE </v>
      </c>
      <c r="D26" s="33">
        <f t="shared" ca="1" si="1"/>
        <v>28228.917283376126</v>
      </c>
      <c r="E26" s="96">
        <f t="shared" ca="1" si="2"/>
        <v>6408.5835328878511</v>
      </c>
      <c r="F26" s="96" t="str">
        <f t="shared" ca="1" si="3"/>
        <v/>
      </c>
      <c r="G26" s="96">
        <f t="shared" ca="1" si="4"/>
        <v>21820.333750488277</v>
      </c>
      <c r="H26" s="96" t="str">
        <f t="shared" ca="1" si="5"/>
        <v/>
      </c>
      <c r="I26" s="17" t="s">
        <v>1458</v>
      </c>
      <c r="J26">
        <v>1</v>
      </c>
      <c r="L26" t="s">
        <v>1918</v>
      </c>
    </row>
    <row r="27" spans="1:12" ht="15" x14ac:dyDescent="0.25">
      <c r="A27" s="51" t="s">
        <v>2430</v>
      </c>
      <c r="B27" s="9" t="str">
        <f t="shared" si="6"/>
        <v>…</v>
      </c>
      <c r="C27" t="str">
        <f t="shared" ca="1" si="0"/>
        <v>VALVE COOLING SYSTEM MAINTENANCE</v>
      </c>
      <c r="D27" s="33">
        <f t="shared" ca="1" si="1"/>
        <v>105908.08545609401</v>
      </c>
      <c r="E27" s="96">
        <f t="shared" ca="1" si="2"/>
        <v>7273.103097213545</v>
      </c>
      <c r="F27" s="96">
        <f t="shared" ca="1" si="3"/>
        <v>57418.303785149998</v>
      </c>
      <c r="G27" s="96">
        <f t="shared" ca="1" si="4"/>
        <v>41216.67857373046</v>
      </c>
      <c r="H27" s="96" t="str">
        <f t="shared" ca="1" si="5"/>
        <v/>
      </c>
      <c r="I27" s="17" t="s">
        <v>1459</v>
      </c>
      <c r="J27">
        <v>3</v>
      </c>
      <c r="L27" t="s">
        <v>1918</v>
      </c>
    </row>
    <row r="28" spans="1:12" ht="15" x14ac:dyDescent="0.25">
      <c r="A28" s="51" t="s">
        <v>2431</v>
      </c>
      <c r="B28" s="9" t="str">
        <f t="shared" si="6"/>
        <v>…</v>
      </c>
      <c r="C28" t="str">
        <f t="shared" ca="1" si="0"/>
        <v>NITROGEN BOTTLE REPLACEMENT</v>
      </c>
      <c r="D28" s="33">
        <f t="shared" ca="1" si="1"/>
        <v>79200.690032773593</v>
      </c>
      <c r="E28" s="96">
        <f t="shared" ca="1" si="2"/>
        <v>34130.493239163741</v>
      </c>
      <c r="F28" s="96">
        <f t="shared" ca="1" si="3"/>
        <v>45070.196793609859</v>
      </c>
      <c r="G28" s="96" t="str">
        <f t="shared" ca="1" si="4"/>
        <v/>
      </c>
      <c r="H28" s="96" t="str">
        <f t="shared" ca="1" si="5"/>
        <v/>
      </c>
      <c r="I28" s="17" t="s">
        <v>1459</v>
      </c>
      <c r="J28">
        <v>1</v>
      </c>
      <c r="L28" t="s">
        <v>1918</v>
      </c>
    </row>
    <row r="29" spans="1:12" x14ac:dyDescent="0.3">
      <c r="A29" s="51" t="s">
        <v>1989</v>
      </c>
      <c r="B29" s="9" t="str">
        <f t="shared" si="6"/>
        <v>…</v>
      </c>
      <c r="C29" t="str">
        <f t="shared" ca="1" si="0"/>
        <v>VALVE COOLING SYSTEM PUMP MAINTENANCE </v>
      </c>
      <c r="D29" s="33">
        <f t="shared" ca="1" si="1"/>
        <v>25804.435755544095</v>
      </c>
      <c r="E29" s="96">
        <f t="shared" ca="1" si="2"/>
        <v>6408.5835328878511</v>
      </c>
      <c r="F29" s="96" t="str">
        <f t="shared" ca="1" si="3"/>
        <v/>
      </c>
      <c r="G29" s="96">
        <f t="shared" ca="1" si="4"/>
        <v>19395.852222656245</v>
      </c>
      <c r="H29" s="96" t="str">
        <f t="shared" ca="1" si="5"/>
        <v/>
      </c>
      <c r="I29" s="17" t="s">
        <v>1461</v>
      </c>
      <c r="J29">
        <v>1</v>
      </c>
      <c r="L29" t="s">
        <v>1918</v>
      </c>
    </row>
    <row r="30" spans="1:12" x14ac:dyDescent="0.3">
      <c r="A30" s="51" t="s">
        <v>1977</v>
      </c>
      <c r="B30" s="9" t="str">
        <f t="shared" si="6"/>
        <v>…</v>
      </c>
      <c r="C30" t="str">
        <f t="shared" ca="1" si="0"/>
        <v>VALVE COOLING MCC THERMOGRAPHIC IMAGING </v>
      </c>
      <c r="D30" s="33">
        <f t="shared" ca="1" si="1"/>
        <v>34876.021068731985</v>
      </c>
      <c r="E30" s="96">
        <f t="shared" ca="1" si="2"/>
        <v>7775.9911145851165</v>
      </c>
      <c r="F30" s="96" t="str">
        <f t="shared" ca="1" si="3"/>
        <v/>
      </c>
      <c r="G30" s="96">
        <f t="shared" ca="1" si="4"/>
        <v>16163.210185546872</v>
      </c>
      <c r="H30" s="96">
        <f t="shared" ca="1" si="5"/>
        <v>10936.8197686</v>
      </c>
      <c r="I30" s="17" t="s">
        <v>1462</v>
      </c>
      <c r="J30">
        <v>1</v>
      </c>
      <c r="L30" t="s">
        <v>1921</v>
      </c>
    </row>
    <row r="31" spans="1:12" x14ac:dyDescent="0.3">
      <c r="A31" s="51" t="s">
        <v>1978</v>
      </c>
      <c r="B31" s="9" t="str">
        <f t="shared" si="6"/>
        <v>…</v>
      </c>
      <c r="C31" t="str">
        <f t="shared" ca="1" si="0"/>
        <v>AIR BLAST COOLER MAINTENANCE </v>
      </c>
      <c r="D31" s="33">
        <f t="shared" ca="1" si="1"/>
        <v>156637.52846994682</v>
      </c>
      <c r="E31" s="96">
        <f t="shared" ca="1" si="2"/>
        <v>42190.318971926281</v>
      </c>
      <c r="F31" s="96">
        <f t="shared" ca="1" si="3"/>
        <v>48245.415792209998</v>
      </c>
      <c r="G31" s="96">
        <f t="shared" ca="1" si="4"/>
        <v>66201.793705810531</v>
      </c>
      <c r="H31" s="96" t="str">
        <f t="shared" ca="1" si="5"/>
        <v/>
      </c>
      <c r="I31" s="17" t="s">
        <v>1463</v>
      </c>
      <c r="J31">
        <v>1</v>
      </c>
      <c r="L31" t="s">
        <v>1918</v>
      </c>
    </row>
    <row r="32" spans="1:12" x14ac:dyDescent="0.3">
      <c r="A32" s="51" t="s">
        <v>1979</v>
      </c>
      <c r="B32" s="9" t="str">
        <f t="shared" si="6"/>
        <v>…</v>
      </c>
      <c r="C32" t="str">
        <f t="shared" ca="1" si="0"/>
        <v>VALVE DEHUMIDIFIER MAINTENANCE </v>
      </c>
      <c r="D32" s="33">
        <f t="shared" ca="1" si="1"/>
        <v>32269.719829762849</v>
      </c>
      <c r="E32" s="96">
        <f t="shared" ca="1" si="2"/>
        <v>6408.5835328878511</v>
      </c>
      <c r="F32" s="96" t="str">
        <f t="shared" ca="1" si="3"/>
        <v/>
      </c>
      <c r="G32" s="96">
        <f t="shared" ca="1" si="4"/>
        <v>25861.136296874996</v>
      </c>
      <c r="H32" s="96" t="str">
        <f t="shared" ca="1" si="5"/>
        <v/>
      </c>
      <c r="I32" s="17" t="s">
        <v>1464</v>
      </c>
      <c r="J32">
        <v>1</v>
      </c>
      <c r="L32" t="s">
        <v>1918</v>
      </c>
    </row>
    <row r="33" spans="1:12" x14ac:dyDescent="0.3">
      <c r="A33" s="51" t="s">
        <v>1980</v>
      </c>
      <c r="B33" s="9" t="str">
        <f t="shared" si="6"/>
        <v>…</v>
      </c>
      <c r="C33" t="str">
        <f t="shared" ca="1" si="0"/>
        <v>VALVE HUMIDITY CONTROL SYSTEM </v>
      </c>
      <c r="D33" s="33">
        <f t="shared" ca="1" si="1"/>
        <v>0</v>
      </c>
      <c r="E33" s="96" t="str">
        <f t="shared" ca="1" si="2"/>
        <v/>
      </c>
      <c r="F33" s="96" t="str">
        <f t="shared" ca="1" si="3"/>
        <v/>
      </c>
      <c r="G33" s="96" t="str">
        <f t="shared" ca="1" si="4"/>
        <v/>
      </c>
      <c r="H33" s="96" t="str">
        <f t="shared" ca="1" si="5"/>
        <v/>
      </c>
      <c r="I33" s="17" t="s">
        <v>1465</v>
      </c>
      <c r="J33">
        <v>1</v>
      </c>
      <c r="L33" t="s">
        <v>1918</v>
      </c>
    </row>
    <row r="34" spans="1:12" x14ac:dyDescent="0.3">
      <c r="A34" s="51" t="s">
        <v>1937</v>
      </c>
      <c r="B34" s="9" t="str">
        <f t="shared" si="6"/>
        <v>…</v>
      </c>
      <c r="C34" t="str">
        <f t="shared" ca="1" si="0"/>
        <v>REACTOR MAINTENANCE</v>
      </c>
      <c r="D34" s="33">
        <f t="shared" ca="1" si="1"/>
        <v>193514.25634858612</v>
      </c>
      <c r="E34" s="96">
        <f t="shared" ca="1" si="2"/>
        <v>37310.774507887858</v>
      </c>
      <c r="F34" s="96">
        <f t="shared" ca="1" si="3"/>
        <v>65920</v>
      </c>
      <c r="G34" s="96">
        <f t="shared" ca="1" si="4"/>
        <v>90283.481840698238</v>
      </c>
      <c r="H34" s="96" t="str">
        <f t="shared" ca="1" si="5"/>
        <v/>
      </c>
      <c r="I34" s="17" t="s">
        <v>1466</v>
      </c>
      <c r="J34">
        <v>2</v>
      </c>
    </row>
    <row r="35" spans="1:12" x14ac:dyDescent="0.3">
      <c r="A35" s="51" t="s">
        <v>1922</v>
      </c>
      <c r="B35" s="9" t="str">
        <f t="shared" si="6"/>
        <v>…</v>
      </c>
      <c r="C35" t="str">
        <f t="shared" ca="1" si="0"/>
        <v>PHASE REACTOR MAINTENANCE</v>
      </c>
      <c r="D35" s="33">
        <f t="shared" ca="1" si="1"/>
        <v>518341.48110815056</v>
      </c>
      <c r="E35" s="96">
        <f t="shared" ca="1" si="2"/>
        <v>141907.27981590602</v>
      </c>
      <c r="F35" s="96">
        <f t="shared" ca="1" si="3"/>
        <v>39700.655760018002</v>
      </c>
      <c r="G35" s="96">
        <f t="shared" ca="1" si="4"/>
        <v>336733.54553222656</v>
      </c>
      <c r="H35" s="96" t="str">
        <f t="shared" ca="1" si="5"/>
        <v/>
      </c>
      <c r="I35" s="17" t="s">
        <v>1466</v>
      </c>
      <c r="J35">
        <v>1</v>
      </c>
      <c r="L35" t="s">
        <v>1918</v>
      </c>
    </row>
    <row r="36" spans="1:12" x14ac:dyDescent="0.3">
      <c r="A36" s="51" t="s">
        <v>1956</v>
      </c>
      <c r="B36" s="9" t="str">
        <f t="shared" si="6"/>
        <v>…</v>
      </c>
      <c r="C36" t="str">
        <f t="shared" ca="1" si="0"/>
        <v>PHASE REACTOR FAN MAINTENANCE</v>
      </c>
      <c r="D36" s="33">
        <f t="shared" ca="1" si="1"/>
        <v>24467.661624081036</v>
      </c>
      <c r="E36" s="96">
        <f t="shared" ca="1" si="2"/>
        <v>7721.5424747769139</v>
      </c>
      <c r="F36" s="96">
        <f t="shared" ca="1" si="3"/>
        <v>1749.891162976</v>
      </c>
      <c r="G36" s="96">
        <f t="shared" ca="1" si="4"/>
        <v>14996.227986328122</v>
      </c>
      <c r="H36" s="96" t="str">
        <f t="shared" ca="1" si="5"/>
        <v/>
      </c>
      <c r="I36" s="17" t="s">
        <v>1466</v>
      </c>
      <c r="J36">
        <v>2</v>
      </c>
    </row>
    <row r="37" spans="1:12" x14ac:dyDescent="0.3">
      <c r="A37" s="51" t="s">
        <v>2236</v>
      </c>
      <c r="B37" s="9" t="str">
        <f t="shared" si="6"/>
        <v>…</v>
      </c>
      <c r="C37" t="str">
        <f t="shared" ca="1" si="0"/>
        <v>DC ZERO SEQUENCE SMOOTHING REACTOR MAINTENANCE</v>
      </c>
      <c r="D37" s="33">
        <f t="shared" ca="1" si="1"/>
        <v>7620.8242968038667</v>
      </c>
      <c r="E37" s="96">
        <f t="shared" ca="1" si="2"/>
        <v>6408.5835328878511</v>
      </c>
      <c r="F37" s="96" t="str">
        <f t="shared" ca="1" si="3"/>
        <v/>
      </c>
      <c r="G37" s="96">
        <f t="shared" ca="1" si="4"/>
        <v>1212.2407639160153</v>
      </c>
      <c r="H37" s="96" t="str">
        <f t="shared" ca="1" si="5"/>
        <v/>
      </c>
      <c r="I37" s="17" t="s">
        <v>1466</v>
      </c>
      <c r="J37">
        <v>1</v>
      </c>
    </row>
    <row r="38" spans="1:12" x14ac:dyDescent="0.3">
      <c r="A38" s="51" t="s">
        <v>1981</v>
      </c>
      <c r="B38" s="9" t="str">
        <f t="shared" si="6"/>
        <v>…</v>
      </c>
      <c r="C38" t="str">
        <f t="shared" ca="1" si="0"/>
        <v>IGBT VALVE MAINTENANCE </v>
      </c>
      <c r="D38" s="33">
        <f t="shared" ca="1" si="1"/>
        <v>61463.128191330921</v>
      </c>
      <c r="E38" s="96">
        <f t="shared" ca="1" si="2"/>
        <v>21459.182982102418</v>
      </c>
      <c r="F38" s="96" t="str">
        <f t="shared" ca="1" si="3"/>
        <v/>
      </c>
      <c r="G38" s="96">
        <f t="shared" ca="1" si="4"/>
        <v>40003.945209228506</v>
      </c>
      <c r="H38" s="96" t="str">
        <f t="shared" ca="1" si="5"/>
        <v/>
      </c>
      <c r="I38" s="17" t="s">
        <v>1468</v>
      </c>
      <c r="J38">
        <v>1</v>
      </c>
      <c r="L38" t="s">
        <v>1918</v>
      </c>
    </row>
    <row r="39" spans="1:12" x14ac:dyDescent="0.3">
      <c r="A39" s="51" t="s">
        <v>1982</v>
      </c>
      <c r="B39" s="9" t="str">
        <f t="shared" si="6"/>
        <v>…</v>
      </c>
      <c r="C39" t="str">
        <f t="shared" ca="1" si="0"/>
        <v>DIRECT VOLTAGE DIVIDER MAINTENANCE</v>
      </c>
      <c r="D39" s="33">
        <f t="shared" ca="1" si="1"/>
        <v>15588.965383320232</v>
      </c>
      <c r="E39" s="96">
        <f t="shared" ca="1" si="2"/>
        <v>10254.514901386639</v>
      </c>
      <c r="F39" s="96" t="str">
        <f t="shared" ca="1" si="3"/>
        <v/>
      </c>
      <c r="G39" s="96">
        <f t="shared" ca="1" si="4"/>
        <v>5334.4504819335925</v>
      </c>
      <c r="H39" s="96" t="str">
        <f t="shared" ca="1" si="5"/>
        <v/>
      </c>
      <c r="I39" s="17" t="s">
        <v>1469</v>
      </c>
      <c r="J39">
        <v>2</v>
      </c>
      <c r="L39" t="s">
        <v>1918</v>
      </c>
    </row>
    <row r="40" spans="1:12" x14ac:dyDescent="0.3">
      <c r="A40" s="51" t="s">
        <v>1983</v>
      </c>
      <c r="B40" s="9" t="str">
        <f t="shared" si="6"/>
        <v>…</v>
      </c>
      <c r="C40" t="str">
        <f t="shared" ca="1" si="0"/>
        <v>NITROGEN DISCHARGE UNIT MAINTENANCE</v>
      </c>
      <c r="D40" s="33">
        <f t="shared" ca="1" si="1"/>
        <v>17385.967575696443</v>
      </c>
      <c r="E40" s="96">
        <f t="shared" ca="1" si="2"/>
        <v>7689.5190859503509</v>
      </c>
      <c r="F40" s="96" t="str">
        <f t="shared" ca="1" si="3"/>
        <v/>
      </c>
      <c r="G40" s="96">
        <f t="shared" ca="1" si="4"/>
        <v>9696.4484897460916</v>
      </c>
      <c r="H40" s="96" t="str">
        <f t="shared" ca="1" si="5"/>
        <v/>
      </c>
      <c r="I40" s="17" t="s">
        <v>1471</v>
      </c>
      <c r="J40">
        <v>2</v>
      </c>
      <c r="L40" t="s">
        <v>1918</v>
      </c>
    </row>
    <row r="41" spans="1:12" x14ac:dyDescent="0.3">
      <c r="A41" s="51" t="s">
        <v>1984</v>
      </c>
      <c r="B41" s="9" t="str">
        <f t="shared" si="6"/>
        <v>…</v>
      </c>
      <c r="C41" t="str">
        <f t="shared" ca="1" si="0"/>
        <v>CONVERTER STATION THERMOGRAPHIC INSPECTION </v>
      </c>
      <c r="D41" s="33">
        <f t="shared" ca="1" si="1"/>
        <v>34876.021068731985</v>
      </c>
      <c r="E41" s="96">
        <f t="shared" ca="1" si="2"/>
        <v>7775.9911145851165</v>
      </c>
      <c r="F41" s="96" t="str">
        <f t="shared" ca="1" si="3"/>
        <v/>
      </c>
      <c r="G41" s="96">
        <f t="shared" ca="1" si="4"/>
        <v>16163.210185546872</v>
      </c>
      <c r="H41" s="96">
        <f t="shared" ca="1" si="5"/>
        <v>10936.8197686</v>
      </c>
      <c r="I41" s="17" t="s">
        <v>1473</v>
      </c>
      <c r="J41">
        <v>1</v>
      </c>
      <c r="L41" t="s">
        <v>1920</v>
      </c>
    </row>
    <row r="42" spans="1:12" x14ac:dyDescent="0.3">
      <c r="A42" s="51" t="s">
        <v>1985</v>
      </c>
      <c r="B42" s="9" t="str">
        <f t="shared" si="6"/>
        <v>…</v>
      </c>
      <c r="C42" t="str">
        <f t="shared" ca="1" si="0"/>
        <v>FUNCTIONAL TEST OF EMERGENCY STOP BUTTON </v>
      </c>
      <c r="D42" s="33">
        <f t="shared" ca="1" si="1"/>
        <v>881.97789019473612</v>
      </c>
      <c r="E42" s="96">
        <f t="shared" ca="1" si="2"/>
        <v>881.97789019473612</v>
      </c>
      <c r="F42" s="96" t="str">
        <f t="shared" ca="1" si="3"/>
        <v/>
      </c>
      <c r="G42" s="96" t="str">
        <f t="shared" ca="1" si="4"/>
        <v/>
      </c>
      <c r="H42" s="96" t="str">
        <f t="shared" ca="1" si="5"/>
        <v/>
      </c>
      <c r="I42" s="17" t="s">
        <v>1474</v>
      </c>
      <c r="J42">
        <v>1</v>
      </c>
      <c r="L42" t="s">
        <v>1918</v>
      </c>
    </row>
    <row r="43" spans="1:12" x14ac:dyDescent="0.3">
      <c r="A43" s="51" t="s">
        <v>1986</v>
      </c>
      <c r="B43" s="9" t="str">
        <f t="shared" si="6"/>
        <v>…</v>
      </c>
      <c r="C43" t="str">
        <f t="shared" ca="1" si="0"/>
        <v>CIRCUIT BREAKER MAINTENANCE</v>
      </c>
      <c r="D43" s="33">
        <f t="shared" ca="1" si="1"/>
        <v>362559.40766917024</v>
      </c>
      <c r="E43" s="96">
        <f t="shared" ca="1" si="2"/>
        <v>49217.948544951563</v>
      </c>
      <c r="F43" s="96">
        <f t="shared" ca="1" si="3"/>
        <v>6180</v>
      </c>
      <c r="G43" s="96">
        <f t="shared" ca="1" si="4"/>
        <v>307161.45912421867</v>
      </c>
      <c r="H43" s="96" t="str">
        <f t="shared" ca="1" si="5"/>
        <v/>
      </c>
      <c r="I43" s="17" t="s">
        <v>1475</v>
      </c>
      <c r="J43">
        <v>3</v>
      </c>
      <c r="L43" t="s">
        <v>1921</v>
      </c>
    </row>
    <row r="44" spans="1:12" x14ac:dyDescent="0.3">
      <c r="A44" s="51" t="s">
        <v>1987</v>
      </c>
      <c r="B44" s="9" t="str">
        <f t="shared" si="6"/>
        <v>…</v>
      </c>
      <c r="C44" t="str">
        <f t="shared" ca="1" si="0"/>
        <v>INSULATING WALL BUSHING MAINTENANCE </v>
      </c>
      <c r="D44" s="33">
        <f t="shared" ca="1" si="1"/>
        <v>2734.7378968124999</v>
      </c>
      <c r="E44" s="96">
        <f t="shared" ca="1" si="2"/>
        <v>1280.9355530625</v>
      </c>
      <c r="F44" s="96" t="str">
        <f t="shared" ca="1" si="3"/>
        <v/>
      </c>
      <c r="G44" s="96">
        <f t="shared" ca="1" si="4"/>
        <v>1453.8023437499999</v>
      </c>
      <c r="H44" s="96" t="str">
        <f t="shared" ca="1" si="5"/>
        <v/>
      </c>
      <c r="I44" s="17" t="s">
        <v>1477</v>
      </c>
      <c r="J44">
        <v>1</v>
      </c>
      <c r="L44" t="s">
        <v>1921</v>
      </c>
    </row>
    <row r="45" spans="1:12" x14ac:dyDescent="0.3">
      <c r="A45" s="51" t="s">
        <v>1988</v>
      </c>
      <c r="B45" s="9" t="str">
        <f t="shared" si="6"/>
        <v>…</v>
      </c>
      <c r="C45" t="str">
        <f t="shared" ca="1" si="0"/>
        <v>PLC FILTER TUNING UNIT MAINTENANCE </v>
      </c>
      <c r="D45" s="33">
        <f t="shared" ca="1" si="1"/>
        <v>2194.2492749999997</v>
      </c>
      <c r="E45" s="96">
        <f t="shared" ca="1" si="2"/>
        <v>1732.9992749999999</v>
      </c>
      <c r="F45" s="96" t="str">
        <f t="shared" ca="1" si="3"/>
        <v/>
      </c>
      <c r="G45" s="96">
        <f t="shared" ca="1" si="4"/>
        <v>461.24999999999994</v>
      </c>
      <c r="H45" s="96" t="str">
        <f t="shared" ca="1" si="5"/>
        <v/>
      </c>
      <c r="I45" s="17" t="s">
        <v>1478</v>
      </c>
      <c r="J45">
        <v>1</v>
      </c>
      <c r="L45" t="s">
        <v>1918</v>
      </c>
    </row>
    <row r="46" spans="1:12" x14ac:dyDescent="0.3">
      <c r="A46" s="51" t="s">
        <v>1786</v>
      </c>
      <c r="B46" s="9" t="str">
        <f t="shared" si="6"/>
        <v>…</v>
      </c>
      <c r="C46" t="str">
        <f t="shared" ca="1" si="0"/>
        <v>DISCONNECTOR &amp; EARTH SWITCH MAINTENANCE</v>
      </c>
      <c r="D46" s="33">
        <f t="shared" ca="1" si="1"/>
        <v>3299.8221450140618</v>
      </c>
      <c r="E46" s="96">
        <f t="shared" ca="1" si="2"/>
        <v>1312.9589418890623</v>
      </c>
      <c r="F46" s="96" t="str">
        <f t="shared" ca="1" si="3"/>
        <v/>
      </c>
      <c r="G46" s="96">
        <f t="shared" ca="1" si="4"/>
        <v>1986.8632031249995</v>
      </c>
      <c r="H46" s="96" t="str">
        <f t="shared" ca="1" si="5"/>
        <v/>
      </c>
      <c r="I46" s="17" t="s">
        <v>1479</v>
      </c>
      <c r="J46">
        <v>1</v>
      </c>
      <c r="L46" t="s">
        <v>1921</v>
      </c>
    </row>
    <row r="47" spans="1:12" x14ac:dyDescent="0.3">
      <c r="A47" s="51" t="s">
        <v>1787</v>
      </c>
      <c r="B47" s="9" t="str">
        <f t="shared" si="6"/>
        <v>…</v>
      </c>
      <c r="C47" t="str">
        <f t="shared" ca="1" si="0"/>
        <v>MOTORISED OPERATING MECHANISM MAINTENANCE</v>
      </c>
      <c r="D47" s="33">
        <f t="shared" ca="1" si="1"/>
        <v>3299.8221450140618</v>
      </c>
      <c r="E47" s="96">
        <f t="shared" ca="1" si="2"/>
        <v>1312.9589418890623</v>
      </c>
      <c r="F47" s="96" t="str">
        <f t="shared" ca="1" si="3"/>
        <v/>
      </c>
      <c r="G47" s="96">
        <f t="shared" ca="1" si="4"/>
        <v>1986.8632031249995</v>
      </c>
      <c r="H47" s="96" t="str">
        <f t="shared" ca="1" si="5"/>
        <v/>
      </c>
      <c r="I47" s="17" t="s">
        <v>1479</v>
      </c>
      <c r="J47">
        <v>1</v>
      </c>
      <c r="L47" t="s">
        <v>1918</v>
      </c>
    </row>
    <row r="48" spans="1:12" x14ac:dyDescent="0.3">
      <c r="A48" s="51" t="s">
        <v>1990</v>
      </c>
      <c r="B48" s="9" t="str">
        <f t="shared" si="6"/>
        <v>…</v>
      </c>
      <c r="C48" t="str">
        <f t="shared" ca="1" si="0"/>
        <v>MANUAL OPERATING MECHANISM MAINTENANCE</v>
      </c>
      <c r="D48" s="33">
        <f t="shared" ca="1" si="1"/>
        <v>0</v>
      </c>
      <c r="E48" s="96" t="str">
        <f t="shared" ca="1" si="2"/>
        <v/>
      </c>
      <c r="F48" s="96" t="str">
        <f t="shared" ca="1" si="3"/>
        <v/>
      </c>
      <c r="G48" s="96" t="str">
        <f t="shared" ca="1" si="4"/>
        <v/>
      </c>
      <c r="H48" s="96" t="str">
        <f t="shared" ca="1" si="5"/>
        <v/>
      </c>
      <c r="I48" s="64" t="s">
        <v>1777</v>
      </c>
      <c r="J48">
        <v>1</v>
      </c>
      <c r="L48" t="s">
        <v>1918</v>
      </c>
    </row>
    <row r="49" spans="1:10" x14ac:dyDescent="0.3">
      <c r="B49" s="9"/>
      <c r="E49" s="96"/>
      <c r="F49" s="96"/>
      <c r="G49" s="96"/>
      <c r="H49" s="96"/>
      <c r="I49" s="102"/>
      <c r="J49" s="96"/>
    </row>
    <row r="50" spans="1:10" x14ac:dyDescent="0.3">
      <c r="A50" s="30" t="s">
        <v>1939</v>
      </c>
      <c r="B50" s="9" t="str">
        <f t="shared" si="6"/>
        <v>…</v>
      </c>
      <c r="C50" t="str">
        <f t="shared" ref="C50:C69" ca="1" si="7">INDIRECT("'"&amp;A50&amp;"'!$B$1")</f>
        <v>PRESTART INSPECTIONS</v>
      </c>
      <c r="D50" s="33">
        <f t="shared" ref="D50:D69" ca="1" si="8">SUM(INDIRECT("'"&amp;A50&amp;"'!$D$3:$D$6"))</f>
        <v>37302.451513832122</v>
      </c>
      <c r="E50" s="96">
        <f t="shared" ref="E50:E69" ca="1" si="9">IF(INDIRECT("'"&amp;A50&amp;"'!$D$3")=0,"",INDIRECT("'"&amp;A50&amp;"'!$D$3"))</f>
        <v>37302.451513832122</v>
      </c>
      <c r="F50" s="96" t="str">
        <f t="shared" ref="F50:F69" ca="1" si="10">IF(INDIRECT("'"&amp;A50&amp;"'!$D$4")=0,"",INDIRECT("'"&amp;A50&amp;"'!$D$4"))</f>
        <v/>
      </c>
      <c r="G50" s="96" t="str">
        <f t="shared" ref="G50:G69" ca="1" si="11">IF(INDIRECT("'"&amp;A50&amp;"'!$D$5")=0,"",INDIRECT("'"&amp;A50&amp;"'!$D$5"))</f>
        <v/>
      </c>
      <c r="H50" s="96" t="str">
        <f t="shared" ref="H50:H69" ca="1" si="12">IF(INDIRECT("'"&amp;A50&amp;"'!$D$6")=0,"",INDIRECT("'"&amp;A50&amp;"'!$D$6"))</f>
        <v/>
      </c>
      <c r="I50" s="102"/>
      <c r="J50" s="96"/>
    </row>
    <row r="51" spans="1:10" x14ac:dyDescent="0.3">
      <c r="A51" s="30" t="s">
        <v>1940</v>
      </c>
      <c r="B51" s="9" t="str">
        <f t="shared" si="6"/>
        <v>…</v>
      </c>
      <c r="C51" t="str">
        <f t="shared" ca="1" si="7"/>
        <v>CABLE REPAIRS</v>
      </c>
      <c r="D51" s="33">
        <f t="shared" ca="1" si="8"/>
        <v>1845697.2099350281</v>
      </c>
      <c r="E51" s="96">
        <f t="shared" ca="1" si="9"/>
        <v>609704.82030560821</v>
      </c>
      <c r="F51" s="96">
        <f t="shared" ca="1" si="10"/>
        <v>31443.356834725</v>
      </c>
      <c r="G51" s="96">
        <f t="shared" ca="1" si="11"/>
        <v>1204549.0327946949</v>
      </c>
      <c r="H51" s="96" t="str">
        <f t="shared" ca="1" si="12"/>
        <v/>
      </c>
      <c r="I51" s="102"/>
      <c r="J51" s="96"/>
    </row>
    <row r="52" spans="1:10" x14ac:dyDescent="0.3">
      <c r="A52" s="30" t="s">
        <v>1955</v>
      </c>
      <c r="B52" s="9" t="str">
        <f t="shared" si="6"/>
        <v>…</v>
      </c>
      <c r="C52" t="str">
        <f t="shared" ca="1" si="7"/>
        <v>IGBT VALVE REPAIRS</v>
      </c>
      <c r="D52" s="33">
        <f t="shared" ca="1" si="8"/>
        <v>85204.233187428836</v>
      </c>
      <c r="E52" s="96">
        <f t="shared" ca="1" si="9"/>
        <v>6408.583532887852</v>
      </c>
      <c r="F52" s="96" t="str">
        <f t="shared" ca="1" si="10"/>
        <v/>
      </c>
      <c r="G52" s="96">
        <f t="shared" ca="1" si="11"/>
        <v>78795.64965454099</v>
      </c>
      <c r="H52" s="96" t="str">
        <f t="shared" ca="1" si="12"/>
        <v/>
      </c>
      <c r="I52" s="102"/>
      <c r="J52" s="96"/>
    </row>
    <row r="53" spans="1:10" x14ac:dyDescent="0.3">
      <c r="A53" s="30" t="s">
        <v>1941</v>
      </c>
      <c r="B53" s="9" t="str">
        <f t="shared" si="6"/>
        <v>…</v>
      </c>
      <c r="C53" t="str">
        <f t="shared" ca="1" si="7"/>
        <v>CONTROL SYSTEM REPAIRS</v>
      </c>
      <c r="D53" s="33">
        <f t="shared" ca="1" si="8"/>
        <v>198269.82779739177</v>
      </c>
      <c r="E53" s="96">
        <f t="shared" ca="1" si="9"/>
        <v>179130.39320234177</v>
      </c>
      <c r="F53" s="96">
        <f t="shared" ca="1" si="10"/>
        <v>19139.434595049999</v>
      </c>
      <c r="G53" s="96" t="str">
        <f t="shared" ca="1" si="11"/>
        <v/>
      </c>
      <c r="H53" s="96" t="str">
        <f t="shared" ca="1" si="12"/>
        <v/>
      </c>
      <c r="I53" s="102"/>
      <c r="J53" s="96"/>
    </row>
    <row r="54" spans="1:10" x14ac:dyDescent="0.3">
      <c r="A54" s="30" t="s">
        <v>1938</v>
      </c>
      <c r="B54" s="9" t="str">
        <f t="shared" si="6"/>
        <v>…</v>
      </c>
      <c r="C54" t="str">
        <f t="shared" ca="1" si="7"/>
        <v>BUILDING AIR-CONDITIONERS</v>
      </c>
      <c r="D54" s="33">
        <f t="shared" ca="1" si="8"/>
        <v>124862.91303328199</v>
      </c>
      <c r="E54" s="96">
        <f t="shared" ca="1" si="9"/>
        <v>41692.257165949632</v>
      </c>
      <c r="F54" s="96" t="str">
        <f t="shared" ca="1" si="10"/>
        <v/>
      </c>
      <c r="G54" s="96">
        <f t="shared" ca="1" si="11"/>
        <v>83170.65586733236</v>
      </c>
      <c r="H54" s="96" t="str">
        <f t="shared" ca="1" si="12"/>
        <v/>
      </c>
      <c r="I54" s="102"/>
      <c r="J54" s="96"/>
    </row>
    <row r="55" spans="1:10" x14ac:dyDescent="0.3">
      <c r="A55" s="30" t="s">
        <v>2071</v>
      </c>
      <c r="B55" s="9" t="str">
        <f t="shared" si="6"/>
        <v>…</v>
      </c>
      <c r="C55" t="str">
        <f t="shared" ca="1" si="7"/>
        <v>ELECTRICITY COSTS</v>
      </c>
      <c r="D55" s="33">
        <f t="shared" ca="1" si="8"/>
        <v>3469970.3825846221</v>
      </c>
      <c r="E55" s="96">
        <f t="shared" ca="1" si="9"/>
        <v>8204.4454901835925</v>
      </c>
      <c r="F55" s="96">
        <f t="shared" ca="1" si="10"/>
        <v>3461765.9370944384</v>
      </c>
      <c r="G55" s="96" t="str">
        <f t="shared" ca="1" si="11"/>
        <v/>
      </c>
      <c r="H55" s="96" t="str">
        <f t="shared" ca="1" si="12"/>
        <v/>
      </c>
      <c r="I55" s="102"/>
      <c r="J55" s="96"/>
    </row>
    <row r="56" spans="1:10" x14ac:dyDescent="0.3">
      <c r="A56" s="30" t="s">
        <v>2355</v>
      </c>
      <c r="B56" s="9" t="str">
        <f t="shared" si="6"/>
        <v>…</v>
      </c>
      <c r="C56" t="str">
        <f t="shared" ca="1" si="7"/>
        <v>CONTROL ROOM OPERATIONS</v>
      </c>
      <c r="D56" s="33">
        <f t="shared" ca="1" si="8"/>
        <v>1010323.4769940895</v>
      </c>
      <c r="E56" s="96">
        <f t="shared" ca="1" si="9"/>
        <v>8204.4454901835925</v>
      </c>
      <c r="F56" s="96">
        <f t="shared" ca="1" si="10"/>
        <v>1002119.031503906</v>
      </c>
      <c r="G56" s="96" t="str">
        <f t="shared" ca="1" si="11"/>
        <v/>
      </c>
      <c r="H56" s="96" t="str">
        <f t="shared" ca="1" si="12"/>
        <v/>
      </c>
      <c r="I56" s="102"/>
      <c r="J56" s="96"/>
    </row>
    <row r="57" spans="1:10" x14ac:dyDescent="0.3">
      <c r="A57" s="30" t="s">
        <v>2217</v>
      </c>
      <c r="B57" s="9" t="str">
        <f t="shared" si="6"/>
        <v>…</v>
      </c>
      <c r="C57" t="str">
        <f t="shared" ca="1" si="7"/>
        <v>REMOTE COMMUNICATIONS</v>
      </c>
      <c r="D57" s="33">
        <f t="shared" ca="1" si="8"/>
        <v>261643.58119955857</v>
      </c>
      <c r="E57" s="96">
        <f t="shared" ca="1" si="9"/>
        <v>8204.4454901835925</v>
      </c>
      <c r="F57" s="96">
        <f t="shared" ca="1" si="10"/>
        <v>253439.13570937497</v>
      </c>
      <c r="G57" s="96" t="str">
        <f t="shared" ca="1" si="11"/>
        <v/>
      </c>
      <c r="H57" s="96" t="str">
        <f t="shared" ca="1" si="12"/>
        <v/>
      </c>
      <c r="I57" s="102"/>
      <c r="J57" s="96"/>
    </row>
    <row r="58" spans="1:10" x14ac:dyDescent="0.3">
      <c r="A58" s="30" t="s">
        <v>1942</v>
      </c>
      <c r="B58" s="9" t="str">
        <f t="shared" si="6"/>
        <v>…</v>
      </c>
      <c r="C58" t="str">
        <f t="shared" ca="1" si="7"/>
        <v>DIAL BEFORE YOU DIG</v>
      </c>
      <c r="D58" s="33">
        <f t="shared" ca="1" si="8"/>
        <v>152932.92634197397</v>
      </c>
      <c r="E58" s="96">
        <f t="shared" ca="1" si="9"/>
        <v>115200.89814030398</v>
      </c>
      <c r="F58" s="96">
        <f t="shared" ca="1" si="10"/>
        <v>37732.028201669993</v>
      </c>
      <c r="G58" s="96" t="str">
        <f t="shared" ca="1" si="11"/>
        <v/>
      </c>
      <c r="H58" s="96" t="str">
        <f t="shared" ca="1" si="12"/>
        <v/>
      </c>
      <c r="I58" s="102"/>
      <c r="J58" s="96"/>
    </row>
    <row r="59" spans="1:10" x14ac:dyDescent="0.3">
      <c r="A59" s="30" t="s">
        <v>2218</v>
      </c>
      <c r="B59" s="9" t="str">
        <f t="shared" si="6"/>
        <v>…</v>
      </c>
      <c r="C59" t="str">
        <f t="shared" ca="1" si="7"/>
        <v>SITE SECURITY</v>
      </c>
      <c r="D59" s="33">
        <f t="shared" ca="1" si="8"/>
        <v>287295.9696368872</v>
      </c>
      <c r="E59" s="96">
        <f t="shared" ca="1" si="9"/>
        <v>8204.4454901835925</v>
      </c>
      <c r="F59" s="96">
        <f t="shared" ca="1" si="10"/>
        <v>279091.5241467036</v>
      </c>
      <c r="G59" s="96" t="str">
        <f t="shared" ca="1" si="11"/>
        <v/>
      </c>
      <c r="H59" s="96" t="str">
        <f t="shared" ca="1" si="12"/>
        <v/>
      </c>
      <c r="I59" s="102"/>
      <c r="J59" s="96"/>
    </row>
    <row r="60" spans="1:10" x14ac:dyDescent="0.3">
      <c r="A60" s="30" t="s">
        <v>2393</v>
      </c>
      <c r="B60" s="9" t="str">
        <f t="shared" si="6"/>
        <v>…</v>
      </c>
      <c r="C60" t="str">
        <f t="shared" ca="1" si="7"/>
        <v>TRAINING COURSES FOR CONTRACTORS</v>
      </c>
      <c r="D60" s="33">
        <f t="shared" ca="1" si="8"/>
        <v>97224.941908101537</v>
      </c>
      <c r="E60" s="96">
        <f t="shared" ca="1" si="9"/>
        <v>16408.890980367185</v>
      </c>
      <c r="F60" s="96">
        <f t="shared" ca="1" si="10"/>
        <v>80816.050927734352</v>
      </c>
      <c r="G60" s="96" t="str">
        <f t="shared" ca="1" si="11"/>
        <v/>
      </c>
      <c r="H60" s="96" t="str">
        <f t="shared" ca="1" si="12"/>
        <v/>
      </c>
      <c r="I60" s="102"/>
      <c r="J60" s="96"/>
    </row>
    <row r="61" spans="1:10" x14ac:dyDescent="0.3">
      <c r="A61" s="30" t="s">
        <v>2394</v>
      </c>
      <c r="B61" s="9" t="str">
        <f t="shared" si="6"/>
        <v>…</v>
      </c>
      <c r="C61" t="str">
        <f t="shared" ca="1" si="7"/>
        <v>ONSITE TEST EQUIPMENT MAINTENANCE</v>
      </c>
      <c r="D61" s="33">
        <f t="shared" ca="1" si="8"/>
        <v>35922.325169386553</v>
      </c>
      <c r="E61" s="96">
        <f t="shared" ca="1" si="9"/>
        <v>17065.246619581871</v>
      </c>
      <c r="F61" s="96" t="str">
        <f t="shared" ca="1" si="10"/>
        <v/>
      </c>
      <c r="G61" s="96">
        <f t="shared" ca="1" si="11"/>
        <v>18857.078549804683</v>
      </c>
      <c r="H61" s="96" t="str">
        <f t="shared" ca="1" si="12"/>
        <v/>
      </c>
      <c r="I61" s="102"/>
      <c r="J61" s="96"/>
    </row>
    <row r="62" spans="1:10" x14ac:dyDescent="0.3">
      <c r="A62" s="30" t="s">
        <v>3305</v>
      </c>
      <c r="B62" s="9" t="str">
        <f t="shared" si="6"/>
        <v>…</v>
      </c>
      <c r="C62" t="str">
        <f t="shared" ca="1" si="7"/>
        <v>INCIDENTAL INVESTIGATIONS</v>
      </c>
      <c r="D62" s="33">
        <f t="shared" ca="1" si="8"/>
        <v>163248.42287402341</v>
      </c>
      <c r="E62" s="96" t="str">
        <f t="shared" ca="1" si="9"/>
        <v/>
      </c>
      <c r="F62" s="96" t="str">
        <f t="shared" ca="1" si="10"/>
        <v/>
      </c>
      <c r="G62" s="96">
        <f t="shared" ca="1" si="11"/>
        <v>163248.42287402341</v>
      </c>
      <c r="H62" s="96" t="str">
        <f t="shared" ca="1" si="12"/>
        <v/>
      </c>
      <c r="I62" s="102"/>
      <c r="J62" s="96"/>
    </row>
    <row r="63" spans="1:10" x14ac:dyDescent="0.3">
      <c r="A63" s="30" t="s">
        <v>2786</v>
      </c>
      <c r="B63" s="9" t="str">
        <f t="shared" si="6"/>
        <v>…</v>
      </c>
      <c r="C63" t="str">
        <f t="shared" ca="1" si="7"/>
        <v>TRAVEL</v>
      </c>
      <c r="D63" s="33">
        <f t="shared" ca="1" si="8"/>
        <v>358816.8008350663</v>
      </c>
      <c r="E63" s="96">
        <f t="shared" ca="1" si="9"/>
        <v>35552.597124128901</v>
      </c>
      <c r="F63" s="96" t="str">
        <f t="shared" ca="1" si="10"/>
        <v/>
      </c>
      <c r="G63" s="96">
        <f t="shared" ca="1" si="11"/>
        <v>323264.20371093741</v>
      </c>
      <c r="H63" s="96" t="str">
        <f t="shared" ca="1" si="12"/>
        <v/>
      </c>
      <c r="I63" s="102"/>
      <c r="J63" s="96"/>
    </row>
    <row r="64" spans="1:10" x14ac:dyDescent="0.3">
      <c r="A64" s="30" t="s">
        <v>1756</v>
      </c>
      <c r="B64" s="9" t="str">
        <f t="shared" si="6"/>
        <v>…</v>
      </c>
      <c r="C64" t="str">
        <f t="shared" ca="1" si="7"/>
        <v>OTHER COSTS</v>
      </c>
      <c r="D64" s="33">
        <f t="shared" ca="1" si="8"/>
        <v>183062.62207817542</v>
      </c>
      <c r="E64" s="96">
        <f t="shared" ca="1" si="9"/>
        <v>42334.938729347348</v>
      </c>
      <c r="F64" s="96" t="str">
        <f t="shared" ca="1" si="10"/>
        <v/>
      </c>
      <c r="G64" s="96">
        <f t="shared" ca="1" si="11"/>
        <v>140727.68334882808</v>
      </c>
      <c r="H64" s="96" t="str">
        <f t="shared" ca="1" si="12"/>
        <v/>
      </c>
      <c r="I64" s="102"/>
      <c r="J64" s="96"/>
    </row>
    <row r="65" spans="1:12" x14ac:dyDescent="0.3">
      <c r="A65" s="30" t="s">
        <v>2373</v>
      </c>
      <c r="B65" s="9" t="str">
        <f>HYPERLINK("#"&amp;ADDRESS(1,1,1,1,A65),"…")</f>
        <v>…</v>
      </c>
      <c r="C65" t="str">
        <f t="shared" ca="1" si="7"/>
        <v>OPERATIONS MANAGER</v>
      </c>
      <c r="D65" s="33">
        <f t="shared" ca="1" si="8"/>
        <v>737397.8674940631</v>
      </c>
      <c r="E65" s="96">
        <f t="shared" ca="1" si="9"/>
        <v>737397.8674940631</v>
      </c>
      <c r="F65" s="96" t="str">
        <f t="shared" ca="1" si="10"/>
        <v/>
      </c>
      <c r="G65" s="96" t="str">
        <f t="shared" ca="1" si="11"/>
        <v/>
      </c>
      <c r="H65" s="96" t="str">
        <f t="shared" ca="1" si="12"/>
        <v/>
      </c>
      <c r="I65" s="102"/>
      <c r="J65" s="96"/>
    </row>
    <row r="66" spans="1:12" x14ac:dyDescent="0.3">
      <c r="A66" s="30" t="s">
        <v>3203</v>
      </c>
      <c r="B66" s="9" t="str">
        <f>HYPERLINK("#"&amp;ADDRESS(1,1,1,1,A66),"…")</f>
        <v>…</v>
      </c>
      <c r="C66" s="301" t="str">
        <f t="shared" ca="1" si="7"/>
        <v>SENIOR RELIABILITY ENGINEER</v>
      </c>
      <c r="D66" s="33">
        <f t="shared" ca="1" si="8"/>
        <v>663288.39565389254</v>
      </c>
      <c r="E66" s="96">
        <f t="shared" ca="1" si="9"/>
        <v>663288.39565389254</v>
      </c>
      <c r="F66" s="96" t="str">
        <f t="shared" ca="1" si="10"/>
        <v/>
      </c>
      <c r="G66" s="96" t="str">
        <f t="shared" ca="1" si="11"/>
        <v/>
      </c>
      <c r="H66" s="96" t="str">
        <f t="shared" ca="1" si="12"/>
        <v/>
      </c>
      <c r="I66" s="102"/>
      <c r="J66" s="96"/>
      <c r="K66" s="301"/>
      <c r="L66" s="301"/>
    </row>
    <row r="67" spans="1:12" x14ac:dyDescent="0.3">
      <c r="A67" s="30" t="s">
        <v>2155</v>
      </c>
      <c r="B67" s="9" t="str">
        <f>HYPERLINK("#"&amp;ADDRESS(1,1,1,1,A67),"…")</f>
        <v>…</v>
      </c>
      <c r="C67" t="str">
        <f t="shared" ca="1" si="7"/>
        <v>RELIABILITY ENGINEER</v>
      </c>
      <c r="D67" s="33">
        <f t="shared" ca="1" si="8"/>
        <v>635353.66262320499</v>
      </c>
      <c r="E67" s="96">
        <f t="shared" ca="1" si="9"/>
        <v>597557.11320170504</v>
      </c>
      <c r="F67" s="96">
        <f t="shared" ca="1" si="10"/>
        <v>37796.5494215</v>
      </c>
      <c r="G67" s="96" t="str">
        <f t="shared" ca="1" si="11"/>
        <v/>
      </c>
      <c r="H67" s="96" t="str">
        <f t="shared" ca="1" si="12"/>
        <v/>
      </c>
      <c r="I67" s="102"/>
      <c r="J67" s="96"/>
    </row>
    <row r="68" spans="1:12" x14ac:dyDescent="0.3">
      <c r="A68" s="30" t="s">
        <v>3369</v>
      </c>
      <c r="B68" s="9" t="str">
        <f>HYPERLINK("#"&amp;ADDRESS(1,1,1,1,A68),"…")</f>
        <v>…</v>
      </c>
      <c r="C68" t="str">
        <f t="shared" ca="1" si="7"/>
        <v>WORKS PLANNER</v>
      </c>
      <c r="D68" s="33">
        <f t="shared" ca="1" si="8"/>
        <v>513899.11735346628</v>
      </c>
      <c r="E68" s="96">
        <f t="shared" ca="1" si="9"/>
        <v>513899.11735346628</v>
      </c>
      <c r="F68" s="96" t="str">
        <f t="shared" ca="1" si="10"/>
        <v/>
      </c>
      <c r="G68" s="96" t="str">
        <f t="shared" ca="1" si="11"/>
        <v/>
      </c>
      <c r="H68" s="96" t="str">
        <f t="shared" ca="1" si="12"/>
        <v/>
      </c>
      <c r="I68" s="102"/>
      <c r="J68" s="96"/>
    </row>
    <row r="69" spans="1:12" x14ac:dyDescent="0.3">
      <c r="A69" s="30" t="s">
        <v>3413</v>
      </c>
      <c r="B69" s="9" t="str">
        <f>HYPERLINK("#"&amp;ADDRESS(1,1,1,1,A69),"…")</f>
        <v>…</v>
      </c>
      <c r="C69" t="str">
        <f t="shared" ca="1" si="7"/>
        <v>WORK PRACTICES SPECIALIST</v>
      </c>
      <c r="D69" s="33">
        <f t="shared" ca="1" si="8"/>
        <v>513899.11735346628</v>
      </c>
      <c r="E69" s="96">
        <f t="shared" ca="1" si="9"/>
        <v>513899.11735346628</v>
      </c>
      <c r="F69" s="96" t="str">
        <f t="shared" ca="1" si="10"/>
        <v/>
      </c>
      <c r="G69" s="96" t="str">
        <f t="shared" ca="1" si="11"/>
        <v/>
      </c>
      <c r="H69" s="96" t="str">
        <f t="shared" ca="1" si="12"/>
        <v/>
      </c>
    </row>
    <row r="71" spans="1:12" x14ac:dyDescent="0.3">
      <c r="A71" s="334" t="s">
        <v>3437</v>
      </c>
      <c r="B71" s="335"/>
      <c r="C71" s="11"/>
      <c r="D71" s="11"/>
      <c r="E71" s="11"/>
      <c r="F71" s="11"/>
      <c r="G71" s="11"/>
    </row>
    <row r="72" spans="1:12" x14ac:dyDescent="0.3">
      <c r="A72" s="30" t="s">
        <v>1642</v>
      </c>
      <c r="B72" s="9" t="str">
        <f t="shared" ref="B72:B87" si="13">HYPERLINK("#"&amp;ADDRESS(1,1,1,1,A72),"…")</f>
        <v>…</v>
      </c>
      <c r="C72" s="301" t="str">
        <f t="shared" ref="C72:C84" ca="1" si="14">INDIRECT("'"&amp;A72&amp;"'!$B$1")</f>
        <v>SUMMARY</v>
      </c>
    </row>
    <row r="73" spans="1:12" x14ac:dyDescent="0.3">
      <c r="A73" s="30" t="s">
        <v>3462</v>
      </c>
      <c r="B73" s="9" t="str">
        <f t="shared" si="13"/>
        <v>…</v>
      </c>
      <c r="C73" s="301" t="str">
        <f t="shared" ca="1" si="14"/>
        <v>ASSET MGT TEAM</v>
      </c>
    </row>
    <row r="74" spans="1:12" x14ac:dyDescent="0.3">
      <c r="A74" s="30" t="s">
        <v>3438</v>
      </c>
      <c r="B74" s="9" t="str">
        <f t="shared" si="13"/>
        <v>…</v>
      </c>
      <c r="C74" s="301" t="str">
        <f t="shared" ca="1" si="14"/>
        <v>SUMMARY OF PMS</v>
      </c>
    </row>
    <row r="75" spans="1:12" x14ac:dyDescent="0.3">
      <c r="A75" s="30" t="s">
        <v>2375</v>
      </c>
      <c r="B75" s="9" t="str">
        <f t="shared" si="13"/>
        <v>…</v>
      </c>
      <c r="C75" s="301" t="str">
        <f t="shared" ca="1" si="14"/>
        <v>MODELLING ASSUMPTIONS</v>
      </c>
    </row>
    <row r="76" spans="1:12" x14ac:dyDescent="0.3">
      <c r="A76" s="30" t="s">
        <v>3440</v>
      </c>
      <c r="B76" s="9" t="str">
        <f t="shared" si="13"/>
        <v>…</v>
      </c>
      <c r="C76" s="301" t="str">
        <f t="shared" ca="1" si="14"/>
        <v>BLANK</v>
      </c>
    </row>
    <row r="77" spans="1:12" x14ac:dyDescent="0.3">
      <c r="A77" s="30" t="s">
        <v>3443</v>
      </c>
      <c r="B77" s="9" t="str">
        <f t="shared" si="13"/>
        <v>…</v>
      </c>
      <c r="C77" s="301" t="str">
        <f t="shared" ca="1" si="14"/>
        <v>DL OPEX BUDGET</v>
      </c>
    </row>
    <row r="78" spans="1:12" x14ac:dyDescent="0.3">
      <c r="A78" s="30" t="s">
        <v>3444</v>
      </c>
      <c r="B78" s="9" t="str">
        <f t="shared" si="13"/>
        <v>…</v>
      </c>
      <c r="C78" s="301" t="str">
        <f t="shared" ca="1" si="14"/>
        <v>SCHEMATICS</v>
      </c>
    </row>
    <row r="79" spans="1:12" x14ac:dyDescent="0.3">
      <c r="A79" s="30" t="s">
        <v>3449</v>
      </c>
      <c r="B79" s="9" t="str">
        <f t="shared" si="13"/>
        <v>…</v>
      </c>
      <c r="C79" s="301" t="str">
        <f t="shared" ca="1" si="14"/>
        <v>COMPONENTS IN SCHEMATIC</v>
      </c>
    </row>
    <row r="80" spans="1:12" x14ac:dyDescent="0.3">
      <c r="A80" s="30" t="s">
        <v>3445</v>
      </c>
      <c r="B80" s="9" t="str">
        <f t="shared" si="13"/>
        <v>…</v>
      </c>
      <c r="C80" s="301" t="str">
        <f t="shared" ca="1" si="14"/>
        <v>GROUPED COMPONENTS</v>
      </c>
    </row>
    <row r="81" spans="1:3" x14ac:dyDescent="0.3">
      <c r="A81" s="30" t="s">
        <v>3446</v>
      </c>
      <c r="B81" s="9" t="str">
        <f t="shared" si="13"/>
        <v>…</v>
      </c>
      <c r="C81" s="301" t="str">
        <f t="shared" ca="1" si="14"/>
        <v>ABB MAINTENANCE</v>
      </c>
    </row>
    <row r="82" spans="1:3" x14ac:dyDescent="0.3">
      <c r="A82" s="30" t="s">
        <v>2027</v>
      </c>
      <c r="B82" s="9" t="str">
        <f t="shared" si="13"/>
        <v>…</v>
      </c>
      <c r="C82" s="301" t="str">
        <f t="shared" ca="1" si="14"/>
        <v>BYRON BAY TREES</v>
      </c>
    </row>
    <row r="83" spans="1:3" x14ac:dyDescent="0.3">
      <c r="A83" s="30" t="s">
        <v>3447</v>
      </c>
      <c r="B83" s="9" t="str">
        <f t="shared" si="13"/>
        <v>…</v>
      </c>
      <c r="C83" s="301" t="str">
        <f t="shared" ca="1" si="14"/>
        <v>ELECTRICITY INVOICES</v>
      </c>
    </row>
    <row r="84" spans="1:3" x14ac:dyDescent="0.3">
      <c r="A84" s="30" t="s">
        <v>3448</v>
      </c>
      <c r="B84" s="9" t="str">
        <f t="shared" si="13"/>
        <v>…</v>
      </c>
      <c r="C84" s="301" t="str">
        <f t="shared" ca="1" si="14"/>
        <v>MAINTENANCE DOCUMENTS</v>
      </c>
    </row>
    <row r="85" spans="1:3" x14ac:dyDescent="0.3">
      <c r="A85" s="30" t="s">
        <v>3439</v>
      </c>
      <c r="B85" s="9" t="str">
        <f t="shared" si="13"/>
        <v>…</v>
      </c>
      <c r="C85" s="301"/>
    </row>
    <row r="86" spans="1:3" x14ac:dyDescent="0.3">
      <c r="A86" s="30" t="s">
        <v>3441</v>
      </c>
      <c r="B86" s="9" t="str">
        <f t="shared" si="13"/>
        <v>…</v>
      </c>
      <c r="C86" s="301"/>
    </row>
    <row r="87" spans="1:3" x14ac:dyDescent="0.3">
      <c r="A87" s="30" t="s">
        <v>3442</v>
      </c>
      <c r="B87" s="9" t="str">
        <f t="shared" si="13"/>
        <v>…</v>
      </c>
      <c r="C87" s="301"/>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C8C800"/>
    <pageSetUpPr fitToPage="1"/>
  </sheetPr>
  <dimension ref="A1:I55"/>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1754</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D38</f>
        <v>0</v>
      </c>
      <c r="E3" s="33">
        <f t="shared" si="0"/>
        <v>0</v>
      </c>
      <c r="F3" s="33">
        <f t="shared" si="0"/>
        <v>0</v>
      </c>
      <c r="G3" s="33">
        <f t="shared" si="0"/>
        <v>0</v>
      </c>
      <c r="H3" s="33">
        <f t="shared" si="0"/>
        <v>0</v>
      </c>
      <c r="I3" s="33">
        <f t="shared" si="0"/>
        <v>0</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t="s">
        <v>1733</v>
      </c>
    </row>
    <row r="11" spans="1:9" ht="15" x14ac:dyDescent="0.25">
      <c r="B11" s="7"/>
    </row>
    <row r="12" spans="1:9" ht="15" x14ac:dyDescent="0.25">
      <c r="A12" s="14" t="s">
        <v>1517</v>
      </c>
    </row>
    <row r="13" spans="1:9" ht="15" x14ac:dyDescent="0.25">
      <c r="B13" s="39" t="s">
        <v>1634</v>
      </c>
      <c r="C13" s="39">
        <v>1</v>
      </c>
    </row>
    <row r="14" spans="1:9" ht="15" x14ac:dyDescent="0.25">
      <c r="A14" s="14"/>
      <c r="B14" s="39" t="s">
        <v>1581</v>
      </c>
      <c r="C14" s="39">
        <v>6</v>
      </c>
    </row>
    <row r="15" spans="1:9" ht="15" x14ac:dyDescent="0.25">
      <c r="A15" s="14"/>
    </row>
    <row r="16" spans="1:9" ht="15" x14ac:dyDescent="0.25">
      <c r="A16" s="14" t="s">
        <v>2093</v>
      </c>
    </row>
    <row r="17" spans="1:9" ht="15" x14ac:dyDescent="0.25">
      <c r="B17" s="39" t="s">
        <v>1584</v>
      </c>
      <c r="C17" s="39">
        <v>18</v>
      </c>
    </row>
    <row r="18" spans="1:9" ht="15" x14ac:dyDescent="0.25">
      <c r="A18" s="12" t="s">
        <v>1640</v>
      </c>
      <c r="B18" s="12"/>
      <c r="C18" s="12">
        <f>SUM(C13:C17)</f>
        <v>25</v>
      </c>
    </row>
    <row r="20" spans="1:9" ht="15" x14ac:dyDescent="0.25">
      <c r="A20" t="s">
        <v>2065</v>
      </c>
    </row>
    <row r="21" spans="1:9" ht="15" x14ac:dyDescent="0.25">
      <c r="A21" s="94" t="s">
        <v>2066</v>
      </c>
      <c r="B21" s="94"/>
    </row>
    <row r="22" spans="1:9" ht="15" x14ac:dyDescent="0.25">
      <c r="A22" t="s">
        <v>2067</v>
      </c>
    </row>
    <row r="24" spans="1:9" ht="15" x14ac:dyDescent="0.25">
      <c r="E24" s="30" t="str">
        <f>Summary!C4</f>
        <v>2015/16</v>
      </c>
      <c r="F24" s="30" t="str">
        <f>Summary!D4</f>
        <v>2016/17</v>
      </c>
      <c r="G24" s="30" t="str">
        <f>Summary!E4</f>
        <v>2017/18</v>
      </c>
      <c r="H24" s="30" t="str">
        <f>Summary!F4</f>
        <v>2018/19</v>
      </c>
      <c r="I24" s="30" t="str">
        <f>Summary!G4</f>
        <v>2019/20</v>
      </c>
    </row>
    <row r="25" spans="1:9" x14ac:dyDescent="0.3">
      <c r="A25" s="45" t="s">
        <v>1775</v>
      </c>
      <c r="B25" s="16" t="s">
        <v>75</v>
      </c>
      <c r="C25" s="43"/>
      <c r="D25" s="16"/>
      <c r="E25" s="16">
        <v>0</v>
      </c>
      <c r="F25" s="16">
        <v>0</v>
      </c>
      <c r="G25" s="16">
        <v>0</v>
      </c>
      <c r="H25" s="16">
        <v>0</v>
      </c>
      <c r="I25" s="16">
        <v>0</v>
      </c>
    </row>
    <row r="26" spans="1:9" ht="15" x14ac:dyDescent="0.25">
      <c r="A26" s="8" t="s">
        <v>1646</v>
      </c>
      <c r="C26" s="39"/>
    </row>
    <row r="27" spans="1:9" ht="15" x14ac:dyDescent="0.25">
      <c r="A27" s="14" t="s">
        <v>1658</v>
      </c>
      <c r="B27" s="15">
        <f>APATechnicianHours/C18</f>
        <v>0.04</v>
      </c>
      <c r="C27" s="14" t="s">
        <v>2207</v>
      </c>
    </row>
    <row r="28" spans="1:9" ht="15" x14ac:dyDescent="0.25">
      <c r="A28" s="14" t="s">
        <v>1997</v>
      </c>
      <c r="B28" s="74">
        <f>APASupervisorHours/C18</f>
        <v>0.34333333333333338</v>
      </c>
      <c r="C28" s="14" t="s">
        <v>2207</v>
      </c>
    </row>
    <row r="29" spans="1:9" ht="15" x14ac:dyDescent="0.25">
      <c r="A29" s="14" t="s">
        <v>1643</v>
      </c>
      <c r="B29" s="55">
        <v>0</v>
      </c>
      <c r="C29" s="14"/>
    </row>
    <row r="30" spans="1:9" ht="15" x14ac:dyDescent="0.25">
      <c r="A30" s="14"/>
      <c r="B30" s="55"/>
      <c r="C30" s="14"/>
    </row>
    <row r="31" spans="1:9" x14ac:dyDescent="0.3">
      <c r="A31" s="42" t="s">
        <v>1647</v>
      </c>
      <c r="B31" s="15"/>
      <c r="C31" s="14"/>
    </row>
    <row r="32" spans="1:9" x14ac:dyDescent="0.3">
      <c r="A32" s="14" t="s">
        <v>1656</v>
      </c>
      <c r="B32" s="15">
        <v>4</v>
      </c>
      <c r="C32" s="14" t="s">
        <v>3256</v>
      </c>
    </row>
    <row r="33" spans="1:9" x14ac:dyDescent="0.3">
      <c r="A33" s="14" t="s">
        <v>1651</v>
      </c>
      <c r="B33" s="55">
        <f>ElectricalContractorHourlyRate</f>
        <v>75</v>
      </c>
      <c r="C33" s="14"/>
    </row>
    <row r="34" spans="1:9" x14ac:dyDescent="0.3">
      <c r="A34" s="14" t="s">
        <v>1649</v>
      </c>
      <c r="B34" s="55">
        <f>B32*B33</f>
        <v>300</v>
      </c>
      <c r="C34" s="14"/>
    </row>
    <row r="35" spans="1:9" x14ac:dyDescent="0.3">
      <c r="A35" s="14" t="s">
        <v>1650</v>
      </c>
      <c r="B35" s="55">
        <v>0</v>
      </c>
      <c r="C35" s="7"/>
    </row>
    <row r="37" spans="1:9" x14ac:dyDescent="0.3">
      <c r="A37" s="14"/>
      <c r="B37" s="46" t="s">
        <v>2712</v>
      </c>
      <c r="C37" s="46" t="s">
        <v>2720</v>
      </c>
      <c r="D37" s="30" t="s">
        <v>1655</v>
      </c>
      <c r="E37" s="30" t="str">
        <f>Summary!C4</f>
        <v>2015/16</v>
      </c>
      <c r="F37" s="30" t="str">
        <f>Summary!D4</f>
        <v>2016/17</v>
      </c>
      <c r="G37" s="30" t="str">
        <f>Summary!E4</f>
        <v>2017/18</v>
      </c>
      <c r="H37" s="30" t="str">
        <f>Summary!F4</f>
        <v>2018/19</v>
      </c>
      <c r="I37" s="30" t="str">
        <f>Summary!G4</f>
        <v>2019/20</v>
      </c>
    </row>
    <row r="38" spans="1:9" x14ac:dyDescent="0.3">
      <c r="A38" s="14" t="s">
        <v>1648</v>
      </c>
      <c r="B38" s="40">
        <f>B27*HourlyRateAPAMaintenanceStaff+B28*HourlyRateAPAOMSupervisor</f>
        <v>47.579040000000006</v>
      </c>
      <c r="C38" s="40">
        <f>B38*$C$18</f>
        <v>1189.4760000000001</v>
      </c>
      <c r="D38" s="40">
        <f>C38*SUMPRODUCT(LabourAdjustmentFactor,E$25:I$25)</f>
        <v>0</v>
      </c>
      <c r="E38" s="40">
        <f>$C38*E$25*'Modelling Assumptions'!E$101</f>
        <v>0</v>
      </c>
      <c r="F38" s="40">
        <f>$C38*F$25*'Modelling Assumptions'!F$101</f>
        <v>0</v>
      </c>
      <c r="G38" s="40">
        <f>$C38*G$25*'Modelling Assumptions'!G$101</f>
        <v>0</v>
      </c>
      <c r="H38" s="40">
        <f>$C38*H$25*'Modelling Assumptions'!H$101</f>
        <v>0</v>
      </c>
      <c r="I38" s="40">
        <f>$C38*I$25*'Modelling Assumptions'!I$101</f>
        <v>0</v>
      </c>
    </row>
    <row r="39" spans="1:9" x14ac:dyDescent="0.3">
      <c r="A39" s="14" t="s">
        <v>1643</v>
      </c>
      <c r="B39" s="40">
        <f>B29</f>
        <v>0</v>
      </c>
      <c r="C39" s="40">
        <f t="shared" ref="C39:C41" si="1">B39*$C$18</f>
        <v>0</v>
      </c>
      <c r="D39" s="40">
        <f>C39*SUMPRODUCT(MaterialsAdjustmentFactor,E$25:I$25)</f>
        <v>0</v>
      </c>
      <c r="E39" s="40">
        <f>$C39*E$25*'Modelling Assumptions'!E$102</f>
        <v>0</v>
      </c>
      <c r="F39" s="40">
        <f>$C39*F$25*'Modelling Assumptions'!F$102</f>
        <v>0</v>
      </c>
      <c r="G39" s="40">
        <f>$C39*G$25*'Modelling Assumptions'!G$102</f>
        <v>0</v>
      </c>
      <c r="H39" s="40">
        <f>$C39*H$25*'Modelling Assumptions'!H$102</f>
        <v>0</v>
      </c>
      <c r="I39" s="40">
        <f>$C39*I$25*'Modelling Assumptions'!I$102</f>
        <v>0</v>
      </c>
    </row>
    <row r="40" spans="1:9" x14ac:dyDescent="0.3">
      <c r="A40" s="14" t="s">
        <v>1649</v>
      </c>
      <c r="B40" s="40">
        <f>B34</f>
        <v>300</v>
      </c>
      <c r="C40" s="40">
        <f t="shared" si="1"/>
        <v>7500</v>
      </c>
      <c r="D40" s="40">
        <f>C40*SUMPRODUCT(LabourAdjustmentFactor,E$25:I$25)</f>
        <v>0</v>
      </c>
      <c r="E40" s="40">
        <f>$C40*E$25*'Modelling Assumptions'!E$101</f>
        <v>0</v>
      </c>
      <c r="F40" s="40">
        <f>$C40*F$25*'Modelling Assumptions'!F$101</f>
        <v>0</v>
      </c>
      <c r="G40" s="40">
        <f>$C40*G$25*'Modelling Assumptions'!G$101</f>
        <v>0</v>
      </c>
      <c r="H40" s="40">
        <f>$C40*H$25*'Modelling Assumptions'!H$101</f>
        <v>0</v>
      </c>
      <c r="I40" s="40">
        <f>$C40*I$25*'Modelling Assumptions'!I$101</f>
        <v>0</v>
      </c>
    </row>
    <row r="41" spans="1:9" x14ac:dyDescent="0.3">
      <c r="A41" s="14" t="s">
        <v>1650</v>
      </c>
      <c r="B41" s="40">
        <f>B35</f>
        <v>0</v>
      </c>
      <c r="C41" s="40">
        <f t="shared" si="1"/>
        <v>0</v>
      </c>
      <c r="D41" s="40">
        <f>C41*SUMPRODUCT(MaterialsAdjustmentFactor,E$25:I$25)</f>
        <v>0</v>
      </c>
      <c r="E41" s="40">
        <f>$C41*E$25*'Modelling Assumptions'!E$102</f>
        <v>0</v>
      </c>
      <c r="F41" s="40">
        <f>$C41*F$25*'Modelling Assumptions'!F$102</f>
        <v>0</v>
      </c>
      <c r="G41" s="40">
        <f>$C41*G$25*'Modelling Assumptions'!G$102</f>
        <v>0</v>
      </c>
      <c r="H41" s="40">
        <f>$C41*H$25*'Modelling Assumptions'!H$102</f>
        <v>0</v>
      </c>
      <c r="I41" s="40">
        <f>$C41*I$25*'Modelling Assumptions'!I$102</f>
        <v>0</v>
      </c>
    </row>
    <row r="45" spans="1:9" x14ac:dyDescent="0.3">
      <c r="A45" s="10" t="s">
        <v>1641</v>
      </c>
      <c r="B45" s="44"/>
      <c r="C45" s="44"/>
      <c r="D45" s="10"/>
      <c r="E45" s="10"/>
      <c r="F45" s="10"/>
      <c r="G45" s="10"/>
      <c r="H45" s="10"/>
      <c r="I45" s="10"/>
    </row>
    <row r="46" spans="1:9" x14ac:dyDescent="0.3">
      <c r="A46" t="s">
        <v>3</v>
      </c>
      <c r="B46" t="s">
        <v>2</v>
      </c>
      <c r="C46" t="s">
        <v>1</v>
      </c>
    </row>
    <row r="47" spans="1:9" x14ac:dyDescent="0.3">
      <c r="A47" s="2" t="s">
        <v>1775</v>
      </c>
      <c r="B47" s="2" t="s">
        <v>75</v>
      </c>
      <c r="C47" s="30" t="s">
        <v>1776</v>
      </c>
      <c r="D47" s="63">
        <v>44105</v>
      </c>
    </row>
    <row r="48" spans="1:9" x14ac:dyDescent="0.3">
      <c r="A48" s="2"/>
      <c r="B48" s="2"/>
      <c r="C48" s="30"/>
      <c r="D48" s="63"/>
    </row>
    <row r="49" spans="1:7" ht="43.2" x14ac:dyDescent="0.3">
      <c r="A49" s="2" t="s">
        <v>178</v>
      </c>
      <c r="B49" s="2" t="s">
        <v>179</v>
      </c>
      <c r="C49" s="2" t="s">
        <v>73</v>
      </c>
      <c r="D49" s="2" t="s">
        <v>29</v>
      </c>
    </row>
    <row r="50" spans="1:7" s="1" customFormat="1" x14ac:dyDescent="0.3">
      <c r="A50" s="2" t="s">
        <v>44</v>
      </c>
      <c r="B50" s="2" t="s">
        <v>74</v>
      </c>
      <c r="C50" s="2" t="s">
        <v>73</v>
      </c>
      <c r="D50" s="2" t="s">
        <v>8</v>
      </c>
      <c r="F50" s="2"/>
      <c r="G50" s="2"/>
    </row>
    <row r="51" spans="1:7" s="1" customFormat="1" x14ac:dyDescent="0.3">
      <c r="A51" s="2" t="s">
        <v>93</v>
      </c>
      <c r="B51" s="2" t="s">
        <v>103</v>
      </c>
      <c r="C51" s="2" t="s">
        <v>102</v>
      </c>
      <c r="D51" s="2" t="s">
        <v>8</v>
      </c>
      <c r="E51" s="2"/>
      <c r="F51" s="2"/>
      <c r="G51" s="2"/>
    </row>
    <row r="52" spans="1:7" s="1" customFormat="1" x14ac:dyDescent="0.3">
      <c r="A52" s="2" t="s">
        <v>108</v>
      </c>
      <c r="B52" s="2" t="s">
        <v>117</v>
      </c>
      <c r="C52" s="2" t="s">
        <v>73</v>
      </c>
      <c r="D52" s="2" t="s">
        <v>8</v>
      </c>
      <c r="E52" s="2"/>
      <c r="F52" s="2"/>
      <c r="G52" s="2"/>
    </row>
    <row r="53" spans="1:7" s="1" customFormat="1" x14ac:dyDescent="0.3">
      <c r="A53" s="2" t="s">
        <v>335</v>
      </c>
      <c r="B53" s="2" t="s">
        <v>344</v>
      </c>
      <c r="C53" s="2" t="s">
        <v>73</v>
      </c>
      <c r="D53" s="2" t="s">
        <v>328</v>
      </c>
      <c r="E53" s="2"/>
      <c r="F53" s="2"/>
      <c r="G53" s="2"/>
    </row>
    <row r="54" spans="1:7" s="1" customFormat="1" x14ac:dyDescent="0.3">
      <c r="A54" s="2" t="s">
        <v>346</v>
      </c>
      <c r="B54" s="2" t="s">
        <v>354</v>
      </c>
      <c r="C54" s="2" t="s">
        <v>73</v>
      </c>
      <c r="D54" s="2" t="s">
        <v>328</v>
      </c>
      <c r="E54" s="2"/>
      <c r="F54" s="2"/>
      <c r="G54" s="2"/>
    </row>
    <row r="55" spans="1:7" s="1" customFormat="1" x14ac:dyDescent="0.3">
      <c r="A55" s="2" t="s">
        <v>358</v>
      </c>
      <c r="B55" s="2" t="s">
        <v>367</v>
      </c>
      <c r="C55" s="2" t="s">
        <v>102</v>
      </c>
      <c r="D55" s="2" t="s">
        <v>328</v>
      </c>
      <c r="E55" s="2"/>
      <c r="F55" s="2"/>
      <c r="G55" s="2"/>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6" tint="0.59999389629810485"/>
    <pageSetUpPr fitToPage="1"/>
  </sheetPr>
  <dimension ref="A1:I48"/>
  <sheetViews>
    <sheetView workbookViewId="0"/>
  </sheetViews>
  <sheetFormatPr defaultRowHeight="14.4" x14ac:dyDescent="0.3"/>
  <cols>
    <col min="1" max="1" width="55.6640625" customWidth="1"/>
    <col min="2" max="2" width="24" customWidth="1"/>
    <col min="3" max="3" width="13.6640625" customWidth="1"/>
    <col min="4" max="4" width="14" customWidth="1"/>
  </cols>
  <sheetData>
    <row r="1" spans="1:9" ht="15" x14ac:dyDescent="0.25">
      <c r="A1" t="s">
        <v>1642</v>
      </c>
      <c r="B1" t="s">
        <v>2072</v>
      </c>
    </row>
    <row r="2" spans="1:9" ht="30.75" customHeight="1" x14ac:dyDescent="0.25">
      <c r="A2" s="167" t="s">
        <v>3454</v>
      </c>
      <c r="B2" s="30"/>
      <c r="C2" s="30"/>
      <c r="D2" s="62"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D42</f>
        <v>37302.451513832122</v>
      </c>
      <c r="E3" s="33">
        <f t="shared" ref="E3:I3" si="0">E42</f>
        <v>7096.674304687499</v>
      </c>
      <c r="F3" s="33">
        <f t="shared" si="0"/>
        <v>7274.0911623046868</v>
      </c>
      <c r="G3" s="33">
        <f t="shared" si="0"/>
        <v>7455.9434413623039</v>
      </c>
      <c r="H3" s="33">
        <f t="shared" si="0"/>
        <v>7642.3420273963602</v>
      </c>
      <c r="I3" s="33">
        <f t="shared" si="0"/>
        <v>7833.4005780812686</v>
      </c>
    </row>
    <row r="4" spans="1:9" ht="15" x14ac:dyDescent="0.25">
      <c r="A4" t="s">
        <v>1643</v>
      </c>
      <c r="B4" s="33"/>
      <c r="C4" s="33"/>
      <c r="D4" s="33">
        <f t="shared" ref="D4:I6" si="1">D43</f>
        <v>0</v>
      </c>
      <c r="E4" s="33">
        <f t="shared" si="1"/>
        <v>0</v>
      </c>
      <c r="F4" s="33">
        <f t="shared" si="1"/>
        <v>0</v>
      </c>
      <c r="G4" s="33">
        <f t="shared" si="1"/>
        <v>0</v>
      </c>
      <c r="H4" s="33">
        <f t="shared" si="1"/>
        <v>0</v>
      </c>
      <c r="I4" s="33">
        <f t="shared" si="1"/>
        <v>0</v>
      </c>
    </row>
    <row r="5" spans="1:9" ht="15" x14ac:dyDescent="0.25">
      <c r="A5" t="s">
        <v>1649</v>
      </c>
      <c r="B5" s="33"/>
      <c r="C5" s="33"/>
      <c r="D5" s="33">
        <f t="shared" si="1"/>
        <v>0</v>
      </c>
      <c r="E5" s="33">
        <f t="shared" si="1"/>
        <v>0</v>
      </c>
      <c r="F5" s="33">
        <f t="shared" si="1"/>
        <v>0</v>
      </c>
      <c r="G5" s="33">
        <f t="shared" si="1"/>
        <v>0</v>
      </c>
      <c r="H5" s="33">
        <f t="shared" si="1"/>
        <v>0</v>
      </c>
      <c r="I5" s="33">
        <f t="shared" si="1"/>
        <v>0</v>
      </c>
    </row>
    <row r="6" spans="1:9" ht="15" x14ac:dyDescent="0.25">
      <c r="A6" t="s">
        <v>1650</v>
      </c>
      <c r="B6" s="33"/>
      <c r="C6" s="33"/>
      <c r="D6" s="33">
        <f t="shared" si="1"/>
        <v>0</v>
      </c>
      <c r="E6" s="33">
        <f t="shared" si="1"/>
        <v>0</v>
      </c>
      <c r="F6" s="33">
        <f t="shared" si="1"/>
        <v>0</v>
      </c>
      <c r="G6" s="33">
        <f t="shared" si="1"/>
        <v>0</v>
      </c>
      <c r="H6" s="33">
        <f t="shared" si="1"/>
        <v>0</v>
      </c>
      <c r="I6" s="33">
        <f t="shared" si="1"/>
        <v>0</v>
      </c>
    </row>
    <row r="7" spans="1:9" ht="15" x14ac:dyDescent="0.25">
      <c r="B7" s="33"/>
      <c r="C7" s="33"/>
      <c r="D7" s="33"/>
      <c r="E7" s="33"/>
      <c r="F7" s="33"/>
      <c r="G7" s="33"/>
      <c r="H7" s="33"/>
      <c r="I7" s="33"/>
    </row>
    <row r="8" spans="1:9" ht="15" x14ac:dyDescent="0.25">
      <c r="A8" s="10" t="s">
        <v>1992</v>
      </c>
      <c r="B8" s="80"/>
      <c r="C8" s="33"/>
      <c r="D8" s="33"/>
      <c r="E8" s="33"/>
      <c r="F8" s="33"/>
      <c r="G8" s="33"/>
      <c r="H8" s="33"/>
      <c r="I8" s="33"/>
    </row>
    <row r="9" spans="1:9" ht="15" x14ac:dyDescent="0.25">
      <c r="A9" t="s">
        <v>2424</v>
      </c>
      <c r="B9" s="33"/>
      <c r="C9" s="33"/>
      <c r="D9" s="33"/>
      <c r="E9" s="33"/>
      <c r="F9" s="33"/>
      <c r="G9" s="33"/>
      <c r="H9" s="33"/>
      <c r="I9" s="33"/>
    </row>
    <row r="10" spans="1:9" ht="15" x14ac:dyDescent="0.25">
      <c r="A10" t="s">
        <v>2425</v>
      </c>
      <c r="B10" s="33"/>
      <c r="C10" s="33"/>
      <c r="D10" s="33"/>
      <c r="E10" s="33"/>
      <c r="F10" s="33"/>
      <c r="G10" s="33"/>
      <c r="H10" s="33"/>
      <c r="I10" s="33"/>
    </row>
    <row r="11" spans="1:9" ht="15" x14ac:dyDescent="0.25">
      <c r="A11" t="s">
        <v>3110</v>
      </c>
      <c r="B11" s="33"/>
      <c r="C11" s="33"/>
      <c r="D11" s="33"/>
      <c r="E11" s="33"/>
      <c r="F11" s="33"/>
      <c r="G11" s="33"/>
      <c r="H11" s="33"/>
      <c r="I11" s="33"/>
    </row>
    <row r="12" spans="1:9" ht="15" x14ac:dyDescent="0.25">
      <c r="A12" t="s">
        <v>3509</v>
      </c>
      <c r="B12" s="33"/>
      <c r="C12" s="33"/>
      <c r="D12" s="33"/>
      <c r="E12" s="33"/>
      <c r="F12" s="33"/>
      <c r="G12" s="33"/>
      <c r="H12" s="33"/>
      <c r="I12" s="33"/>
    </row>
    <row r="13" spans="1:9" ht="15" x14ac:dyDescent="0.25">
      <c r="A13" s="320" t="s">
        <v>3254</v>
      </c>
      <c r="B13" s="33"/>
      <c r="C13" s="33"/>
      <c r="D13" s="33"/>
      <c r="E13" s="33"/>
      <c r="F13" s="33"/>
      <c r="G13" s="33"/>
      <c r="H13" s="33"/>
      <c r="I13" s="33"/>
    </row>
    <row r="14" spans="1:9" s="301" customFormat="1" ht="15" x14ac:dyDescent="0.25">
      <c r="A14" s="320"/>
      <c r="B14" s="33"/>
      <c r="C14" s="33"/>
      <c r="D14" s="33"/>
      <c r="E14" s="33"/>
      <c r="F14" s="33"/>
      <c r="G14" s="33"/>
      <c r="H14" s="33"/>
      <c r="I14" s="33"/>
    </row>
    <row r="15" spans="1:9" s="301" customFormat="1" ht="15" x14ac:dyDescent="0.25">
      <c r="A15" s="320"/>
      <c r="B15" s="33"/>
      <c r="C15" s="33"/>
      <c r="D15" s="33"/>
      <c r="E15" s="33"/>
      <c r="F15" s="33"/>
      <c r="G15" s="33"/>
      <c r="H15" s="33"/>
      <c r="I15" s="33"/>
    </row>
    <row r="16" spans="1:9" s="301" customFormat="1" ht="15" x14ac:dyDescent="0.25">
      <c r="A16" s="320"/>
      <c r="B16" s="33"/>
      <c r="C16" s="33"/>
      <c r="D16" s="33"/>
      <c r="E16" s="33"/>
      <c r="F16" s="33"/>
      <c r="G16" s="33"/>
      <c r="H16" s="33"/>
      <c r="I16" s="33"/>
    </row>
    <row r="17" spans="1:9" s="301" customFormat="1" ht="15" x14ac:dyDescent="0.25">
      <c r="A17" t="s">
        <v>2317</v>
      </c>
      <c r="B17"/>
      <c r="C17" s="33"/>
      <c r="D17" s="33"/>
      <c r="E17" s="33"/>
      <c r="F17" s="33"/>
      <c r="G17" s="33"/>
      <c r="H17" s="33"/>
      <c r="I17" s="33"/>
    </row>
    <row r="18" spans="1:9" s="301" customFormat="1" ht="15" x14ac:dyDescent="0.25">
      <c r="A18" t="s">
        <v>2318</v>
      </c>
      <c r="B18" s="15">
        <f>'Cable Repairs'!B8</f>
        <v>11.5</v>
      </c>
      <c r="C18" s="14" t="s">
        <v>2319</v>
      </c>
      <c r="D18" s="33"/>
      <c r="E18" s="33"/>
      <c r="F18" s="33"/>
      <c r="G18" s="33"/>
      <c r="H18" s="33"/>
      <c r="I18" s="33"/>
    </row>
    <row r="19" spans="1:9" s="301" customFormat="1" ht="15" x14ac:dyDescent="0.25">
      <c r="A19" t="s">
        <v>2422</v>
      </c>
      <c r="B19" s="15">
        <f>2*3</f>
        <v>6</v>
      </c>
      <c r="C19" s="14" t="s">
        <v>2423</v>
      </c>
      <c r="D19" s="33"/>
      <c r="E19" s="33"/>
      <c r="F19" s="33"/>
      <c r="G19" s="33"/>
      <c r="H19" s="33"/>
      <c r="I19" s="33"/>
    </row>
    <row r="20" spans="1:9" s="301" customFormat="1" ht="15" x14ac:dyDescent="0.25">
      <c r="A20" t="s">
        <v>2426</v>
      </c>
      <c r="B20" s="15">
        <v>6</v>
      </c>
      <c r="C20" s="33"/>
      <c r="D20" s="33"/>
      <c r="E20" s="33"/>
      <c r="F20" s="33"/>
      <c r="G20" s="33"/>
      <c r="H20" s="33"/>
      <c r="I20" s="33"/>
    </row>
    <row r="21" spans="1:9" s="301" customFormat="1" ht="15" x14ac:dyDescent="0.25">
      <c r="A21" t="s">
        <v>2210</v>
      </c>
      <c r="B21" s="15">
        <v>2</v>
      </c>
      <c r="C21" s="33"/>
      <c r="D21" s="33"/>
      <c r="E21" s="33"/>
      <c r="F21" s="33"/>
      <c r="G21" s="33"/>
      <c r="H21" s="33"/>
      <c r="I21" s="33"/>
    </row>
    <row r="22" spans="1:9" ht="15" x14ac:dyDescent="0.25">
      <c r="A22" s="12" t="s">
        <v>1883</v>
      </c>
      <c r="B22" s="76">
        <f>SUM(B18:B21)</f>
        <v>25.5</v>
      </c>
      <c r="C22" s="14" t="s">
        <v>2699</v>
      </c>
    </row>
    <row r="23" spans="1:9" ht="15" x14ac:dyDescent="0.25">
      <c r="C23" s="7"/>
    </row>
    <row r="24" spans="1:9" ht="15" x14ac:dyDescent="0.25">
      <c r="C24" s="7"/>
    </row>
    <row r="25" spans="1:9" ht="15" x14ac:dyDescent="0.25">
      <c r="A25" s="12" t="s">
        <v>1931</v>
      </c>
      <c r="B25" s="12"/>
      <c r="C25" s="7"/>
      <c r="D25" t="s">
        <v>3201</v>
      </c>
    </row>
    <row r="26" spans="1:9" ht="15" x14ac:dyDescent="0.25">
      <c r="A26" t="s">
        <v>1884</v>
      </c>
      <c r="B26" s="15">
        <v>10</v>
      </c>
      <c r="C26" t="s">
        <v>1885</v>
      </c>
      <c r="D26" s="15" t="s">
        <v>2427</v>
      </c>
    </row>
    <row r="27" spans="1:9" s="301" customFormat="1" ht="15" x14ac:dyDescent="0.25">
      <c r="A27" s="301" t="s">
        <v>3194</v>
      </c>
      <c r="B27" s="15">
        <v>15</v>
      </c>
      <c r="C27" s="301" t="s">
        <v>1885</v>
      </c>
      <c r="D27" s="15" t="s">
        <v>3195</v>
      </c>
    </row>
    <row r="28" spans="1:9" ht="15" x14ac:dyDescent="0.25">
      <c r="A28" t="s">
        <v>2225</v>
      </c>
      <c r="B28" s="15">
        <v>90</v>
      </c>
      <c r="C28" t="s">
        <v>1885</v>
      </c>
      <c r="D28" s="15" t="s">
        <v>2226</v>
      </c>
    </row>
    <row r="29" spans="1:9" ht="15" x14ac:dyDescent="0.25">
      <c r="A29" t="s">
        <v>1886</v>
      </c>
      <c r="B29" s="15">
        <v>30</v>
      </c>
      <c r="C29" t="s">
        <v>1885</v>
      </c>
      <c r="D29" s="15" t="s">
        <v>2428</v>
      </c>
    </row>
    <row r="30" spans="1:9" x14ac:dyDescent="0.3">
      <c r="B30" s="33"/>
    </row>
    <row r="31" spans="1:9" x14ac:dyDescent="0.3">
      <c r="A31" t="s">
        <v>3193</v>
      </c>
      <c r="B31" s="33"/>
    </row>
    <row r="32" spans="1:9" x14ac:dyDescent="0.3">
      <c r="B32" s="33"/>
    </row>
    <row r="33" spans="1:9" x14ac:dyDescent="0.3">
      <c r="A33" t="s">
        <v>3200</v>
      </c>
      <c r="B33" s="61"/>
    </row>
    <row r="34" spans="1:9" s="301" customFormat="1" x14ac:dyDescent="0.3">
      <c r="A34" s="301" t="s">
        <v>3196</v>
      </c>
      <c r="B34" s="61">
        <f>5*B26/60</f>
        <v>0.83333333333333337</v>
      </c>
      <c r="C34" s="301" t="s">
        <v>3197</v>
      </c>
    </row>
    <row r="35" spans="1:9" s="301" customFormat="1" x14ac:dyDescent="0.3">
      <c r="A35" s="301" t="s">
        <v>3198</v>
      </c>
      <c r="B35" s="61">
        <f>2*B27/60</f>
        <v>0.5</v>
      </c>
      <c r="C35" s="301" t="s">
        <v>1736</v>
      </c>
    </row>
    <row r="36" spans="1:9" s="301" customFormat="1" x14ac:dyDescent="0.3">
      <c r="A36" s="301" t="s">
        <v>2786</v>
      </c>
      <c r="B36" s="61">
        <f>B28*0.25/60</f>
        <v>0.375</v>
      </c>
      <c r="C36" s="301" t="s">
        <v>1736</v>
      </c>
    </row>
    <row r="37" spans="1:9" s="301" customFormat="1" x14ac:dyDescent="0.3">
      <c r="A37" s="301" t="s">
        <v>3199</v>
      </c>
      <c r="B37" s="61">
        <f>2*B29/60</f>
        <v>1</v>
      </c>
      <c r="C37" s="301" t="s">
        <v>1736</v>
      </c>
    </row>
    <row r="38" spans="1:9" x14ac:dyDescent="0.3">
      <c r="A38" t="s">
        <v>3202</v>
      </c>
      <c r="B38" s="61">
        <f>SUM(B34:B37)</f>
        <v>2.7083333333333335</v>
      </c>
      <c r="C38" t="s">
        <v>1888</v>
      </c>
    </row>
    <row r="41" spans="1:9" ht="28.8" x14ac:dyDescent="0.3">
      <c r="A41" s="14"/>
      <c r="B41" s="87" t="s">
        <v>2712</v>
      </c>
      <c r="C41" s="87" t="s">
        <v>2720</v>
      </c>
      <c r="D41" s="62" t="s">
        <v>1655</v>
      </c>
      <c r="E41" s="30" t="str">
        <f>Summary!C4</f>
        <v>2015/16</v>
      </c>
      <c r="F41" s="30" t="str">
        <f>Summary!D4</f>
        <v>2016/17</v>
      </c>
      <c r="G41" s="30" t="str">
        <f>Summary!E4</f>
        <v>2017/18</v>
      </c>
      <c r="H41" s="30" t="str">
        <f>Summary!F4</f>
        <v>2018/19</v>
      </c>
      <c r="I41" s="30" t="str">
        <f>Summary!G4</f>
        <v>2019/20</v>
      </c>
    </row>
    <row r="42" spans="1:9" x14ac:dyDescent="0.3">
      <c r="A42" s="14" t="s">
        <v>1648</v>
      </c>
      <c r="B42" s="40">
        <f>B38*HourlyRateAPAMaintenanceStaff</f>
        <v>271.513125</v>
      </c>
      <c r="C42" s="40">
        <f>B42*$B$22</f>
        <v>6923.5846874999997</v>
      </c>
      <c r="D42" s="40">
        <f>SUM(E42:I42)</f>
        <v>37302.451513832122</v>
      </c>
      <c r="E42" s="40">
        <f>$C42*'Modelling Assumptions'!E$101</f>
        <v>7096.674304687499</v>
      </c>
      <c r="F42" s="40">
        <f>$C42*'Modelling Assumptions'!F$101</f>
        <v>7274.0911623046868</v>
      </c>
      <c r="G42" s="40">
        <f>$C42*'Modelling Assumptions'!G$101</f>
        <v>7455.9434413623039</v>
      </c>
      <c r="H42" s="40">
        <f>$C42*'Modelling Assumptions'!H$101</f>
        <v>7642.3420273963602</v>
      </c>
      <c r="I42" s="40">
        <f>$C42*'Modelling Assumptions'!I$101</f>
        <v>7833.4005780812686</v>
      </c>
    </row>
    <row r="43" spans="1:9" x14ac:dyDescent="0.3">
      <c r="A43" s="14" t="s">
        <v>1643</v>
      </c>
      <c r="B43" s="40">
        <v>0</v>
      </c>
      <c r="C43" s="40">
        <f t="shared" ref="C43:C45" si="2">B43*$B$22</f>
        <v>0</v>
      </c>
      <c r="D43" s="40">
        <f t="shared" ref="D43:D45" si="3">SUM(E43:I44)</f>
        <v>0</v>
      </c>
      <c r="E43" s="40">
        <f>$C43*'Modelling Assumptions'!E$102</f>
        <v>0</v>
      </c>
      <c r="F43" s="40">
        <f>$C43*'Modelling Assumptions'!F$102</f>
        <v>0</v>
      </c>
      <c r="G43" s="40">
        <f>$C43*'Modelling Assumptions'!G$102</f>
        <v>0</v>
      </c>
      <c r="H43" s="40">
        <f>$C43*'Modelling Assumptions'!H$102</f>
        <v>0</v>
      </c>
      <c r="I43" s="40">
        <f>$C43*'Modelling Assumptions'!I$102</f>
        <v>0</v>
      </c>
    </row>
    <row r="44" spans="1:9" x14ac:dyDescent="0.3">
      <c r="A44" s="14" t="s">
        <v>1649</v>
      </c>
      <c r="B44" s="40">
        <v>0</v>
      </c>
      <c r="C44" s="40">
        <f t="shared" si="2"/>
        <v>0</v>
      </c>
      <c r="D44" s="40">
        <f t="shared" si="3"/>
        <v>0</v>
      </c>
      <c r="E44" s="40">
        <f>$C44*'Modelling Assumptions'!E$101</f>
        <v>0</v>
      </c>
      <c r="F44" s="40">
        <f>$C44*'Modelling Assumptions'!F$101</f>
        <v>0</v>
      </c>
      <c r="G44" s="40">
        <f>$C44*'Modelling Assumptions'!G$101</f>
        <v>0</v>
      </c>
      <c r="H44" s="40">
        <f>$C44*'Modelling Assumptions'!H$101</f>
        <v>0</v>
      </c>
      <c r="I44" s="40">
        <f>$C44*'Modelling Assumptions'!I$101</f>
        <v>0</v>
      </c>
    </row>
    <row r="45" spans="1:9" x14ac:dyDescent="0.3">
      <c r="A45" s="14" t="s">
        <v>1650</v>
      </c>
      <c r="B45" s="40">
        <v>0</v>
      </c>
      <c r="C45" s="40">
        <f t="shared" si="2"/>
        <v>0</v>
      </c>
      <c r="D45" s="40">
        <f t="shared" si="3"/>
        <v>0</v>
      </c>
      <c r="E45" s="40">
        <f>$C45*'Modelling Assumptions'!E$102</f>
        <v>0</v>
      </c>
      <c r="F45" s="40">
        <f>$C45*'Modelling Assumptions'!F$102</f>
        <v>0</v>
      </c>
      <c r="G45" s="40">
        <f>$C45*'Modelling Assumptions'!G$102</f>
        <v>0</v>
      </c>
      <c r="H45" s="40">
        <f>$C45*'Modelling Assumptions'!H$102</f>
        <v>0</v>
      </c>
      <c r="I45" s="40">
        <f>$C45*'Modelling Assumptions'!I$102</f>
        <v>0</v>
      </c>
    </row>
    <row r="48" spans="1:9" x14ac:dyDescent="0.3">
      <c r="A48" s="14" t="s">
        <v>1917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59999389629810485"/>
    <pageSetUpPr fitToPage="1"/>
  </sheetPr>
  <dimension ref="A1:Q138"/>
  <sheetViews>
    <sheetView workbookViewId="0"/>
  </sheetViews>
  <sheetFormatPr defaultRowHeight="14.4" x14ac:dyDescent="0.3"/>
  <cols>
    <col min="1" max="1" width="55.6640625" customWidth="1"/>
    <col min="2" max="2" width="24" customWidth="1"/>
    <col min="3" max="3" width="13.6640625" customWidth="1"/>
    <col min="4" max="4" width="14" customWidth="1"/>
    <col min="17" max="17" width="11.109375" bestFit="1" customWidth="1"/>
    <col min="18" max="18" width="11" bestFit="1" customWidth="1"/>
  </cols>
  <sheetData>
    <row r="1" spans="1:9" ht="15" x14ac:dyDescent="0.25">
      <c r="A1" t="s">
        <v>1642</v>
      </c>
      <c r="B1" t="s">
        <v>1862</v>
      </c>
    </row>
    <row r="2" spans="1:9" ht="30.75" customHeight="1" x14ac:dyDescent="0.25">
      <c r="A2" s="167" t="s">
        <v>3454</v>
      </c>
      <c r="B2" s="30"/>
      <c r="C2" s="30"/>
      <c r="D2" s="62"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D102</f>
        <v>609704.82030560821</v>
      </c>
      <c r="E3" s="33">
        <f t="shared" ref="E3:I3" si="0">E102</f>
        <v>115994.42814375</v>
      </c>
      <c r="F3" s="33">
        <f t="shared" si="0"/>
        <v>118894.28884734376</v>
      </c>
      <c r="G3" s="33">
        <f t="shared" si="0"/>
        <v>121866.64606852735</v>
      </c>
      <c r="H3" s="33">
        <f t="shared" si="0"/>
        <v>124913.31222024052</v>
      </c>
      <c r="I3" s="33">
        <f t="shared" si="0"/>
        <v>128036.14502574652</v>
      </c>
    </row>
    <row r="4" spans="1:9" ht="15" x14ac:dyDescent="0.25">
      <c r="A4" t="s">
        <v>1643</v>
      </c>
      <c r="B4" s="33"/>
      <c r="C4" s="33"/>
      <c r="D4" s="33">
        <f t="shared" ref="D4:I4" si="1">D103</f>
        <v>31443.356834725</v>
      </c>
      <c r="E4" s="33">
        <f t="shared" si="1"/>
        <v>5922.5</v>
      </c>
      <c r="F4" s="33">
        <f t="shared" si="1"/>
        <v>6100.1750000000002</v>
      </c>
      <c r="G4" s="33">
        <f t="shared" si="1"/>
        <v>6283.1802500000003</v>
      </c>
      <c r="H4" s="33">
        <f t="shared" si="1"/>
        <v>6471.6756574999999</v>
      </c>
      <c r="I4" s="33">
        <f t="shared" si="1"/>
        <v>6665.8259272249988</v>
      </c>
    </row>
    <row r="5" spans="1:9" ht="15" x14ac:dyDescent="0.25">
      <c r="A5" t="s">
        <v>1649</v>
      </c>
      <c r="B5" s="33"/>
      <c r="C5" s="33"/>
      <c r="D5" s="33">
        <f t="shared" ref="D5:I5" si="2">D104</f>
        <v>1204549.0327946949</v>
      </c>
      <c r="E5" s="33">
        <f t="shared" si="2"/>
        <v>229161.67229921871</v>
      </c>
      <c r="F5" s="33">
        <f t="shared" si="2"/>
        <v>234890.71410669919</v>
      </c>
      <c r="G5" s="33">
        <f t="shared" si="2"/>
        <v>240762.98195936665</v>
      </c>
      <c r="H5" s="33">
        <f t="shared" si="2"/>
        <v>246782.0565083508</v>
      </c>
      <c r="I5" s="33">
        <f t="shared" si="2"/>
        <v>252951.60792105956</v>
      </c>
    </row>
    <row r="6" spans="1:9" ht="15" x14ac:dyDescent="0.25">
      <c r="A6" t="s">
        <v>1650</v>
      </c>
      <c r="B6" s="33"/>
      <c r="C6" s="33"/>
      <c r="D6" s="33">
        <f t="shared" ref="D6:I6" si="3">D105</f>
        <v>0</v>
      </c>
      <c r="E6" s="33">
        <f t="shared" si="3"/>
        <v>0</v>
      </c>
      <c r="F6" s="33">
        <f t="shared" si="3"/>
        <v>0</v>
      </c>
      <c r="G6" s="33">
        <f t="shared" si="3"/>
        <v>0</v>
      </c>
      <c r="H6" s="33">
        <f t="shared" si="3"/>
        <v>0</v>
      </c>
      <c r="I6" s="33">
        <f t="shared" si="3"/>
        <v>0</v>
      </c>
    </row>
    <row r="8" spans="1:9" ht="15" x14ac:dyDescent="0.25">
      <c r="A8" s="12" t="s">
        <v>1865</v>
      </c>
      <c r="B8" s="111">
        <f>B13</f>
        <v>11.5</v>
      </c>
      <c r="C8" s="54"/>
    </row>
    <row r="9" spans="1:9" ht="15" x14ac:dyDescent="0.25">
      <c r="C9" s="7"/>
    </row>
    <row r="10" spans="1:9" ht="15" x14ac:dyDescent="0.25">
      <c r="A10" t="s">
        <v>2220</v>
      </c>
      <c r="C10" s="7"/>
    </row>
    <row r="11" spans="1:9" ht="15" x14ac:dyDescent="0.25">
      <c r="A11" t="s">
        <v>2221</v>
      </c>
      <c r="B11">
        <v>138</v>
      </c>
      <c r="C11" s="7"/>
      <c r="D11" t="s">
        <v>3337</v>
      </c>
    </row>
    <row r="12" spans="1:9" ht="15" x14ac:dyDescent="0.25">
      <c r="A12" t="s">
        <v>2222</v>
      </c>
      <c r="B12">
        <v>12</v>
      </c>
      <c r="C12" s="7"/>
      <c r="D12" t="s">
        <v>3338</v>
      </c>
    </row>
    <row r="13" spans="1:9" ht="15" x14ac:dyDescent="0.25">
      <c r="A13" t="s">
        <v>2223</v>
      </c>
      <c r="B13" s="50">
        <f>B11/B12</f>
        <v>11.5</v>
      </c>
      <c r="C13" s="14" t="s">
        <v>2224</v>
      </c>
    </row>
    <row r="14" spans="1:9" ht="15" x14ac:dyDescent="0.25">
      <c r="C14" s="7"/>
    </row>
    <row r="15" spans="1:9" ht="15" x14ac:dyDescent="0.25">
      <c r="C15" s="7"/>
    </row>
    <row r="16" spans="1:9" ht="15" x14ac:dyDescent="0.25">
      <c r="C16" s="7"/>
    </row>
    <row r="17" spans="1:17" ht="15" x14ac:dyDescent="0.25">
      <c r="A17" s="157" t="s">
        <v>1992</v>
      </c>
      <c r="B17" s="157"/>
      <c r="C17" s="270"/>
      <c r="D17" s="157"/>
      <c r="E17" s="157"/>
      <c r="F17" s="157"/>
    </row>
    <row r="18" spans="1:17" ht="15" x14ac:dyDescent="0.25">
      <c r="A18" t="s">
        <v>2806</v>
      </c>
      <c r="C18" s="7"/>
    </row>
    <row r="19" spans="1:17" ht="15" x14ac:dyDescent="0.25">
      <c r="A19" t="s">
        <v>2810</v>
      </c>
      <c r="C19" s="7"/>
    </row>
    <row r="20" spans="1:17" ht="15" x14ac:dyDescent="0.25">
      <c r="A20" t="s">
        <v>2808</v>
      </c>
      <c r="C20" s="7"/>
    </row>
    <row r="21" spans="1:17" ht="15" x14ac:dyDescent="0.25">
      <c r="A21" t="s">
        <v>2809</v>
      </c>
      <c r="C21" s="7"/>
    </row>
    <row r="22" spans="1:17" ht="15" x14ac:dyDescent="0.25">
      <c r="A22" t="s">
        <v>3114</v>
      </c>
      <c r="C22" s="7"/>
    </row>
    <row r="23" spans="1:17" ht="15" x14ac:dyDescent="0.25">
      <c r="A23" t="s">
        <v>2807</v>
      </c>
      <c r="C23" s="7"/>
    </row>
    <row r="24" spans="1:17" ht="15" x14ac:dyDescent="0.25">
      <c r="A24" t="s">
        <v>2811</v>
      </c>
      <c r="C24" s="7"/>
    </row>
    <row r="25" spans="1:17" ht="15" x14ac:dyDescent="0.25">
      <c r="A25" t="s">
        <v>3115</v>
      </c>
      <c r="C25" s="7"/>
    </row>
    <row r="26" spans="1:17" s="301" customFormat="1" ht="15" x14ac:dyDescent="0.25">
      <c r="C26" s="7"/>
    </row>
    <row r="27" spans="1:17" ht="15" x14ac:dyDescent="0.25">
      <c r="D27" s="33"/>
    </row>
    <row r="28" spans="1:17" ht="15" x14ac:dyDescent="0.25">
      <c r="A28" s="8" t="s">
        <v>2052</v>
      </c>
      <c r="Q28" s="90"/>
    </row>
    <row r="29" spans="1:17" ht="15" x14ac:dyDescent="0.25">
      <c r="A29" s="34" t="s">
        <v>1852</v>
      </c>
      <c r="B29" s="77">
        <v>0.5</v>
      </c>
      <c r="F29" t="s">
        <v>3116</v>
      </c>
      <c r="Q29" s="90"/>
    </row>
    <row r="30" spans="1:17" x14ac:dyDescent="0.3">
      <c r="Q30" s="90"/>
    </row>
    <row r="31" spans="1:17" x14ac:dyDescent="0.3">
      <c r="A31" s="88" t="s">
        <v>3136</v>
      </c>
      <c r="B31" s="89" t="s">
        <v>3340</v>
      </c>
      <c r="C31" s="89"/>
      <c r="D31" s="89"/>
      <c r="E31" s="89"/>
      <c r="F31" s="89"/>
      <c r="Q31" s="90"/>
    </row>
    <row r="32" spans="1:17" x14ac:dyDescent="0.3">
      <c r="A32" s="8" t="s">
        <v>1856</v>
      </c>
      <c r="Q32" s="90"/>
    </row>
    <row r="33" spans="1:17" x14ac:dyDescent="0.3">
      <c r="A33" t="s">
        <v>1758</v>
      </c>
      <c r="B33" s="7">
        <v>0.5</v>
      </c>
      <c r="F33" s="7"/>
      <c r="Q33" s="90"/>
    </row>
    <row r="34" spans="1:17" x14ac:dyDescent="0.3">
      <c r="A34" s="8" t="s">
        <v>1761</v>
      </c>
      <c r="B34" s="7"/>
      <c r="F34" s="7"/>
      <c r="Q34" s="90"/>
    </row>
    <row r="35" spans="1:17" x14ac:dyDescent="0.3">
      <c r="A35" t="s">
        <v>1759</v>
      </c>
      <c r="B35" s="7">
        <v>1</v>
      </c>
      <c r="F35" t="s">
        <v>3339</v>
      </c>
    </row>
    <row r="36" spans="1:17" x14ac:dyDescent="0.3">
      <c r="A36" t="s">
        <v>1760</v>
      </c>
      <c r="B36" s="7">
        <v>1</v>
      </c>
    </row>
    <row r="37" spans="1:17" x14ac:dyDescent="0.3">
      <c r="A37" t="s">
        <v>1762</v>
      </c>
      <c r="B37" s="7">
        <v>1</v>
      </c>
    </row>
    <row r="38" spans="1:17" x14ac:dyDescent="0.3">
      <c r="A38" s="8" t="s">
        <v>1763</v>
      </c>
    </row>
    <row r="39" spans="1:17" x14ac:dyDescent="0.3">
      <c r="A39" t="s">
        <v>1764</v>
      </c>
      <c r="B39" s="7">
        <v>4</v>
      </c>
    </row>
    <row r="40" spans="1:17" x14ac:dyDescent="0.3">
      <c r="A40" s="8" t="s">
        <v>1765</v>
      </c>
    </row>
    <row r="41" spans="1:17" x14ac:dyDescent="0.3">
      <c r="A41" t="s">
        <v>1766</v>
      </c>
      <c r="B41" s="7">
        <v>2</v>
      </c>
      <c r="F41" t="s">
        <v>1767</v>
      </c>
    </row>
    <row r="42" spans="1:17" x14ac:dyDescent="0.3">
      <c r="A42" t="s">
        <v>1769</v>
      </c>
      <c r="B42" s="7">
        <v>8</v>
      </c>
      <c r="F42" t="s">
        <v>1768</v>
      </c>
    </row>
    <row r="43" spans="1:17" x14ac:dyDescent="0.3">
      <c r="A43" t="s">
        <v>1770</v>
      </c>
      <c r="B43" s="7">
        <v>8</v>
      </c>
      <c r="F43" t="s">
        <v>1771</v>
      </c>
    </row>
    <row r="44" spans="1:17" x14ac:dyDescent="0.3">
      <c r="A44" s="7" t="s">
        <v>1772</v>
      </c>
      <c r="B44" s="14">
        <f>C44*B29</f>
        <v>2</v>
      </c>
      <c r="C44" s="7">
        <v>4</v>
      </c>
      <c r="D44" s="7"/>
      <c r="E44" s="7"/>
      <c r="F44" s="14" t="s">
        <v>2050</v>
      </c>
      <c r="Q44" s="90"/>
    </row>
    <row r="45" spans="1:17" x14ac:dyDescent="0.3">
      <c r="A45" t="s">
        <v>1773</v>
      </c>
      <c r="B45" s="7">
        <v>1</v>
      </c>
      <c r="Q45" s="90"/>
    </row>
    <row r="46" spans="1:17" x14ac:dyDescent="0.3">
      <c r="A46" s="8" t="s">
        <v>1838</v>
      </c>
      <c r="F46" t="s">
        <v>3510</v>
      </c>
      <c r="Q46" s="90"/>
    </row>
    <row r="47" spans="1:17" x14ac:dyDescent="0.3">
      <c r="A47" s="34" t="s">
        <v>1774</v>
      </c>
      <c r="B47" s="7">
        <f>3*8</f>
        <v>24</v>
      </c>
      <c r="F47" t="s">
        <v>1831</v>
      </c>
      <c r="Q47" s="90"/>
    </row>
    <row r="48" spans="1:17" x14ac:dyDescent="0.3">
      <c r="A48" s="8" t="s">
        <v>1857</v>
      </c>
      <c r="B48" s="7"/>
      <c r="Q48" s="90"/>
    </row>
    <row r="49" spans="1:6" x14ac:dyDescent="0.3">
      <c r="A49" t="s">
        <v>1854</v>
      </c>
      <c r="B49" s="7">
        <v>2</v>
      </c>
      <c r="F49" t="s">
        <v>1855</v>
      </c>
    </row>
    <row r="50" spans="1:6" x14ac:dyDescent="0.3">
      <c r="A50" s="34" t="s">
        <v>1858</v>
      </c>
      <c r="B50" s="14">
        <f>C50*(1-B29)</f>
        <v>1</v>
      </c>
      <c r="C50" s="7">
        <v>2</v>
      </c>
      <c r="F50" s="14" t="s">
        <v>2051</v>
      </c>
    </row>
    <row r="51" spans="1:6" x14ac:dyDescent="0.3">
      <c r="A51" s="34" t="s">
        <v>1859</v>
      </c>
      <c r="B51" s="14">
        <f>C51*B29</f>
        <v>2</v>
      </c>
      <c r="C51" s="7">
        <v>4</v>
      </c>
      <c r="F51" s="14" t="s">
        <v>2051</v>
      </c>
    </row>
    <row r="53" spans="1:6" x14ac:dyDescent="0.3">
      <c r="A53" s="8" t="s">
        <v>1840</v>
      </c>
      <c r="B53" s="7"/>
    </row>
    <row r="54" spans="1:6" x14ac:dyDescent="0.3">
      <c r="A54" s="34" t="s">
        <v>1841</v>
      </c>
      <c r="B54" s="7">
        <v>4</v>
      </c>
      <c r="F54" t="s">
        <v>1842</v>
      </c>
    </row>
    <row r="55" spans="1:6" x14ac:dyDescent="0.3">
      <c r="A55" s="34" t="s">
        <v>1839</v>
      </c>
      <c r="B55" s="7">
        <v>2</v>
      </c>
      <c r="F55" t="s">
        <v>1843</v>
      </c>
    </row>
    <row r="56" spans="1:6" x14ac:dyDescent="0.3">
      <c r="A56" s="34" t="s">
        <v>1834</v>
      </c>
      <c r="B56" s="7">
        <v>8</v>
      </c>
    </row>
    <row r="57" spans="1:6" x14ac:dyDescent="0.3">
      <c r="A57" s="34" t="s">
        <v>1835</v>
      </c>
      <c r="B57" s="7">
        <v>2</v>
      </c>
    </row>
    <row r="58" spans="1:6" x14ac:dyDescent="0.3">
      <c r="A58" s="8" t="s">
        <v>1832</v>
      </c>
    </row>
    <row r="59" spans="1:6" x14ac:dyDescent="0.3">
      <c r="A59" s="34" t="s">
        <v>1833</v>
      </c>
      <c r="B59" s="7">
        <v>4</v>
      </c>
    </row>
    <row r="60" spans="1:6" x14ac:dyDescent="0.3">
      <c r="A60" s="8" t="s">
        <v>1837</v>
      </c>
    </row>
    <row r="61" spans="1:6" x14ac:dyDescent="0.3">
      <c r="A61" s="34" t="s">
        <v>1836</v>
      </c>
      <c r="B61" s="7">
        <v>2</v>
      </c>
      <c r="F61" t="s">
        <v>1861</v>
      </c>
    </row>
    <row r="62" spans="1:6" x14ac:dyDescent="0.3">
      <c r="A62" s="34" t="s">
        <v>1860</v>
      </c>
      <c r="B62" s="7">
        <v>4</v>
      </c>
    </row>
    <row r="63" spans="1:6" x14ac:dyDescent="0.3">
      <c r="A63" s="8" t="s">
        <v>1844</v>
      </c>
    </row>
    <row r="64" spans="1:6" x14ac:dyDescent="0.3">
      <c r="A64" s="34" t="s">
        <v>1845</v>
      </c>
      <c r="B64" s="7">
        <v>2</v>
      </c>
    </row>
    <row r="65" spans="1:6" x14ac:dyDescent="0.3">
      <c r="A65" s="34"/>
    </row>
    <row r="66" spans="1:6" x14ac:dyDescent="0.3">
      <c r="A66" s="85" t="s">
        <v>2180</v>
      </c>
      <c r="B66" s="10">
        <f>SUM(B33:B65)</f>
        <v>85.5</v>
      </c>
      <c r="C66" s="34" t="s">
        <v>1736</v>
      </c>
      <c r="D66" s="34"/>
      <c r="E66" s="34"/>
      <c r="F66" t="s">
        <v>2812</v>
      </c>
    </row>
    <row r="67" spans="1:6" x14ac:dyDescent="0.3">
      <c r="A67" s="34"/>
      <c r="B67" s="34"/>
      <c r="C67" s="34"/>
      <c r="D67" s="34"/>
      <c r="E67" s="34"/>
    </row>
    <row r="68" spans="1:6" x14ac:dyDescent="0.3">
      <c r="A68" s="85" t="s">
        <v>2181</v>
      </c>
      <c r="B68" s="109">
        <v>10</v>
      </c>
      <c r="C68" s="34" t="s">
        <v>1736</v>
      </c>
      <c r="D68" s="34"/>
      <c r="E68" s="34"/>
      <c r="F68" t="s">
        <v>2182</v>
      </c>
    </row>
    <row r="69" spans="1:6" x14ac:dyDescent="0.3">
      <c r="A69" s="34"/>
      <c r="B69" s="34"/>
      <c r="C69" s="34"/>
      <c r="D69" s="34"/>
      <c r="E69" s="34"/>
    </row>
    <row r="70" spans="1:6" s="301" customFormat="1" x14ac:dyDescent="0.3">
      <c r="A70" s="88" t="s">
        <v>3135</v>
      </c>
      <c r="B70" s="89"/>
      <c r="C70" s="89"/>
      <c r="D70" s="89"/>
      <c r="E70" s="89"/>
      <c r="F70" s="89"/>
    </row>
    <row r="71" spans="1:6" s="301" customFormat="1" x14ac:dyDescent="0.3">
      <c r="A71" s="34" t="s">
        <v>1992</v>
      </c>
      <c r="B71" s="34"/>
      <c r="C71" s="34"/>
      <c r="D71" s="34"/>
      <c r="E71" s="34"/>
    </row>
    <row r="72" spans="1:6" s="301" customFormat="1" x14ac:dyDescent="0.3">
      <c r="A72" s="34" t="s">
        <v>3139</v>
      </c>
      <c r="B72" s="34"/>
      <c r="C72" s="34"/>
      <c r="D72" s="34"/>
      <c r="E72" s="34"/>
    </row>
    <row r="73" spans="1:6" s="301" customFormat="1" x14ac:dyDescent="0.3">
      <c r="A73" s="34" t="s">
        <v>3140</v>
      </c>
      <c r="B73" s="34"/>
      <c r="C73" s="34"/>
      <c r="D73" s="34"/>
      <c r="E73" s="34"/>
    </row>
    <row r="74" spans="1:6" s="301" customFormat="1" x14ac:dyDescent="0.3">
      <c r="A74" s="34" t="s">
        <v>3141</v>
      </c>
      <c r="B74" s="34"/>
      <c r="C74" s="34"/>
      <c r="D74" s="34"/>
      <c r="E74" s="34"/>
    </row>
    <row r="75" spans="1:6" s="301" customFormat="1" x14ac:dyDescent="0.3">
      <c r="A75" s="34"/>
      <c r="B75" s="34"/>
      <c r="C75" s="34"/>
      <c r="D75" s="34"/>
      <c r="E75" s="34"/>
    </row>
    <row r="76" spans="1:6" s="301" customFormat="1" x14ac:dyDescent="0.3">
      <c r="B76" s="34"/>
      <c r="C76" s="34"/>
      <c r="D76" s="34"/>
      <c r="E76" s="34"/>
    </row>
    <row r="77" spans="1:6" x14ac:dyDescent="0.3">
      <c r="A77" s="339" t="s">
        <v>3134</v>
      </c>
      <c r="B77" s="94"/>
      <c r="C77" s="94"/>
      <c r="D77" s="94"/>
    </row>
    <row r="78" spans="1:6" x14ac:dyDescent="0.3">
      <c r="A78" s="8" t="s">
        <v>1853</v>
      </c>
      <c r="B78" s="33"/>
    </row>
    <row r="79" spans="1:6" x14ac:dyDescent="0.3">
      <c r="A79" s="34" t="s">
        <v>1846</v>
      </c>
      <c r="B79" s="55">
        <f>IF(CapitaliseThisItem= TRUE,0,CostPerCableJoint)</f>
        <v>0</v>
      </c>
      <c r="F79" t="s">
        <v>1847</v>
      </c>
    </row>
    <row r="80" spans="1:6" x14ac:dyDescent="0.3">
      <c r="A80" s="34" t="s">
        <v>1848</v>
      </c>
      <c r="B80" s="55">
        <f>IF(CapitaliseThisItem= TRUE,0,CostOfCablePerMetre)</f>
        <v>0</v>
      </c>
      <c r="C80" t="s">
        <v>2049</v>
      </c>
    </row>
    <row r="81" spans="1:6" x14ac:dyDescent="0.3">
      <c r="A81" s="34" t="s">
        <v>1849</v>
      </c>
      <c r="B81" s="73">
        <v>100</v>
      </c>
      <c r="C81" t="s">
        <v>3133</v>
      </c>
      <c r="F81" t="s">
        <v>3132</v>
      </c>
    </row>
    <row r="82" spans="1:6" x14ac:dyDescent="0.3">
      <c r="A82" s="34" t="s">
        <v>3131</v>
      </c>
      <c r="B82" s="41">
        <v>10</v>
      </c>
      <c r="C82" t="s">
        <v>2049</v>
      </c>
      <c r="F82" t="s">
        <v>1851</v>
      </c>
    </row>
    <row r="83" spans="1:6" x14ac:dyDescent="0.3">
      <c r="A83" s="85" t="s">
        <v>1850</v>
      </c>
      <c r="B83" s="86">
        <f>B79*2+B80*B81+B81*B82*$B$29</f>
        <v>500</v>
      </c>
      <c r="C83" s="34"/>
      <c r="D83" s="34"/>
      <c r="E83" s="34"/>
    </row>
    <row r="84" spans="1:6" x14ac:dyDescent="0.3">
      <c r="A84" s="34"/>
    </row>
    <row r="85" spans="1:6" s="301" customFormat="1" x14ac:dyDescent="0.3">
      <c r="A85" s="34"/>
    </row>
    <row r="86" spans="1:6" s="301" customFormat="1" x14ac:dyDescent="0.3">
      <c r="A86" s="88" t="s">
        <v>3137</v>
      </c>
      <c r="B86" s="89"/>
      <c r="C86" s="89"/>
      <c r="D86" s="89"/>
      <c r="E86" s="89"/>
      <c r="F86" s="89"/>
    </row>
    <row r="87" spans="1:6" s="301" customFormat="1" x14ac:dyDescent="0.3">
      <c r="A87" s="34" t="s">
        <v>1992</v>
      </c>
      <c r="B87" s="34"/>
      <c r="C87" s="34"/>
      <c r="D87" s="34"/>
      <c r="E87" s="34"/>
    </row>
    <row r="88" spans="1:6" s="301" customFormat="1" x14ac:dyDescent="0.3">
      <c r="A88" s="34" t="s">
        <v>3130</v>
      </c>
      <c r="B88" s="34"/>
      <c r="C88" s="34"/>
      <c r="D88" s="34"/>
      <c r="E88" s="34"/>
    </row>
    <row r="89" spans="1:6" s="301" customFormat="1" x14ac:dyDescent="0.3">
      <c r="A89" s="34" t="s">
        <v>3128</v>
      </c>
      <c r="B89" s="34"/>
      <c r="C89" s="34"/>
      <c r="D89" s="34"/>
      <c r="E89" s="34"/>
    </row>
    <row r="90" spans="1:6" s="301" customFormat="1" x14ac:dyDescent="0.3">
      <c r="A90" s="34" t="s">
        <v>3129</v>
      </c>
      <c r="B90" s="34"/>
      <c r="C90" s="34"/>
      <c r="D90" s="34"/>
      <c r="E90" s="34"/>
    </row>
    <row r="91" spans="1:6" s="301" customFormat="1" x14ac:dyDescent="0.3">
      <c r="A91" s="34" t="s">
        <v>3148</v>
      </c>
      <c r="B91" s="34"/>
      <c r="C91" s="34"/>
      <c r="D91" s="34"/>
      <c r="E91" s="34"/>
    </row>
    <row r="92" spans="1:6" s="301" customFormat="1" x14ac:dyDescent="0.3">
      <c r="A92" s="34" t="s">
        <v>3149</v>
      </c>
      <c r="B92" s="34"/>
      <c r="C92" s="34"/>
      <c r="D92" s="34"/>
      <c r="E92" s="34"/>
    </row>
    <row r="93" spans="1:6" s="301" customFormat="1" x14ac:dyDescent="0.3">
      <c r="A93" s="34"/>
      <c r="B93" s="34"/>
      <c r="C93" s="34"/>
      <c r="D93" s="34"/>
      <c r="E93" s="34"/>
    </row>
    <row r="94" spans="1:6" s="301" customFormat="1" x14ac:dyDescent="0.3">
      <c r="A94" s="34"/>
      <c r="B94" s="34"/>
      <c r="C94" s="34"/>
      <c r="D94" s="34"/>
      <c r="E94" s="34"/>
    </row>
    <row r="95" spans="1:6" s="301" customFormat="1" x14ac:dyDescent="0.3">
      <c r="A95" s="34"/>
      <c r="B95" s="34"/>
      <c r="C95" s="34"/>
      <c r="D95" s="34"/>
      <c r="E95" s="34"/>
    </row>
    <row r="96" spans="1:6" s="301" customFormat="1" x14ac:dyDescent="0.3">
      <c r="A96" s="34" t="s">
        <v>3138</v>
      </c>
      <c r="B96" s="90">
        <f>$D$138*POWER(1+InflationContractorLabour,2014-2013)</f>
        <v>9180.8019999999997</v>
      </c>
      <c r="F96" s="301" t="s">
        <v>3145</v>
      </c>
    </row>
    <row r="97" spans="1:9" s="301" customFormat="1" x14ac:dyDescent="0.3">
      <c r="A97" s="34" t="s">
        <v>3146</v>
      </c>
      <c r="B97" s="90">
        <f>($D$122+$D$130)*POWER(1+InflationContractorLabour,2014-2013)/2</f>
        <v>29701.348125</v>
      </c>
      <c r="F97" s="301" t="s">
        <v>3147</v>
      </c>
    </row>
    <row r="98" spans="1:9" x14ac:dyDescent="0.3">
      <c r="A98" s="34"/>
    </row>
    <row r="101" spans="1:9" ht="28.8" x14ac:dyDescent="0.3">
      <c r="A101" s="14"/>
      <c r="B101" s="87" t="s">
        <v>2723</v>
      </c>
      <c r="C101" s="87" t="s">
        <v>2720</v>
      </c>
      <c r="D101" s="62" t="s">
        <v>1655</v>
      </c>
      <c r="E101" s="30" t="str">
        <f>Summary!C4</f>
        <v>2015/16</v>
      </c>
      <c r="F101" s="30" t="str">
        <f>Summary!D4</f>
        <v>2016/17</v>
      </c>
      <c r="G101" s="30" t="str">
        <f>Summary!E4</f>
        <v>2017/18</v>
      </c>
      <c r="H101" s="30" t="str">
        <f>Summary!F4</f>
        <v>2018/19</v>
      </c>
      <c r="I101" s="30" t="str">
        <f>Summary!G4</f>
        <v>2019/20</v>
      </c>
    </row>
    <row r="102" spans="1:9" x14ac:dyDescent="0.3">
      <c r="A102" s="14" t="s">
        <v>1648</v>
      </c>
      <c r="B102" s="40">
        <f>B66*HourlyRateAPAMaintenanceStaff+B68*HourlyRateAPAOMSupervisor</f>
        <v>9840.460500000001</v>
      </c>
      <c r="C102" s="40">
        <f>B102*$B$8</f>
        <v>113165.29575000002</v>
      </c>
      <c r="D102" s="40">
        <f>SUM(E102:I102)</f>
        <v>609704.82030560821</v>
      </c>
      <c r="E102" s="40">
        <f>$C102*'Modelling Assumptions'!E$101</f>
        <v>115994.42814375</v>
      </c>
      <c r="F102" s="40">
        <f>$C102*'Modelling Assumptions'!F$101</f>
        <v>118894.28884734376</v>
      </c>
      <c r="G102" s="40">
        <f>$C102*'Modelling Assumptions'!G$101</f>
        <v>121866.64606852735</v>
      </c>
      <c r="H102" s="40">
        <f>$C102*'Modelling Assumptions'!H$101</f>
        <v>124913.31222024052</v>
      </c>
      <c r="I102" s="40">
        <f>$C102*'Modelling Assumptions'!I$101</f>
        <v>128036.14502574652</v>
      </c>
    </row>
    <row r="103" spans="1:9" x14ac:dyDescent="0.3">
      <c r="A103" s="14" t="s">
        <v>1643</v>
      </c>
      <c r="B103" s="40">
        <f>B83</f>
        <v>500</v>
      </c>
      <c r="C103" s="40">
        <f t="shared" ref="C103:C105" si="4">B103*$B$8</f>
        <v>5750</v>
      </c>
      <c r="D103" s="40">
        <f>SUM(E103:I103)</f>
        <v>31443.356834725</v>
      </c>
      <c r="E103" s="40">
        <f>$C103*'Modelling Assumptions'!E$102</f>
        <v>5922.5</v>
      </c>
      <c r="F103" s="40">
        <f>$C103*'Modelling Assumptions'!F$102</f>
        <v>6100.1750000000002</v>
      </c>
      <c r="G103" s="40">
        <f>$C103*'Modelling Assumptions'!G$102</f>
        <v>6283.1802500000003</v>
      </c>
      <c r="H103" s="40">
        <f>$C103*'Modelling Assumptions'!H$102</f>
        <v>6471.6756574999999</v>
      </c>
      <c r="I103" s="40">
        <f>$C103*'Modelling Assumptions'!I$102</f>
        <v>6665.8259272249988</v>
      </c>
    </row>
    <row r="104" spans="1:9" x14ac:dyDescent="0.3">
      <c r="A104" s="14" t="s">
        <v>1649</v>
      </c>
      <c r="B104" s="40">
        <f>(1-B29)*B96+B29*B97</f>
        <v>19441.0750625</v>
      </c>
      <c r="C104" s="40">
        <f t="shared" si="4"/>
        <v>223572.36321874999</v>
      </c>
      <c r="D104" s="40">
        <f>SUM(E104:I104)</f>
        <v>1204549.0327946949</v>
      </c>
      <c r="E104" s="40">
        <f>$C104*'Modelling Assumptions'!E$101</f>
        <v>229161.67229921871</v>
      </c>
      <c r="F104" s="40">
        <f>$C104*'Modelling Assumptions'!F$101</f>
        <v>234890.71410669919</v>
      </c>
      <c r="G104" s="40">
        <f>$C104*'Modelling Assumptions'!G$101</f>
        <v>240762.98195936665</v>
      </c>
      <c r="H104" s="40">
        <f>$C104*'Modelling Assumptions'!H$101</f>
        <v>246782.0565083508</v>
      </c>
      <c r="I104" s="40">
        <f>$C104*'Modelling Assumptions'!I$101</f>
        <v>252951.60792105956</v>
      </c>
    </row>
    <row r="105" spans="1:9" x14ac:dyDescent="0.3">
      <c r="A105" s="14" t="s">
        <v>1650</v>
      </c>
      <c r="B105" s="40">
        <v>0</v>
      </c>
      <c r="C105" s="40">
        <f t="shared" si="4"/>
        <v>0</v>
      </c>
      <c r="D105" s="40">
        <f>SUM(E105:I105)</f>
        <v>0</v>
      </c>
      <c r="E105" s="40">
        <f>$C105*'Modelling Assumptions'!E$102</f>
        <v>0</v>
      </c>
      <c r="F105" s="40">
        <f>$C105*'Modelling Assumptions'!F$102</f>
        <v>0</v>
      </c>
      <c r="G105" s="40">
        <f>$C105*'Modelling Assumptions'!G$102</f>
        <v>0</v>
      </c>
      <c r="H105" s="40">
        <f>$C105*'Modelling Assumptions'!H$102</f>
        <v>0</v>
      </c>
      <c r="I105" s="40">
        <f>$C105*'Modelling Assumptions'!I$102</f>
        <v>0</v>
      </c>
    </row>
    <row r="111" spans="1:9" x14ac:dyDescent="0.3">
      <c r="A111" s="11" t="s">
        <v>3127</v>
      </c>
      <c r="B111" s="11" t="s">
        <v>3341</v>
      </c>
      <c r="C111" s="11"/>
      <c r="D111" s="11"/>
    </row>
    <row r="112" spans="1:9" s="301" customFormat="1" x14ac:dyDescent="0.3">
      <c r="A112" s="301" t="s">
        <v>3150</v>
      </c>
    </row>
    <row r="113" spans="1:5" x14ac:dyDescent="0.3">
      <c r="A113" t="s">
        <v>3126</v>
      </c>
    </row>
    <row r="114" spans="1:5" x14ac:dyDescent="0.3">
      <c r="A114" s="301"/>
      <c r="B114" s="301" t="s">
        <v>3144</v>
      </c>
      <c r="C114" s="301"/>
      <c r="D114" s="301"/>
    </row>
    <row r="116" spans="1:5" x14ac:dyDescent="0.3">
      <c r="A116" s="301"/>
      <c r="B116" s="301" t="s">
        <v>3118</v>
      </c>
      <c r="C116" s="301"/>
      <c r="D116" s="30" t="s">
        <v>3119</v>
      </c>
    </row>
    <row r="117" spans="1:5" x14ac:dyDescent="0.3">
      <c r="A117" s="301" t="s">
        <v>3120</v>
      </c>
      <c r="B117" s="301">
        <v>11231</v>
      </c>
      <c r="C117" s="301"/>
      <c r="D117" s="90">
        <v>8182.5</v>
      </c>
    </row>
    <row r="118" spans="1:5" x14ac:dyDescent="0.3">
      <c r="A118" s="301" t="s">
        <v>3121</v>
      </c>
      <c r="B118" s="301">
        <v>52781</v>
      </c>
      <c r="C118" s="301"/>
      <c r="D118" s="90">
        <v>7704.15</v>
      </c>
    </row>
    <row r="119" spans="1:5" x14ac:dyDescent="0.3">
      <c r="A119" s="301" t="s">
        <v>3122</v>
      </c>
      <c r="B119" s="301">
        <v>4616</v>
      </c>
      <c r="C119" s="301"/>
      <c r="D119" s="90">
        <v>4880</v>
      </c>
    </row>
    <row r="120" spans="1:5" x14ac:dyDescent="0.3">
      <c r="A120" s="301" t="s">
        <v>3123</v>
      </c>
      <c r="B120" s="301">
        <v>1208</v>
      </c>
      <c r="C120" s="301"/>
      <c r="D120" s="90">
        <v>6902.5</v>
      </c>
    </row>
    <row r="122" spans="1:5" x14ac:dyDescent="0.3">
      <c r="A122" s="301"/>
      <c r="B122" s="301"/>
      <c r="C122" s="301"/>
      <c r="D122" s="90">
        <v>27669.15</v>
      </c>
    </row>
    <row r="124" spans="1:5" x14ac:dyDescent="0.3">
      <c r="A124" s="301"/>
      <c r="B124" s="301" t="s">
        <v>3142</v>
      </c>
      <c r="C124" s="301"/>
      <c r="D124" s="301"/>
      <c r="E124" s="301"/>
    </row>
    <row r="126" spans="1:5" x14ac:dyDescent="0.3">
      <c r="A126" s="301"/>
      <c r="B126" s="301" t="s">
        <v>3118</v>
      </c>
      <c r="C126" s="301"/>
      <c r="D126" s="30" t="s">
        <v>3119</v>
      </c>
      <c r="E126" s="301"/>
    </row>
    <row r="127" spans="1:5" x14ac:dyDescent="0.3">
      <c r="A127" s="301" t="s">
        <v>3121</v>
      </c>
      <c r="B127" s="301">
        <v>47969</v>
      </c>
      <c r="C127" s="301"/>
      <c r="D127" s="90">
        <v>25404.7</v>
      </c>
      <c r="E127" s="301" t="s">
        <v>3124</v>
      </c>
    </row>
    <row r="128" spans="1:5" x14ac:dyDescent="0.3">
      <c r="A128" s="301" t="s">
        <v>3122</v>
      </c>
      <c r="B128" s="301">
        <v>4616</v>
      </c>
      <c r="C128" s="301"/>
      <c r="D128" s="90">
        <v>4880</v>
      </c>
      <c r="E128" s="301"/>
    </row>
    <row r="130" spans="1:6" x14ac:dyDescent="0.3">
      <c r="A130" s="301"/>
      <c r="B130" s="301"/>
      <c r="C130" s="301"/>
      <c r="D130" s="90">
        <v>30284.7</v>
      </c>
      <c r="E130" s="301"/>
    </row>
    <row r="132" spans="1:6" x14ac:dyDescent="0.3">
      <c r="A132" s="301"/>
      <c r="B132" s="301" t="s">
        <v>3143</v>
      </c>
      <c r="C132" s="301"/>
      <c r="D132" s="301"/>
      <c r="E132" s="301"/>
    </row>
    <row r="134" spans="1:6" x14ac:dyDescent="0.3">
      <c r="A134" s="301"/>
      <c r="B134" s="301" t="s">
        <v>3118</v>
      </c>
      <c r="C134" s="301"/>
      <c r="D134" s="30" t="s">
        <v>3119</v>
      </c>
      <c r="E134" s="301"/>
      <c r="F134" s="301"/>
    </row>
    <row r="135" spans="1:6" x14ac:dyDescent="0.3">
      <c r="A135" s="301" t="s">
        <v>3121</v>
      </c>
      <c r="B135" s="301">
        <v>46538</v>
      </c>
      <c r="C135" s="301"/>
      <c r="D135" s="90">
        <v>4076.88</v>
      </c>
      <c r="E135" s="301"/>
      <c r="F135" s="301" t="s">
        <v>3125</v>
      </c>
    </row>
    <row r="136" spans="1:6" x14ac:dyDescent="0.3">
      <c r="A136" s="301" t="s">
        <v>3122</v>
      </c>
      <c r="B136" s="301">
        <v>4616</v>
      </c>
      <c r="C136" s="301"/>
      <c r="D136" s="90">
        <v>4880</v>
      </c>
      <c r="E136" s="301"/>
      <c r="F136" s="301"/>
    </row>
    <row r="138" spans="1:6" x14ac:dyDescent="0.3">
      <c r="A138" s="301"/>
      <c r="B138" s="301"/>
      <c r="C138" s="301"/>
      <c r="D138" s="90">
        <v>8956.880000000001</v>
      </c>
      <c r="E138" s="301"/>
      <c r="F138" s="301"/>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tint="0.59999389629810485"/>
    <pageSetUpPr fitToPage="1"/>
  </sheetPr>
  <dimension ref="A1:I70"/>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ht="15" x14ac:dyDescent="0.25">
      <c r="A1" t="s">
        <v>1642</v>
      </c>
      <c r="B1" t="s">
        <v>1949</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D56</f>
        <v>6408.583532887852</v>
      </c>
      <c r="E3" s="33">
        <f t="shared" si="0"/>
        <v>1219.2129</v>
      </c>
      <c r="F3" s="33">
        <f t="shared" si="0"/>
        <v>1249.6932225</v>
      </c>
      <c r="G3" s="33">
        <f t="shared" si="0"/>
        <v>1280.9355530625</v>
      </c>
      <c r="H3" s="33">
        <f t="shared" si="0"/>
        <v>1312.9589418890623</v>
      </c>
      <c r="I3" s="33">
        <f t="shared" si="0"/>
        <v>1345.7829154362887</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78795.64965454099</v>
      </c>
      <c r="E5" s="33">
        <f t="shared" si="0"/>
        <v>14990.624999999998</v>
      </c>
      <c r="F5" s="33">
        <f t="shared" si="0"/>
        <v>15365.390624999998</v>
      </c>
      <c r="G5" s="33">
        <f t="shared" si="0"/>
        <v>15749.525390624998</v>
      </c>
      <c r="H5" s="33">
        <f t="shared" si="0"/>
        <v>16143.263525390621</v>
      </c>
      <c r="I5" s="33">
        <f t="shared" si="0"/>
        <v>16546.845113525385</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1499</v>
      </c>
    </row>
    <row r="10" spans="1:9" ht="15" x14ac:dyDescent="0.25">
      <c r="A10" t="s">
        <v>1500</v>
      </c>
      <c r="B10" s="14"/>
      <c r="C10" t="s">
        <v>1729</v>
      </c>
    </row>
    <row r="12" spans="1:9" ht="15" x14ac:dyDescent="0.25">
      <c r="A12" t="s">
        <v>1719</v>
      </c>
    </row>
    <row r="13" spans="1:9" ht="15" x14ac:dyDescent="0.25">
      <c r="B13" s="39" t="s">
        <v>1612</v>
      </c>
      <c r="C13" s="39">
        <v>18</v>
      </c>
    </row>
    <row r="14" spans="1:9" ht="15" x14ac:dyDescent="0.25">
      <c r="B14" s="39" t="s">
        <v>1613</v>
      </c>
      <c r="C14" s="39">
        <v>18</v>
      </c>
    </row>
    <row r="15" spans="1:9" ht="15" x14ac:dyDescent="0.25">
      <c r="A15" s="12" t="s">
        <v>1640</v>
      </c>
      <c r="B15" s="12"/>
      <c r="C15" s="12">
        <f>SUM(C13:C14)</f>
        <v>36</v>
      </c>
    </row>
    <row r="17" spans="1:3" ht="15" x14ac:dyDescent="0.25">
      <c r="A17" s="14" t="s">
        <v>1950</v>
      </c>
    </row>
    <row r="18" spans="1:3" ht="15" x14ac:dyDescent="0.25">
      <c r="A18" s="14" t="s">
        <v>1951</v>
      </c>
    </row>
    <row r="19" spans="1:3" ht="15" x14ac:dyDescent="0.25">
      <c r="A19" s="14" t="s">
        <v>1952</v>
      </c>
    </row>
    <row r="20" spans="1:3" ht="15" x14ac:dyDescent="0.25">
      <c r="A20" s="14" t="s">
        <v>1953</v>
      </c>
      <c r="B20" s="14">
        <v>148</v>
      </c>
      <c r="C20" s="7"/>
    </row>
    <row r="21" spans="1:3" ht="15" x14ac:dyDescent="0.25">
      <c r="A21" s="14"/>
      <c r="B21" s="14"/>
      <c r="C21" s="7"/>
    </row>
    <row r="22" spans="1:3" ht="15" x14ac:dyDescent="0.25">
      <c r="A22" s="14"/>
      <c r="B22" s="14"/>
      <c r="C22" s="7"/>
    </row>
    <row r="23" spans="1:3" ht="15" x14ac:dyDescent="0.25">
      <c r="A23" s="12" t="s">
        <v>1928</v>
      </c>
      <c r="B23" s="14"/>
      <c r="C23" s="7"/>
    </row>
    <row r="24" spans="1:3" ht="15" x14ac:dyDescent="0.25">
      <c r="A24" s="12" t="s">
        <v>2172</v>
      </c>
      <c r="B24" s="12">
        <f>CEILING(B35,1)</f>
        <v>39</v>
      </c>
      <c r="C24" s="12" t="s">
        <v>2173</v>
      </c>
    </row>
    <row r="25" spans="1:3" ht="15" x14ac:dyDescent="0.25">
      <c r="A25" s="14"/>
      <c r="B25" s="14"/>
      <c r="C25" s="7"/>
    </row>
    <row r="26" spans="1:3" ht="15" x14ac:dyDescent="0.25">
      <c r="A26" s="14"/>
      <c r="B26" s="14"/>
      <c r="C26" s="7"/>
    </row>
    <row r="27" spans="1:3" ht="15" x14ac:dyDescent="0.25">
      <c r="A27" s="106" t="s">
        <v>2169</v>
      </c>
      <c r="B27" s="59"/>
      <c r="C27" s="7"/>
    </row>
    <row r="28" spans="1:3" ht="15" x14ac:dyDescent="0.25">
      <c r="A28" s="104"/>
    </row>
    <row r="29" spans="1:3" ht="15" x14ac:dyDescent="0.25">
      <c r="A29" s="15" t="s">
        <v>2170</v>
      </c>
      <c r="B29" s="15"/>
      <c r="C29" t="s">
        <v>2175</v>
      </c>
    </row>
    <row r="30" spans="1:3" ht="15" x14ac:dyDescent="0.25">
      <c r="A30" s="15">
        <v>2009</v>
      </c>
      <c r="B30" s="15">
        <v>35</v>
      </c>
    </row>
    <row r="31" spans="1:3" x14ac:dyDescent="0.3">
      <c r="A31" s="15">
        <v>2010</v>
      </c>
      <c r="B31" s="15">
        <v>44</v>
      </c>
    </row>
    <row r="32" spans="1:3" x14ac:dyDescent="0.3">
      <c r="A32" s="15">
        <v>2011</v>
      </c>
      <c r="B32" s="15">
        <v>38</v>
      </c>
    </row>
    <row r="33" spans="1:3" x14ac:dyDescent="0.3">
      <c r="A33" s="15">
        <v>2012</v>
      </c>
      <c r="B33" s="15">
        <v>35</v>
      </c>
    </row>
    <row r="34" spans="1:3" x14ac:dyDescent="0.3">
      <c r="A34" s="15">
        <v>2013</v>
      </c>
      <c r="B34" s="15">
        <v>43</v>
      </c>
    </row>
    <row r="35" spans="1:3" x14ac:dyDescent="0.3">
      <c r="A35" s="15" t="s">
        <v>2168</v>
      </c>
      <c r="B35" s="15">
        <f>AVERAGE(B30:B34)</f>
        <v>39</v>
      </c>
    </row>
    <row r="36" spans="1:3" x14ac:dyDescent="0.3">
      <c r="A36" s="15" t="s">
        <v>2167</v>
      </c>
      <c r="B36" s="105">
        <f>B35/(B20*C15)</f>
        <v>7.3198198198198196E-3</v>
      </c>
      <c r="C36" s="7"/>
    </row>
    <row r="37" spans="1:3" x14ac:dyDescent="0.3">
      <c r="A37" s="14"/>
      <c r="B37" s="14"/>
      <c r="C37" s="7"/>
    </row>
    <row r="38" spans="1:3" x14ac:dyDescent="0.3">
      <c r="A38" s="42" t="s">
        <v>2174</v>
      </c>
      <c r="B38" s="14"/>
      <c r="C38" s="7"/>
    </row>
    <row r="39" spans="1:3" ht="28.8" x14ac:dyDescent="0.3">
      <c r="A39" s="58" t="s">
        <v>3232</v>
      </c>
      <c r="B39" s="7">
        <v>2</v>
      </c>
      <c r="C39" s="15" t="s">
        <v>3473</v>
      </c>
    </row>
    <row r="40" spans="1:3" x14ac:dyDescent="0.3">
      <c r="A40" s="14"/>
      <c r="B40" s="14"/>
      <c r="C40" s="7"/>
    </row>
    <row r="41" spans="1:3" x14ac:dyDescent="0.3">
      <c r="A41" s="14"/>
      <c r="B41" s="14"/>
      <c r="C41" s="7"/>
    </row>
    <row r="42" spans="1:3" x14ac:dyDescent="0.3">
      <c r="A42" s="14"/>
    </row>
    <row r="43" spans="1:3" x14ac:dyDescent="0.3">
      <c r="A43" s="16"/>
      <c r="B43" s="16"/>
      <c r="C43" s="43"/>
    </row>
    <row r="44" spans="1:3" x14ac:dyDescent="0.3">
      <c r="A44" s="8" t="s">
        <v>1646</v>
      </c>
      <c r="C44" s="39"/>
    </row>
    <row r="45" spans="1:3" x14ac:dyDescent="0.3">
      <c r="A45" s="14" t="s">
        <v>1658</v>
      </c>
      <c r="B45" s="15">
        <f>APATechnicianHours/B39</f>
        <v>0.5</v>
      </c>
      <c r="C45" s="14" t="s">
        <v>3233</v>
      </c>
    </row>
    <row r="46" spans="1:3" x14ac:dyDescent="0.3">
      <c r="A46" s="14" t="s">
        <v>1997</v>
      </c>
      <c r="B46" s="74">
        <f>APASupervisorHours/B39</f>
        <v>4.291666666666667</v>
      </c>
      <c r="C46" s="14" t="s">
        <v>3511</v>
      </c>
    </row>
    <row r="47" spans="1:3" x14ac:dyDescent="0.3">
      <c r="A47" s="14" t="s">
        <v>1643</v>
      </c>
      <c r="B47" s="55">
        <f>B67</f>
        <v>0</v>
      </c>
      <c r="C47" s="14" t="s">
        <v>2177</v>
      </c>
    </row>
    <row r="48" spans="1:3" x14ac:dyDescent="0.3">
      <c r="A48" s="14"/>
      <c r="B48" s="41"/>
      <c r="C48" s="14"/>
    </row>
    <row r="49" spans="1:9" x14ac:dyDescent="0.3">
      <c r="A49" s="42" t="s">
        <v>1647</v>
      </c>
      <c r="B49" s="7"/>
      <c r="C49" s="14"/>
    </row>
    <row r="50" spans="1:9" x14ac:dyDescent="0.3">
      <c r="A50" s="14" t="s">
        <v>1656</v>
      </c>
      <c r="B50" s="75">
        <v>5</v>
      </c>
      <c r="C50" s="14" t="s">
        <v>2171</v>
      </c>
    </row>
    <row r="51" spans="1:9" x14ac:dyDescent="0.3">
      <c r="A51" s="14" t="s">
        <v>1651</v>
      </c>
      <c r="B51" s="55">
        <f>ElectricalContractorHourlyRate</f>
        <v>75</v>
      </c>
      <c r="C51" s="14"/>
    </row>
    <row r="52" spans="1:9" x14ac:dyDescent="0.3">
      <c r="A52" s="14" t="s">
        <v>1649</v>
      </c>
      <c r="B52" s="40">
        <f>B50*B51</f>
        <v>375</v>
      </c>
      <c r="C52" s="14"/>
    </row>
    <row r="53" spans="1:9" x14ac:dyDescent="0.3">
      <c r="A53" s="14" t="s">
        <v>1650</v>
      </c>
      <c r="B53" s="55">
        <v>0</v>
      </c>
      <c r="C53" s="7"/>
    </row>
    <row r="54" spans="1:9" x14ac:dyDescent="0.3">
      <c r="A54" s="14"/>
      <c r="B54" s="14"/>
      <c r="C54" s="14"/>
    </row>
    <row r="55" spans="1:9" x14ac:dyDescent="0.3">
      <c r="A55" s="14"/>
      <c r="B55" s="46" t="s">
        <v>2712</v>
      </c>
      <c r="C55" s="46" t="s">
        <v>2720</v>
      </c>
      <c r="D55" s="30" t="s">
        <v>1655</v>
      </c>
      <c r="E55" s="30" t="str">
        <f>Summary!C4</f>
        <v>2015/16</v>
      </c>
      <c r="F55" s="30" t="str">
        <f>Summary!D4</f>
        <v>2016/17</v>
      </c>
      <c r="G55" s="30" t="str">
        <f>Summary!E4</f>
        <v>2017/18</v>
      </c>
      <c r="H55" s="30" t="str">
        <f>Summary!F4</f>
        <v>2018/19</v>
      </c>
      <c r="I55" s="30" t="str">
        <f>Summary!G4</f>
        <v>2019/20</v>
      </c>
    </row>
    <row r="56" spans="1:9" x14ac:dyDescent="0.3">
      <c r="A56" s="14" t="s">
        <v>1648</v>
      </c>
      <c r="B56" s="40">
        <f>B45*HourlyRateAPAMaintenanceStaff+B46*HourlyRateAPAOMSupervisor</f>
        <v>594.73800000000006</v>
      </c>
      <c r="C56" s="40">
        <f>B56*$B$39</f>
        <v>1189.4760000000001</v>
      </c>
      <c r="D56" s="33">
        <f>SUM(E56:I56)</f>
        <v>6408.583532887852</v>
      </c>
      <c r="E56" s="33">
        <f>$C56*'Modelling Assumptions'!E$101</f>
        <v>1219.2129</v>
      </c>
      <c r="F56" s="33">
        <f>$C56*'Modelling Assumptions'!F$101</f>
        <v>1249.6932225</v>
      </c>
      <c r="G56" s="33">
        <f>$C56*'Modelling Assumptions'!G$101</f>
        <v>1280.9355530625</v>
      </c>
      <c r="H56" s="33">
        <f>$C56*'Modelling Assumptions'!H$101</f>
        <v>1312.9589418890623</v>
      </c>
      <c r="I56" s="33">
        <f>$C56*'Modelling Assumptions'!I$101</f>
        <v>1345.7829154362887</v>
      </c>
    </row>
    <row r="57" spans="1:9" x14ac:dyDescent="0.3">
      <c r="A57" s="14" t="s">
        <v>1643</v>
      </c>
      <c r="B57" s="40">
        <f>B47</f>
        <v>0</v>
      </c>
      <c r="C57" s="40">
        <f>B57</f>
        <v>0</v>
      </c>
      <c r="D57" s="33">
        <f>C57*SUMPRODUCT(MaterialsAdjustmentFactor,E$43:I$43)</f>
        <v>0</v>
      </c>
      <c r="E57" s="33">
        <f>$C57*E$43*'Modelling Assumptions'!E$102</f>
        <v>0</v>
      </c>
      <c r="F57" s="33">
        <f>$C57*F$43*'Modelling Assumptions'!F$102</f>
        <v>0</v>
      </c>
      <c r="G57" s="33">
        <f>$C57*G$43*'Modelling Assumptions'!G$102</f>
        <v>0</v>
      </c>
      <c r="H57" s="33">
        <f>$C57*H$43*'Modelling Assumptions'!H$102</f>
        <v>0</v>
      </c>
      <c r="I57" s="33">
        <f>$C57*I$43*'Modelling Assumptions'!I$102</f>
        <v>0</v>
      </c>
    </row>
    <row r="58" spans="1:9" x14ac:dyDescent="0.3">
      <c r="A58" s="14" t="s">
        <v>1649</v>
      </c>
      <c r="B58" s="40">
        <f>B52</f>
        <v>375</v>
      </c>
      <c r="C58" s="40">
        <f>B58*$B$24</f>
        <v>14625</v>
      </c>
      <c r="D58" s="33">
        <f>SUM(E58:I58)</f>
        <v>78795.64965454099</v>
      </c>
      <c r="E58" s="33">
        <f>$C58*'Modelling Assumptions'!E$101</f>
        <v>14990.624999999998</v>
      </c>
      <c r="F58" s="33">
        <f>$C58*'Modelling Assumptions'!F$101</f>
        <v>15365.390624999998</v>
      </c>
      <c r="G58" s="33">
        <f>$C58*'Modelling Assumptions'!G$101</f>
        <v>15749.525390624998</v>
      </c>
      <c r="H58" s="33">
        <f>$C58*'Modelling Assumptions'!H$101</f>
        <v>16143.263525390621</v>
      </c>
      <c r="I58" s="33">
        <f>$C58*'Modelling Assumptions'!I$101</f>
        <v>16546.845113525385</v>
      </c>
    </row>
    <row r="59" spans="1:9" x14ac:dyDescent="0.3">
      <c r="A59" s="14" t="s">
        <v>1650</v>
      </c>
      <c r="B59" s="40">
        <f>B53</f>
        <v>0</v>
      </c>
      <c r="C59" s="40">
        <f>B59*$B$24</f>
        <v>0</v>
      </c>
      <c r="D59" s="33">
        <f>C59*SUMPRODUCT(MaterialsAdjustmentFactor,E$43:I$43)</f>
        <v>0</v>
      </c>
      <c r="E59" s="33">
        <f>$C59*E$43*'Modelling Assumptions'!E$102</f>
        <v>0</v>
      </c>
      <c r="F59" s="33">
        <f>$C59*F$43*'Modelling Assumptions'!F$102</f>
        <v>0</v>
      </c>
      <c r="G59" s="33">
        <f>$C59*G$43*'Modelling Assumptions'!G$102</f>
        <v>0</v>
      </c>
      <c r="H59" s="33">
        <f>$C59*H$43*'Modelling Assumptions'!H$102</f>
        <v>0</v>
      </c>
      <c r="I59" s="33">
        <f>$C59*I$43*'Modelling Assumptions'!I$102</f>
        <v>0</v>
      </c>
    </row>
    <row r="60" spans="1:9" x14ac:dyDescent="0.3">
      <c r="A60" s="14"/>
      <c r="B60" s="40"/>
      <c r="C60" s="40"/>
      <c r="D60" s="33"/>
      <c r="E60" s="33"/>
      <c r="F60" s="33"/>
      <c r="G60" s="33"/>
      <c r="H60" s="33"/>
      <c r="I60" s="33"/>
    </row>
    <row r="61" spans="1:9" x14ac:dyDescent="0.3">
      <c r="A61" s="14"/>
      <c r="B61" s="40"/>
      <c r="C61" s="40"/>
      <c r="D61" s="33"/>
      <c r="E61" s="33"/>
      <c r="F61" s="33"/>
      <c r="G61" s="33"/>
      <c r="H61" s="33"/>
      <c r="I61" s="33"/>
    </row>
    <row r="62" spans="1:9" x14ac:dyDescent="0.3">
      <c r="A62" s="14"/>
      <c r="B62" s="40"/>
      <c r="C62" s="40"/>
      <c r="D62" s="33"/>
      <c r="E62" s="33"/>
      <c r="F62" s="33"/>
      <c r="G62" s="33"/>
      <c r="H62" s="33"/>
      <c r="I62" s="33"/>
    </row>
    <row r="63" spans="1:9" x14ac:dyDescent="0.3">
      <c r="A63" s="14"/>
      <c r="B63" s="40"/>
      <c r="C63" s="40"/>
      <c r="D63" s="33"/>
      <c r="E63" s="33"/>
      <c r="F63" s="33"/>
      <c r="G63" s="33"/>
      <c r="H63" s="33"/>
      <c r="I63" s="33"/>
    </row>
    <row r="64" spans="1:9" x14ac:dyDescent="0.3">
      <c r="A64" s="48" t="s">
        <v>1663</v>
      </c>
      <c r="B64" s="11"/>
      <c r="C64" s="11"/>
      <c r="D64" s="11"/>
      <c r="E64" s="11"/>
      <c r="F64" s="11"/>
      <c r="G64" s="11"/>
      <c r="H64" s="11"/>
      <c r="I64" s="11"/>
    </row>
    <row r="66" spans="1:4" x14ac:dyDescent="0.3">
      <c r="A66" s="14" t="s">
        <v>2368</v>
      </c>
      <c r="B66" s="40">
        <f>IF(CapitaliseThisItem= TRUE,0,CostPerIGBT)</f>
        <v>0</v>
      </c>
      <c r="C66" s="339" t="s">
        <v>2176</v>
      </c>
    </row>
    <row r="67" spans="1:4" x14ac:dyDescent="0.3">
      <c r="A67" s="14" t="s">
        <v>2219</v>
      </c>
      <c r="B67" s="40">
        <f>B24*B66</f>
        <v>0</v>
      </c>
      <c r="C67" s="14"/>
    </row>
    <row r="68" spans="1:4" x14ac:dyDescent="0.3">
      <c r="A68" s="14"/>
      <c r="B68" s="14"/>
      <c r="C68" s="14"/>
    </row>
    <row r="69" spans="1:4" x14ac:dyDescent="0.3">
      <c r="A69" s="14"/>
      <c r="B69" s="14"/>
      <c r="C69" s="14"/>
    </row>
    <row r="70" spans="1:4" x14ac:dyDescent="0.3">
      <c r="D70" s="29"/>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6" tint="0.59999389629810485"/>
    <pageSetUpPr fitToPage="1"/>
  </sheetPr>
  <dimension ref="A1:I90"/>
  <sheetViews>
    <sheetView workbookViewId="0"/>
  </sheetViews>
  <sheetFormatPr defaultRowHeight="14.4" x14ac:dyDescent="0.3"/>
  <cols>
    <col min="1" max="1" width="57.6640625" customWidth="1"/>
    <col min="2" max="2" width="28.33203125" customWidth="1"/>
    <col min="3" max="3" width="13.6640625" customWidth="1"/>
    <col min="4" max="4" width="14" customWidth="1"/>
  </cols>
  <sheetData>
    <row r="1" spans="1:9" ht="15" x14ac:dyDescent="0.25">
      <c r="A1" t="s">
        <v>1642</v>
      </c>
      <c r="B1" t="s">
        <v>1863</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D35</f>
        <v>179130.39320234177</v>
      </c>
      <c r="E3" s="33">
        <f t="shared" ref="D3:I6" si="0">E35</f>
        <v>34078.995000000003</v>
      </c>
      <c r="F3" s="33">
        <f t="shared" si="0"/>
        <v>34930.969875000003</v>
      </c>
      <c r="G3" s="33">
        <f t="shared" si="0"/>
        <v>35804.244121875003</v>
      </c>
      <c r="H3" s="33">
        <f t="shared" si="0"/>
        <v>36699.350224921873</v>
      </c>
      <c r="I3" s="33">
        <f t="shared" si="0"/>
        <v>37616.833980544914</v>
      </c>
    </row>
    <row r="4" spans="1:9" ht="15" x14ac:dyDescent="0.25">
      <c r="A4" t="s">
        <v>1643</v>
      </c>
      <c r="B4" s="33"/>
      <c r="C4" s="33"/>
      <c r="D4" s="33">
        <f t="shared" si="0"/>
        <v>19139.434595049999</v>
      </c>
      <c r="E4" s="33">
        <f t="shared" si="0"/>
        <v>3605</v>
      </c>
      <c r="F4" s="33">
        <f t="shared" si="0"/>
        <v>3713.1499999999996</v>
      </c>
      <c r="G4" s="33">
        <f t="shared" si="0"/>
        <v>3824.5445</v>
      </c>
      <c r="H4" s="33">
        <f t="shared" si="0"/>
        <v>3939.2808349999996</v>
      </c>
      <c r="I4" s="33">
        <f t="shared" si="0"/>
        <v>4057.4592600499996</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1" spans="1:9" ht="15" x14ac:dyDescent="0.25">
      <c r="B11" s="7"/>
    </row>
    <row r="12" spans="1:9" ht="15" x14ac:dyDescent="0.25">
      <c r="A12" t="s">
        <v>1878</v>
      </c>
      <c r="B12" s="7"/>
      <c r="C12" s="34">
        <v>10</v>
      </c>
      <c r="D12" t="s">
        <v>2096</v>
      </c>
    </row>
    <row r="13" spans="1:9" ht="15" x14ac:dyDescent="0.25">
      <c r="A13" t="s">
        <v>1896</v>
      </c>
      <c r="C13" s="15">
        <v>5</v>
      </c>
      <c r="D13" s="14" t="s">
        <v>3474</v>
      </c>
    </row>
    <row r="14" spans="1:9" ht="15" x14ac:dyDescent="0.25">
      <c r="A14" s="12" t="s">
        <v>1864</v>
      </c>
      <c r="B14" s="12"/>
      <c r="C14" s="12">
        <f>C12*C13</f>
        <v>50</v>
      </c>
      <c r="D14" t="s">
        <v>3457</v>
      </c>
    </row>
    <row r="15" spans="1:9" s="301" customFormat="1" ht="15" x14ac:dyDescent="0.25"/>
    <row r="16" spans="1:9" s="301" customFormat="1" ht="15" x14ac:dyDescent="0.25"/>
    <row r="18" spans="1:3" s="301" customFormat="1" ht="15" x14ac:dyDescent="0.25">
      <c r="A18" s="157" t="s">
        <v>1992</v>
      </c>
      <c r="B18" s="157"/>
      <c r="C18" s="157"/>
    </row>
    <row r="19" spans="1:3" s="301" customFormat="1" ht="15" x14ac:dyDescent="0.25">
      <c r="A19" s="301" t="s">
        <v>3455</v>
      </c>
    </row>
    <row r="20" spans="1:3" s="301" customFormat="1" ht="15" x14ac:dyDescent="0.25">
      <c r="A20" s="301" t="s">
        <v>3456</v>
      </c>
    </row>
    <row r="21" spans="1:3" s="301" customFormat="1" ht="15" x14ac:dyDescent="0.25"/>
    <row r="23" spans="1:3" ht="15" x14ac:dyDescent="0.25">
      <c r="A23" s="8" t="s">
        <v>1646</v>
      </c>
      <c r="C23" s="39"/>
    </row>
    <row r="24" spans="1:3" x14ac:dyDescent="0.3">
      <c r="A24" s="14" t="s">
        <v>1658</v>
      </c>
      <c r="B24" s="15">
        <v>6</v>
      </c>
      <c r="C24" s="14" t="s">
        <v>1895</v>
      </c>
    </row>
    <row r="25" spans="1:3" ht="15" x14ac:dyDescent="0.25">
      <c r="A25" s="14" t="s">
        <v>1997</v>
      </c>
      <c r="B25" s="15">
        <v>0.5</v>
      </c>
      <c r="C25" s="14" t="s">
        <v>2131</v>
      </c>
    </row>
    <row r="26" spans="1:3" ht="15" x14ac:dyDescent="0.25">
      <c r="A26" s="14" t="s">
        <v>1643</v>
      </c>
      <c r="B26" s="55">
        <f>B61/C14</f>
        <v>70</v>
      </c>
      <c r="C26" s="14" t="s">
        <v>1830</v>
      </c>
    </row>
    <row r="27" spans="1:3" ht="15" x14ac:dyDescent="0.25">
      <c r="A27" s="14"/>
      <c r="B27" s="41"/>
      <c r="C27" s="14"/>
    </row>
    <row r="28" spans="1:3" ht="15" x14ac:dyDescent="0.25">
      <c r="A28" s="42" t="s">
        <v>1647</v>
      </c>
      <c r="B28" s="7"/>
      <c r="C28" s="14"/>
    </row>
    <row r="29" spans="1:3" ht="15" x14ac:dyDescent="0.25">
      <c r="A29" s="14" t="s">
        <v>1656</v>
      </c>
      <c r="B29" s="7"/>
      <c r="C29" s="14"/>
    </row>
    <row r="30" spans="1:3" ht="15" x14ac:dyDescent="0.25">
      <c r="A30" s="14" t="s">
        <v>1651</v>
      </c>
      <c r="B30" s="41"/>
      <c r="C30" s="14"/>
    </row>
    <row r="31" spans="1:3" x14ac:dyDescent="0.3">
      <c r="A31" s="14" t="s">
        <v>1649</v>
      </c>
      <c r="B31" s="55">
        <v>0</v>
      </c>
      <c r="C31" s="14"/>
    </row>
    <row r="32" spans="1:3" x14ac:dyDescent="0.3">
      <c r="A32" s="14" t="s">
        <v>1650</v>
      </c>
      <c r="B32" s="55">
        <v>0</v>
      </c>
      <c r="C32" s="7"/>
    </row>
    <row r="34" spans="1:9" ht="28.8" x14ac:dyDescent="0.3">
      <c r="A34" s="14"/>
      <c r="B34" s="87" t="s">
        <v>2712</v>
      </c>
      <c r="C34" s="87" t="s">
        <v>2720</v>
      </c>
      <c r="D34" s="62" t="s">
        <v>1655</v>
      </c>
      <c r="E34" s="30" t="str">
        <f>Summary!C4</f>
        <v>2015/16</v>
      </c>
      <c r="F34" s="30" t="str">
        <f>Summary!D4</f>
        <v>2016/17</v>
      </c>
      <c r="G34" s="30" t="str">
        <f>Summary!E4</f>
        <v>2017/18</v>
      </c>
      <c r="H34" s="30" t="str">
        <f>Summary!F4</f>
        <v>2018/19</v>
      </c>
      <c r="I34" s="30" t="str">
        <f>Summary!G4</f>
        <v>2019/20</v>
      </c>
    </row>
    <row r="35" spans="1:9" x14ac:dyDescent="0.3">
      <c r="A35" s="14" t="s">
        <v>1648</v>
      </c>
      <c r="B35" s="40">
        <f>B24*HourlyRateAPAMaintenanceStaff+B25*HourlyRateAPAOMSupervisor</f>
        <v>664.95600000000013</v>
      </c>
      <c r="C35" s="40">
        <f>B35*$C$14</f>
        <v>33247.800000000003</v>
      </c>
      <c r="D35" s="40">
        <f>SUM(E35:I35)</f>
        <v>179130.39320234177</v>
      </c>
      <c r="E35" s="40">
        <f>$C35*'Modelling Assumptions'!E$101</f>
        <v>34078.995000000003</v>
      </c>
      <c r="F35" s="40">
        <f>$C35*'Modelling Assumptions'!F$101</f>
        <v>34930.969875000003</v>
      </c>
      <c r="G35" s="40">
        <f>$C35*'Modelling Assumptions'!G$101</f>
        <v>35804.244121875003</v>
      </c>
      <c r="H35" s="40">
        <f>$C35*'Modelling Assumptions'!H$101</f>
        <v>36699.350224921873</v>
      </c>
      <c r="I35" s="40">
        <f>$C35*'Modelling Assumptions'!I$101</f>
        <v>37616.833980544914</v>
      </c>
    </row>
    <row r="36" spans="1:9" x14ac:dyDescent="0.3">
      <c r="A36" s="14" t="s">
        <v>1643</v>
      </c>
      <c r="B36" s="40">
        <f>B26</f>
        <v>70</v>
      </c>
      <c r="C36" s="40">
        <f t="shared" ref="C36:C38" si="1">B36*$C$14</f>
        <v>3500</v>
      </c>
      <c r="D36" s="40">
        <f t="shared" ref="D36:D38" si="2">SUM(E36:I36)</f>
        <v>19139.434595049999</v>
      </c>
      <c r="E36" s="40">
        <f>$C36*'Modelling Assumptions'!E$102</f>
        <v>3605</v>
      </c>
      <c r="F36" s="40">
        <f>$C36*'Modelling Assumptions'!F$102</f>
        <v>3713.1499999999996</v>
      </c>
      <c r="G36" s="40">
        <f>$C36*'Modelling Assumptions'!G$102</f>
        <v>3824.5445</v>
      </c>
      <c r="H36" s="40">
        <f>$C36*'Modelling Assumptions'!H$102</f>
        <v>3939.2808349999996</v>
      </c>
      <c r="I36" s="40">
        <f>$C36*'Modelling Assumptions'!I$102</f>
        <v>4057.4592600499996</v>
      </c>
    </row>
    <row r="37" spans="1:9" x14ac:dyDescent="0.3">
      <c r="A37" s="14" t="s">
        <v>1649</v>
      </c>
      <c r="B37" s="40">
        <f>B31</f>
        <v>0</v>
      </c>
      <c r="C37" s="40">
        <f t="shared" si="1"/>
        <v>0</v>
      </c>
      <c r="D37" s="40">
        <f t="shared" si="2"/>
        <v>0</v>
      </c>
      <c r="E37" s="40">
        <f>$C37*'Modelling Assumptions'!E$101</f>
        <v>0</v>
      </c>
      <c r="F37" s="40">
        <f>$C37*'Modelling Assumptions'!F$101</f>
        <v>0</v>
      </c>
      <c r="G37" s="40">
        <f>$C37*'Modelling Assumptions'!G$101</f>
        <v>0</v>
      </c>
      <c r="H37" s="40">
        <f>$C37*'Modelling Assumptions'!H$101</f>
        <v>0</v>
      </c>
      <c r="I37" s="40">
        <f>$C37*'Modelling Assumptions'!I$101</f>
        <v>0</v>
      </c>
    </row>
    <row r="38" spans="1:9" x14ac:dyDescent="0.3">
      <c r="A38" s="14" t="s">
        <v>1650</v>
      </c>
      <c r="B38" s="40">
        <f>B32</f>
        <v>0</v>
      </c>
      <c r="C38" s="40">
        <f t="shared" si="1"/>
        <v>0</v>
      </c>
      <c r="D38" s="40">
        <f t="shared" si="2"/>
        <v>0</v>
      </c>
      <c r="E38" s="40">
        <f>$C38*'Modelling Assumptions'!E$102</f>
        <v>0</v>
      </c>
      <c r="F38" s="40">
        <f>$C38*'Modelling Assumptions'!F$102</f>
        <v>0</v>
      </c>
      <c r="G38" s="40">
        <f>$C38*'Modelling Assumptions'!G$102</f>
        <v>0</v>
      </c>
      <c r="H38" s="40">
        <f>$C38*'Modelling Assumptions'!H$102</f>
        <v>0</v>
      </c>
      <c r="I38" s="40">
        <f>$C38*'Modelling Assumptions'!I$102</f>
        <v>0</v>
      </c>
    </row>
    <row r="42" spans="1:9" x14ac:dyDescent="0.3">
      <c r="A42" s="103" t="s">
        <v>2166</v>
      </c>
      <c r="B42" s="103"/>
      <c r="C42" s="103"/>
    </row>
    <row r="43" spans="1:9" x14ac:dyDescent="0.3">
      <c r="A43" t="s">
        <v>2156</v>
      </c>
    </row>
    <row r="44" spans="1:9" x14ac:dyDescent="0.3">
      <c r="A44" t="s">
        <v>2157</v>
      </c>
    </row>
    <row r="45" spans="1:9" x14ac:dyDescent="0.3">
      <c r="A45" t="s">
        <v>1901</v>
      </c>
    </row>
    <row r="46" spans="1:9" x14ac:dyDescent="0.3">
      <c r="A46" t="s">
        <v>2158</v>
      </c>
    </row>
    <row r="47" spans="1:9" x14ac:dyDescent="0.3">
      <c r="A47" t="s">
        <v>2320</v>
      </c>
    </row>
    <row r="48" spans="1:9" x14ac:dyDescent="0.3">
      <c r="A48" t="s">
        <v>2159</v>
      </c>
    </row>
    <row r="49" spans="1:3" x14ac:dyDescent="0.3">
      <c r="A49" t="s">
        <v>2161</v>
      </c>
    </row>
    <row r="53" spans="1:3" x14ac:dyDescent="0.3">
      <c r="A53" s="103" t="s">
        <v>1900</v>
      </c>
      <c r="B53" s="103"/>
      <c r="C53" s="103"/>
    </row>
    <row r="54" spans="1:3" x14ac:dyDescent="0.3">
      <c r="A54" t="s">
        <v>2160</v>
      </c>
      <c r="B54" s="55">
        <v>700</v>
      </c>
      <c r="C54" t="s">
        <v>2162</v>
      </c>
    </row>
    <row r="55" spans="1:3" x14ac:dyDescent="0.3">
      <c r="A55" t="s">
        <v>1897</v>
      </c>
      <c r="B55" s="55">
        <v>1000</v>
      </c>
    </row>
    <row r="56" spans="1:3" x14ac:dyDescent="0.3">
      <c r="A56" t="s">
        <v>1898</v>
      </c>
      <c r="B56" s="55">
        <v>2000</v>
      </c>
    </row>
    <row r="57" spans="1:3" x14ac:dyDescent="0.3">
      <c r="A57" t="s">
        <v>1899</v>
      </c>
      <c r="B57" s="55">
        <v>14000</v>
      </c>
    </row>
    <row r="58" spans="1:3" x14ac:dyDescent="0.3">
      <c r="B58" s="33"/>
    </row>
    <row r="59" spans="1:3" x14ac:dyDescent="0.3">
      <c r="A59" t="s">
        <v>2163</v>
      </c>
      <c r="B59" s="77">
        <v>0.1</v>
      </c>
      <c r="C59" t="s">
        <v>2341</v>
      </c>
    </row>
    <row r="60" spans="1:3" x14ac:dyDescent="0.3">
      <c r="A60" t="s">
        <v>2164</v>
      </c>
      <c r="B60" s="33">
        <f>B54</f>
        <v>700</v>
      </c>
    </row>
    <row r="61" spans="1:3" x14ac:dyDescent="0.3">
      <c r="A61" t="s">
        <v>2165</v>
      </c>
      <c r="B61" s="33">
        <f>C14*B59*B60</f>
        <v>3500</v>
      </c>
    </row>
    <row r="62" spans="1:3" x14ac:dyDescent="0.3">
      <c r="B62" s="33"/>
    </row>
    <row r="63" spans="1:3" x14ac:dyDescent="0.3">
      <c r="B63" s="33"/>
    </row>
    <row r="64" spans="1:3" x14ac:dyDescent="0.3">
      <c r="A64" s="12" t="s">
        <v>1992</v>
      </c>
      <c r="B64" s="12"/>
      <c r="C64" s="12"/>
    </row>
    <row r="65" spans="1:1" x14ac:dyDescent="0.3">
      <c r="A65" t="s">
        <v>1871</v>
      </c>
    </row>
    <row r="66" spans="1:1" x14ac:dyDescent="0.3">
      <c r="A66" t="s">
        <v>1872</v>
      </c>
    </row>
    <row r="67" spans="1:1" x14ac:dyDescent="0.3">
      <c r="A67" t="s">
        <v>2727</v>
      </c>
    </row>
    <row r="68" spans="1:1" x14ac:dyDescent="0.3">
      <c r="A68" t="s">
        <v>2728</v>
      </c>
    </row>
    <row r="70" spans="1:1" x14ac:dyDescent="0.3">
      <c r="A70" t="s">
        <v>1867</v>
      </c>
    </row>
    <row r="71" spans="1:1" x14ac:dyDescent="0.3">
      <c r="A71" t="s">
        <v>1873</v>
      </c>
    </row>
    <row r="72" spans="1:1" x14ac:dyDescent="0.3">
      <c r="A72" t="s">
        <v>3512</v>
      </c>
    </row>
    <row r="73" spans="1:1" x14ac:dyDescent="0.3">
      <c r="A73" t="s">
        <v>1868</v>
      </c>
    </row>
    <row r="75" spans="1:1" x14ac:dyDescent="0.3">
      <c r="A75" t="s">
        <v>2252</v>
      </c>
    </row>
    <row r="76" spans="1:1" x14ac:dyDescent="0.3">
      <c r="A76" t="s">
        <v>1870</v>
      </c>
    </row>
    <row r="78" spans="1:1" x14ac:dyDescent="0.3">
      <c r="A78" t="s">
        <v>1875</v>
      </c>
    </row>
    <row r="79" spans="1:1" x14ac:dyDescent="0.3">
      <c r="A79" t="s">
        <v>1869</v>
      </c>
    </row>
    <row r="80" spans="1:1" x14ac:dyDescent="0.3">
      <c r="A80" t="s">
        <v>1876</v>
      </c>
    </row>
    <row r="82" spans="1:1" x14ac:dyDescent="0.3">
      <c r="A82" t="s">
        <v>1874</v>
      </c>
    </row>
    <row r="83" spans="1:1" x14ac:dyDescent="0.3">
      <c r="A83" t="s">
        <v>2729</v>
      </c>
    </row>
    <row r="84" spans="1:1" x14ac:dyDescent="0.3">
      <c r="A84" t="s">
        <v>1794</v>
      </c>
    </row>
    <row r="85" spans="1:1" x14ac:dyDescent="0.3">
      <c r="A85" t="s">
        <v>1877</v>
      </c>
    </row>
    <row r="87" spans="1:1" x14ac:dyDescent="0.3">
      <c r="A87" t="s">
        <v>1879</v>
      </c>
    </row>
    <row r="90" spans="1:1" x14ac:dyDescent="0.3">
      <c r="A90" t="s">
        <v>2730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tint="0.59999389629810485"/>
    <pageSetUpPr fitToPage="1"/>
  </sheetPr>
  <dimension ref="A1:I56"/>
  <sheetViews>
    <sheetView workbookViewId="0"/>
  </sheetViews>
  <sheetFormatPr defaultRowHeight="14.4" x14ac:dyDescent="0.3"/>
  <cols>
    <col min="1" max="1" width="57.6640625" customWidth="1"/>
    <col min="2" max="2" width="28.33203125" customWidth="1"/>
    <col min="3" max="3" width="13.6640625" customWidth="1"/>
    <col min="4" max="4" width="14" customWidth="1"/>
  </cols>
  <sheetData>
    <row r="1" spans="1:9" ht="15" x14ac:dyDescent="0.25">
      <c r="A1" t="s">
        <v>1642</v>
      </c>
      <c r="B1" t="s">
        <v>1944</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D53</f>
        <v>41692.257165949632</v>
      </c>
      <c r="E3" s="33">
        <f t="shared" si="0"/>
        <v>7931.8210500000005</v>
      </c>
      <c r="F3" s="33">
        <f t="shared" si="0"/>
        <v>8130.1165762500004</v>
      </c>
      <c r="G3" s="33">
        <f t="shared" si="0"/>
        <v>8333.3694906562505</v>
      </c>
      <c r="H3" s="33">
        <f t="shared" si="0"/>
        <v>8541.7037279226552</v>
      </c>
      <c r="I3" s="33">
        <f t="shared" si="0"/>
        <v>8755.2463211207214</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83170.65586733236</v>
      </c>
      <c r="E5" s="33">
        <f t="shared" si="0"/>
        <v>15822.956198437496</v>
      </c>
      <c r="F5" s="33">
        <f t="shared" si="0"/>
        <v>16218.530103398434</v>
      </c>
      <c r="G5" s="33">
        <f t="shared" si="0"/>
        <v>16623.993355983395</v>
      </c>
      <c r="H5" s="33">
        <f t="shared" si="0"/>
        <v>17039.593189882977</v>
      </c>
      <c r="I5" s="33">
        <f t="shared" si="0"/>
        <v>17465.583019630049</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1827</v>
      </c>
    </row>
    <row r="11" spans="1:9" ht="15" x14ac:dyDescent="0.25">
      <c r="B11" s="7"/>
    </row>
    <row r="12" spans="1:9" ht="15" x14ac:dyDescent="0.25">
      <c r="A12" t="s">
        <v>1992</v>
      </c>
      <c r="B12" s="7"/>
    </row>
    <row r="13" spans="1:9" ht="15" x14ac:dyDescent="0.25">
      <c r="A13" t="s">
        <v>2208</v>
      </c>
      <c r="B13" s="7"/>
    </row>
    <row r="14" spans="1:9" ht="15" x14ac:dyDescent="0.25">
      <c r="A14" t="s">
        <v>2209</v>
      </c>
      <c r="B14" s="7"/>
    </row>
    <row r="15" spans="1:9" ht="15" x14ac:dyDescent="0.25">
      <c r="B15" s="7"/>
    </row>
    <row r="16" spans="1:9" ht="15" x14ac:dyDescent="0.25">
      <c r="A16" s="12" t="s">
        <v>1902</v>
      </c>
      <c r="B16" s="7"/>
    </row>
    <row r="17" spans="1:4" ht="15" x14ac:dyDescent="0.25">
      <c r="A17" s="12" t="s">
        <v>2094</v>
      </c>
      <c r="B17" s="12"/>
      <c r="C17" s="12">
        <v>1</v>
      </c>
      <c r="D17" t="s">
        <v>1903</v>
      </c>
    </row>
    <row r="19" spans="1:4" ht="15" x14ac:dyDescent="0.25">
      <c r="A19" s="157" t="s">
        <v>2343</v>
      </c>
      <c r="B19" s="157"/>
      <c r="C19" s="322"/>
    </row>
    <row r="20" spans="1:4" ht="15" x14ac:dyDescent="0.25">
      <c r="A20" t="s">
        <v>2344</v>
      </c>
      <c r="B20" s="99">
        <v>20080.689999999999</v>
      </c>
      <c r="C20" s="33"/>
    </row>
    <row r="21" spans="1:4" ht="15" x14ac:dyDescent="0.25">
      <c r="A21" t="s">
        <v>2347</v>
      </c>
      <c r="B21" s="99">
        <f>B20/16</f>
        <v>1255.0431249999999</v>
      </c>
      <c r="C21" s="33"/>
    </row>
    <row r="22" spans="1:4" ht="15" x14ac:dyDescent="0.25">
      <c r="A22" t="s">
        <v>2348</v>
      </c>
      <c r="B22" s="99">
        <f>B21*'Modelling Assumptions'!E101</f>
        <v>1286.4192031249997</v>
      </c>
    </row>
    <row r="23" spans="1:4" ht="15" x14ac:dyDescent="0.25">
      <c r="B23" s="99"/>
    </row>
    <row r="24" spans="1:4" ht="15" x14ac:dyDescent="0.25">
      <c r="B24" s="99"/>
    </row>
    <row r="25" spans="1:4" ht="15" x14ac:dyDescent="0.25">
      <c r="A25" t="s">
        <v>1904</v>
      </c>
      <c r="C25">
        <v>6</v>
      </c>
      <c r="D25" t="s">
        <v>1905</v>
      </c>
    </row>
    <row r="26" spans="1:4" ht="15" x14ac:dyDescent="0.25">
      <c r="A26" t="s">
        <v>1906</v>
      </c>
      <c r="C26">
        <v>6</v>
      </c>
    </row>
    <row r="27" spans="1:4" ht="15" x14ac:dyDescent="0.25">
      <c r="A27" t="s">
        <v>1907</v>
      </c>
      <c r="C27">
        <f>C25*C26</f>
        <v>36</v>
      </c>
    </row>
    <row r="31" spans="1:4" x14ac:dyDescent="0.3">
      <c r="A31" s="324" t="s">
        <v>2700</v>
      </c>
      <c r="B31" s="324"/>
      <c r="C31" s="324"/>
    </row>
    <row r="32" spans="1:4" x14ac:dyDescent="0.3">
      <c r="A32" s="11" t="s">
        <v>2701</v>
      </c>
      <c r="B32" s="11"/>
      <c r="C32" s="11"/>
    </row>
    <row r="33" spans="1:4" x14ac:dyDescent="0.3">
      <c r="A33" s="11" t="s">
        <v>1909</v>
      </c>
      <c r="B33" s="11"/>
      <c r="C33" s="11">
        <v>3</v>
      </c>
      <c r="D33" t="s">
        <v>2095</v>
      </c>
    </row>
    <row r="34" spans="1:4" x14ac:dyDescent="0.3">
      <c r="A34" s="11" t="s">
        <v>1910</v>
      </c>
      <c r="B34" s="11"/>
      <c r="C34" s="323">
        <v>2500</v>
      </c>
    </row>
    <row r="35" spans="1:4" x14ac:dyDescent="0.3">
      <c r="A35" s="11" t="s">
        <v>1911</v>
      </c>
      <c r="B35" s="11"/>
      <c r="C35" s="323">
        <f>C34*C27/C33</f>
        <v>30000</v>
      </c>
      <c r="D35" t="s">
        <v>3342</v>
      </c>
    </row>
    <row r="36" spans="1:4" x14ac:dyDescent="0.3">
      <c r="C36" s="33"/>
    </row>
    <row r="38" spans="1:4" x14ac:dyDescent="0.3">
      <c r="A38" s="45" t="s">
        <v>1928</v>
      </c>
      <c r="B38" s="45"/>
      <c r="C38" s="45"/>
    </row>
    <row r="39" spans="1:4" x14ac:dyDescent="0.3">
      <c r="A39" s="8" t="s">
        <v>1646</v>
      </c>
      <c r="C39" s="39"/>
    </row>
    <row r="40" spans="1:4" x14ac:dyDescent="0.3">
      <c r="A40" s="14" t="s">
        <v>1658</v>
      </c>
      <c r="B40" s="75">
        <f>12*APATechnicianHours/C17</f>
        <v>12</v>
      </c>
      <c r="C40" s="14" t="s">
        <v>2345</v>
      </c>
    </row>
    <row r="41" spans="1:4" x14ac:dyDescent="0.3">
      <c r="A41" s="14" t="s">
        <v>1997</v>
      </c>
      <c r="B41" s="15">
        <f>12*APASupervisorHours*B44/C17</f>
        <v>51.5</v>
      </c>
      <c r="C41" s="14" t="s">
        <v>2346</v>
      </c>
    </row>
    <row r="42" spans="1:4" x14ac:dyDescent="0.3">
      <c r="A42" s="14" t="s">
        <v>1643</v>
      </c>
      <c r="B42" s="55">
        <v>0</v>
      </c>
      <c r="C42" s="14"/>
    </row>
    <row r="43" spans="1:4" s="301" customFormat="1" x14ac:dyDescent="0.3">
      <c r="A43" s="14"/>
      <c r="B43" s="55"/>
      <c r="C43" s="14"/>
    </row>
    <row r="44" spans="1:4" s="301" customFormat="1" x14ac:dyDescent="0.3">
      <c r="A44" s="14" t="s">
        <v>3475</v>
      </c>
      <c r="B44" s="77">
        <v>0.5</v>
      </c>
      <c r="C44" s="14" t="s">
        <v>3476</v>
      </c>
    </row>
    <row r="45" spans="1:4" x14ac:dyDescent="0.3">
      <c r="A45" s="14"/>
      <c r="B45" s="41"/>
      <c r="C45" s="14"/>
    </row>
    <row r="46" spans="1:4" x14ac:dyDescent="0.3">
      <c r="A46" s="42" t="s">
        <v>1647</v>
      </c>
      <c r="B46" s="7"/>
      <c r="C46" s="14"/>
    </row>
    <row r="47" spans="1:4" x14ac:dyDescent="0.3">
      <c r="A47" s="14" t="s">
        <v>1656</v>
      </c>
      <c r="B47" s="7"/>
      <c r="C47" s="14"/>
    </row>
    <row r="48" spans="1:4" x14ac:dyDescent="0.3">
      <c r="A48" s="14" t="s">
        <v>1651</v>
      </c>
      <c r="B48" s="41"/>
      <c r="C48" s="14"/>
    </row>
    <row r="49" spans="1:9" x14ac:dyDescent="0.3">
      <c r="A49" s="14" t="s">
        <v>1649</v>
      </c>
      <c r="B49" s="55">
        <f>B22</f>
        <v>1286.4192031249997</v>
      </c>
      <c r="C49" s="14" t="s">
        <v>1908</v>
      </c>
      <c r="D49" t="s">
        <v>3343</v>
      </c>
    </row>
    <row r="50" spans="1:9" x14ac:dyDescent="0.3">
      <c r="A50" s="14" t="s">
        <v>1650</v>
      </c>
      <c r="B50" s="55">
        <v>0</v>
      </c>
      <c r="C50" s="7"/>
    </row>
    <row r="52" spans="1:9" ht="28.8" x14ac:dyDescent="0.3">
      <c r="A52" s="14"/>
      <c r="B52" s="87" t="s">
        <v>2712</v>
      </c>
      <c r="C52" s="87" t="s">
        <v>2720</v>
      </c>
      <c r="D52" s="62" t="s">
        <v>1655</v>
      </c>
      <c r="E52" s="30" t="str">
        <f>Summary!C4</f>
        <v>2015/16</v>
      </c>
      <c r="F52" s="30" t="str">
        <f>Summary!D4</f>
        <v>2016/17</v>
      </c>
      <c r="G52" s="30" t="str">
        <f>Summary!E4</f>
        <v>2017/18</v>
      </c>
      <c r="H52" s="30" t="str">
        <f>Summary!F4</f>
        <v>2018/19</v>
      </c>
      <c r="I52" s="30" t="str">
        <f>Summary!G4</f>
        <v>2019/20</v>
      </c>
    </row>
    <row r="53" spans="1:9" x14ac:dyDescent="0.3">
      <c r="A53" s="14" t="s">
        <v>1648</v>
      </c>
      <c r="B53" s="40">
        <f>B40*HourlyRateAPAMaintenanceStaff+B41*HourlyRateAPAOMSupervisor</f>
        <v>7738.362000000001</v>
      </c>
      <c r="C53" s="40">
        <f>B53*$C$17</f>
        <v>7738.362000000001</v>
      </c>
      <c r="D53" s="40">
        <f>SUM(E53:I53)</f>
        <v>41692.257165949632</v>
      </c>
      <c r="E53" s="40">
        <f>$C53*'Modelling Assumptions'!E$101</f>
        <v>7931.8210500000005</v>
      </c>
      <c r="F53" s="40">
        <f>$C53*'Modelling Assumptions'!F$101</f>
        <v>8130.1165762500004</v>
      </c>
      <c r="G53" s="40">
        <f>$C53*'Modelling Assumptions'!G$101</f>
        <v>8333.3694906562505</v>
      </c>
      <c r="H53" s="40">
        <f>$C53*'Modelling Assumptions'!H$101</f>
        <v>8541.7037279226552</v>
      </c>
      <c r="I53" s="40">
        <f>$C53*'Modelling Assumptions'!I$101</f>
        <v>8755.2463211207214</v>
      </c>
    </row>
    <row r="54" spans="1:9" x14ac:dyDescent="0.3">
      <c r="A54" s="14" t="s">
        <v>1643</v>
      </c>
      <c r="B54" s="40">
        <f>B42</f>
        <v>0</v>
      </c>
      <c r="C54" s="40">
        <f t="shared" ref="C54" si="1">B54*$C$17</f>
        <v>0</v>
      </c>
      <c r="D54" s="40">
        <f t="shared" ref="D54:D56" si="2">SUM(E54:I54)</f>
        <v>0</v>
      </c>
      <c r="E54" s="40">
        <f>$C54*'Modelling Assumptions'!E$102</f>
        <v>0</v>
      </c>
      <c r="F54" s="40">
        <f>$C54*'Modelling Assumptions'!F$102</f>
        <v>0</v>
      </c>
      <c r="G54" s="40">
        <f>$C54*'Modelling Assumptions'!G$102</f>
        <v>0</v>
      </c>
      <c r="H54" s="40">
        <f>$C54*'Modelling Assumptions'!H$102</f>
        <v>0</v>
      </c>
      <c r="I54" s="40">
        <f>$C54*'Modelling Assumptions'!I$102</f>
        <v>0</v>
      </c>
    </row>
    <row r="55" spans="1:9" x14ac:dyDescent="0.3">
      <c r="A55" s="14" t="s">
        <v>1649</v>
      </c>
      <c r="B55" s="40">
        <f>B22</f>
        <v>1286.4192031249997</v>
      </c>
      <c r="C55" s="40">
        <f>B55*12</f>
        <v>15437.030437499998</v>
      </c>
      <c r="D55" s="40">
        <f t="shared" si="2"/>
        <v>83170.65586733236</v>
      </c>
      <c r="E55" s="40">
        <f>$C55*'Modelling Assumptions'!E$101</f>
        <v>15822.956198437496</v>
      </c>
      <c r="F55" s="40">
        <f>$C55*'Modelling Assumptions'!F$101</f>
        <v>16218.530103398434</v>
      </c>
      <c r="G55" s="40">
        <f>$C55*'Modelling Assumptions'!G$101</f>
        <v>16623.993355983395</v>
      </c>
      <c r="H55" s="40">
        <f>$C55*'Modelling Assumptions'!H$101</f>
        <v>17039.593189882977</v>
      </c>
      <c r="I55" s="40">
        <f>$C55*'Modelling Assumptions'!I$101</f>
        <v>17465.583019630049</v>
      </c>
    </row>
    <row r="56" spans="1:9" x14ac:dyDescent="0.3">
      <c r="A56" s="14" t="s">
        <v>1650</v>
      </c>
      <c r="B56" s="166" t="s">
        <v>2342</v>
      </c>
      <c r="C56" s="40">
        <v>0</v>
      </c>
      <c r="D56" s="40">
        <f t="shared" si="2"/>
        <v>0</v>
      </c>
      <c r="E56" s="40">
        <f>$C56*'Modelling Assumptions'!E$102</f>
        <v>0</v>
      </c>
      <c r="F56" s="40">
        <f>$C56*'Modelling Assumptions'!F$102</f>
        <v>0</v>
      </c>
      <c r="G56" s="40">
        <f>$C56*'Modelling Assumptions'!G$102</f>
        <v>0</v>
      </c>
      <c r="H56" s="40">
        <f>$C56*'Modelling Assumptions'!H$102</f>
        <v>0</v>
      </c>
      <c r="I56" s="40">
        <f>$C56*'Modelling Assumptions'!I$102</f>
        <v>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6" tint="0.59999389629810485"/>
    <pageSetUpPr fitToPage="1"/>
  </sheetPr>
  <dimension ref="A1:AC269"/>
  <sheetViews>
    <sheetView workbookViewId="0"/>
  </sheetViews>
  <sheetFormatPr defaultRowHeight="14.4" x14ac:dyDescent="0.3"/>
  <cols>
    <col min="1" max="1" width="52.44140625" customWidth="1"/>
    <col min="2" max="2" width="21.5546875" bestFit="1" customWidth="1"/>
    <col min="3" max="3" width="14.88671875" customWidth="1"/>
    <col min="4" max="4" width="10.88671875" customWidth="1"/>
    <col min="5" max="16" width="11.6640625" customWidth="1"/>
    <col min="17" max="17" width="12" customWidth="1"/>
    <col min="18" max="18" width="14.6640625" customWidth="1"/>
  </cols>
  <sheetData>
    <row r="1" spans="1:9" ht="15" x14ac:dyDescent="0.25">
      <c r="A1" t="s">
        <v>1642</v>
      </c>
      <c r="B1" t="s">
        <v>2070</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8204.4454901835925</v>
      </c>
      <c r="E3" s="33">
        <f>$B$143*12*HourlyRateAPAOMSupervisor*'Modelling Assumptions'!E101</f>
        <v>1560.8700000000001</v>
      </c>
      <c r="F3" s="33">
        <f>$B$143*12*HourlyRateAPAOMSupervisor*'Modelling Assumptions'!F101</f>
        <v>1599.89175</v>
      </c>
      <c r="G3" s="33">
        <f>$B$143*12*HourlyRateAPAOMSupervisor*'Modelling Assumptions'!G101</f>
        <v>1639.8890437499999</v>
      </c>
      <c r="H3" s="33">
        <f>$B$143*12*HourlyRateAPAOMSupervisor*'Modelling Assumptions'!H101</f>
        <v>1680.8862698437499</v>
      </c>
      <c r="I3" s="33">
        <f>$B$143*12*HourlyRateAPAOMSupervisor*'Modelling Assumptions'!I101</f>
        <v>1722.9084265898434</v>
      </c>
    </row>
    <row r="4" spans="1:9" ht="15" x14ac:dyDescent="0.25">
      <c r="A4" t="s">
        <v>1643</v>
      </c>
      <c r="B4" s="33"/>
      <c r="C4" s="33"/>
      <c r="D4" s="33">
        <f>SUM(E4:I4)</f>
        <v>3461765.9370944384</v>
      </c>
      <c r="E4" s="33">
        <f>E155</f>
        <v>634282.33294629422</v>
      </c>
      <c r="F4" s="33">
        <f t="shared" ref="F4:I4" si="0">F155</f>
        <v>668365.5309731788</v>
      </c>
      <c r="G4" s="33">
        <f t="shared" si="0"/>
        <v>688416.4969023742</v>
      </c>
      <c r="H4" s="33">
        <f t="shared" si="0"/>
        <v>724483.53510965069</v>
      </c>
      <c r="I4" s="33">
        <f t="shared" si="0"/>
        <v>746218.04116294021</v>
      </c>
    </row>
    <row r="5" spans="1:9" ht="15" x14ac:dyDescent="0.25">
      <c r="A5" t="s">
        <v>1649</v>
      </c>
      <c r="B5" s="33"/>
      <c r="C5" s="33"/>
      <c r="D5" s="33">
        <f t="shared" ref="D5:D6" si="1">SUM(E5:I5)</f>
        <v>0</v>
      </c>
      <c r="E5" s="33">
        <v>0</v>
      </c>
      <c r="F5" s="33">
        <v>0</v>
      </c>
      <c r="G5" s="33">
        <v>0</v>
      </c>
      <c r="H5" s="33">
        <v>0</v>
      </c>
      <c r="I5" s="33">
        <v>0</v>
      </c>
    </row>
    <row r="6" spans="1:9" ht="15" x14ac:dyDescent="0.25">
      <c r="A6" t="s">
        <v>1650</v>
      </c>
      <c r="B6" s="33"/>
      <c r="C6" s="33"/>
      <c r="D6" s="33">
        <f t="shared" si="1"/>
        <v>0</v>
      </c>
      <c r="E6" s="33">
        <v>0</v>
      </c>
      <c r="F6" s="33">
        <v>0</v>
      </c>
      <c r="G6" s="33">
        <v>0</v>
      </c>
      <c r="H6" s="33">
        <v>0</v>
      </c>
      <c r="I6" s="33">
        <v>0</v>
      </c>
    </row>
    <row r="8" spans="1:9" ht="15" x14ac:dyDescent="0.25">
      <c r="A8" s="157" t="s">
        <v>1992</v>
      </c>
      <c r="B8" s="157"/>
      <c r="C8" s="157"/>
      <c r="D8" s="157"/>
    </row>
    <row r="9" spans="1:9" ht="15" x14ac:dyDescent="0.25">
      <c r="A9" t="s">
        <v>2724</v>
      </c>
    </row>
    <row r="11" spans="1:9" ht="15" x14ac:dyDescent="0.25">
      <c r="A11" t="s">
        <v>3064</v>
      </c>
    </row>
    <row r="12" spans="1:9" ht="15" x14ac:dyDescent="0.25">
      <c r="A12" t="s">
        <v>3065</v>
      </c>
    </row>
    <row r="13" spans="1:9" ht="15" x14ac:dyDescent="0.25">
      <c r="A13" t="s">
        <v>3066</v>
      </c>
    </row>
    <row r="14" spans="1:9" ht="15" x14ac:dyDescent="0.25">
      <c r="A14" t="s">
        <v>3067</v>
      </c>
    </row>
    <row r="37" spans="1:4" x14ac:dyDescent="0.3">
      <c r="A37" s="10" t="s">
        <v>2732</v>
      </c>
      <c r="B37" s="10"/>
      <c r="C37" s="10"/>
      <c r="D37" s="10"/>
    </row>
    <row r="39" spans="1:4" x14ac:dyDescent="0.3">
      <c r="A39" t="s">
        <v>3224</v>
      </c>
    </row>
    <row r="40" spans="1:4" x14ac:dyDescent="0.3">
      <c r="A40" t="s">
        <v>3225</v>
      </c>
    </row>
    <row r="41" spans="1:4" x14ac:dyDescent="0.3">
      <c r="A41" t="s">
        <v>3068</v>
      </c>
    </row>
    <row r="42" spans="1:4" s="301" customFormat="1" x14ac:dyDescent="0.3"/>
    <row r="43" spans="1:4" s="301" customFormat="1" x14ac:dyDescent="0.3">
      <c r="A43" s="301" t="s">
        <v>3226</v>
      </c>
    </row>
    <row r="44" spans="1:4" s="301" customFormat="1" x14ac:dyDescent="0.3">
      <c r="A44" s="301" t="s">
        <v>3227</v>
      </c>
    </row>
    <row r="45" spans="1:4" s="301" customFormat="1" x14ac:dyDescent="0.3">
      <c r="A45" s="301" t="s">
        <v>3228</v>
      </c>
    </row>
    <row r="46" spans="1:4" s="301" customFormat="1" x14ac:dyDescent="0.3">
      <c r="A46" s="301" t="s">
        <v>3219</v>
      </c>
    </row>
    <row r="47" spans="1:4" s="301" customFormat="1" x14ac:dyDescent="0.3">
      <c r="A47" s="301" t="s">
        <v>3220</v>
      </c>
    </row>
    <row r="48" spans="1:4" s="301" customFormat="1" x14ac:dyDescent="0.3">
      <c r="A48" s="301" t="s">
        <v>3221</v>
      </c>
    </row>
    <row r="49" spans="1:1" s="301" customFormat="1" x14ac:dyDescent="0.3">
      <c r="A49" s="301" t="s">
        <v>3222</v>
      </c>
    </row>
    <row r="50" spans="1:1" s="301" customFormat="1" x14ac:dyDescent="0.3">
      <c r="A50" s="301" t="s">
        <v>3229</v>
      </c>
    </row>
    <row r="51" spans="1:1" s="301" customFormat="1" x14ac:dyDescent="0.3"/>
    <row r="72" spans="1:17" x14ac:dyDescent="0.3">
      <c r="A72" s="10" t="s">
        <v>3223</v>
      </c>
      <c r="B72" s="10"/>
      <c r="C72" s="10"/>
      <c r="D72" s="10"/>
      <c r="E72" s="10"/>
      <c r="F72" s="10"/>
      <c r="G72" s="10"/>
      <c r="H72" s="10"/>
    </row>
    <row r="74" spans="1:17" x14ac:dyDescent="0.3">
      <c r="E74" t="s">
        <v>327</v>
      </c>
    </row>
    <row r="75" spans="1:17" x14ac:dyDescent="0.3">
      <c r="A75" t="s">
        <v>538</v>
      </c>
      <c r="E75" s="5">
        <v>40725</v>
      </c>
      <c r="F75" s="5">
        <v>40756</v>
      </c>
      <c r="G75" s="5">
        <v>40787</v>
      </c>
      <c r="H75" s="5">
        <v>40817</v>
      </c>
      <c r="I75" s="5">
        <v>40848</v>
      </c>
      <c r="J75" s="5">
        <v>40878</v>
      </c>
      <c r="K75" s="5">
        <v>40909</v>
      </c>
      <c r="L75" s="5">
        <v>40940</v>
      </c>
      <c r="M75" s="5">
        <v>40969</v>
      </c>
      <c r="N75" s="5">
        <v>41000</v>
      </c>
      <c r="O75" s="5">
        <v>41030</v>
      </c>
      <c r="P75" s="5">
        <v>41061</v>
      </c>
      <c r="Q75" s="5">
        <v>41091</v>
      </c>
    </row>
    <row r="76" spans="1:17" x14ac:dyDescent="0.3">
      <c r="A76" t="s">
        <v>2396</v>
      </c>
      <c r="E76">
        <v>11831</v>
      </c>
      <c r="F76">
        <v>19842</v>
      </c>
      <c r="G76">
        <v>18694</v>
      </c>
      <c r="H76">
        <v>23321</v>
      </c>
      <c r="I76">
        <v>26738</v>
      </c>
      <c r="J76">
        <v>21356</v>
      </c>
      <c r="K76">
        <v>20106</v>
      </c>
      <c r="L76">
        <v>22651</v>
      </c>
      <c r="M76">
        <v>24466</v>
      </c>
      <c r="N76">
        <v>14251</v>
      </c>
      <c r="O76">
        <v>22859</v>
      </c>
      <c r="P76">
        <v>19671</v>
      </c>
      <c r="Q76">
        <v>15164</v>
      </c>
    </row>
    <row r="77" spans="1:17" x14ac:dyDescent="0.3">
      <c r="A77" t="s">
        <v>2398</v>
      </c>
      <c r="E77">
        <v>25586</v>
      </c>
      <c r="F77">
        <v>40634</v>
      </c>
      <c r="G77">
        <v>37513</v>
      </c>
      <c r="H77">
        <v>47437</v>
      </c>
      <c r="I77">
        <v>54005</v>
      </c>
      <c r="J77">
        <v>43650</v>
      </c>
      <c r="K77">
        <v>41382</v>
      </c>
      <c r="L77">
        <v>46793</v>
      </c>
      <c r="M77">
        <v>51780</v>
      </c>
      <c r="N77">
        <v>29522</v>
      </c>
      <c r="O77">
        <v>47771</v>
      </c>
      <c r="P77">
        <v>40860</v>
      </c>
      <c r="Q77">
        <v>31865</v>
      </c>
    </row>
    <row r="78" spans="1:17" x14ac:dyDescent="0.3">
      <c r="A78" t="s">
        <v>2397</v>
      </c>
      <c r="E78">
        <v>52222</v>
      </c>
      <c r="F78">
        <v>77888</v>
      </c>
      <c r="G78">
        <v>70658</v>
      </c>
      <c r="H78">
        <v>104517</v>
      </c>
      <c r="I78">
        <v>98233</v>
      </c>
      <c r="J78">
        <v>96137</v>
      </c>
      <c r="K78">
        <v>85035</v>
      </c>
      <c r="L78">
        <v>84952</v>
      </c>
      <c r="M78">
        <v>93851</v>
      </c>
      <c r="N78">
        <v>82181</v>
      </c>
      <c r="O78">
        <v>84019</v>
      </c>
      <c r="P78">
        <v>84930</v>
      </c>
      <c r="Q78">
        <v>64022</v>
      </c>
    </row>
    <row r="80" spans="1:17" x14ac:dyDescent="0.3">
      <c r="A80" t="s">
        <v>2403</v>
      </c>
      <c r="E80">
        <v>207</v>
      </c>
      <c r="F80">
        <v>287</v>
      </c>
      <c r="G80">
        <v>287</v>
      </c>
      <c r="H80">
        <v>337</v>
      </c>
      <c r="I80">
        <v>388</v>
      </c>
      <c r="J80">
        <v>339</v>
      </c>
      <c r="K80">
        <v>392</v>
      </c>
      <c r="L80">
        <v>378</v>
      </c>
      <c r="M80">
        <v>390</v>
      </c>
      <c r="N80">
        <v>260</v>
      </c>
      <c r="O80">
        <v>312</v>
      </c>
      <c r="P80">
        <v>272</v>
      </c>
      <c r="Q80">
        <v>216.3</v>
      </c>
    </row>
    <row r="81" spans="1:29" x14ac:dyDescent="0.3">
      <c r="A81" t="s">
        <v>2404</v>
      </c>
      <c r="E81">
        <v>234</v>
      </c>
      <c r="F81">
        <v>331</v>
      </c>
      <c r="G81">
        <v>307</v>
      </c>
      <c r="H81">
        <v>364</v>
      </c>
      <c r="I81">
        <v>497</v>
      </c>
      <c r="J81">
        <v>351</v>
      </c>
      <c r="K81">
        <v>403</v>
      </c>
      <c r="L81">
        <v>409</v>
      </c>
      <c r="M81">
        <v>422</v>
      </c>
      <c r="N81">
        <v>286</v>
      </c>
      <c r="O81">
        <v>323</v>
      </c>
      <c r="P81">
        <v>311</v>
      </c>
      <c r="Q81">
        <v>244.8</v>
      </c>
    </row>
    <row r="82" spans="1:29" x14ac:dyDescent="0.3">
      <c r="A82" t="s">
        <v>2402</v>
      </c>
      <c r="E82">
        <v>235</v>
      </c>
      <c r="F82">
        <v>335</v>
      </c>
      <c r="G82">
        <v>323</v>
      </c>
      <c r="H82">
        <v>369</v>
      </c>
      <c r="I82">
        <v>471</v>
      </c>
      <c r="J82">
        <v>373</v>
      </c>
      <c r="K82">
        <v>366</v>
      </c>
      <c r="L82">
        <v>376</v>
      </c>
      <c r="M82">
        <v>420</v>
      </c>
      <c r="N82">
        <v>284</v>
      </c>
      <c r="O82">
        <v>330</v>
      </c>
      <c r="P82">
        <v>309</v>
      </c>
      <c r="Q82">
        <v>243.2</v>
      </c>
    </row>
    <row r="83" spans="1:29" x14ac:dyDescent="0.3">
      <c r="R83" s="61"/>
      <c r="S83" s="61"/>
      <c r="T83" s="61"/>
      <c r="U83" s="61"/>
      <c r="V83" s="61"/>
      <c r="W83" s="61"/>
      <c r="X83" s="61"/>
      <c r="Y83" s="61"/>
      <c r="Z83" s="61"/>
      <c r="AA83" s="61"/>
      <c r="AB83" s="61"/>
      <c r="AC83" s="61"/>
    </row>
    <row r="84" spans="1:29" x14ac:dyDescent="0.3">
      <c r="A84" t="s">
        <v>2399</v>
      </c>
      <c r="E84" s="61">
        <f t="shared" ref="E84:P84" si="2">SUMPRODUCT($B$113:$B$115,E76:E78)/100</f>
        <v>5741.3168299999998</v>
      </c>
      <c r="F84" s="61">
        <f t="shared" si="2"/>
        <v>8941.0349200000001</v>
      </c>
      <c r="G84" s="61">
        <f t="shared" si="2"/>
        <v>8219.9331700000002</v>
      </c>
      <c r="H84" s="61">
        <f t="shared" si="2"/>
        <v>11156.47308</v>
      </c>
      <c r="I84" s="61">
        <f t="shared" si="2"/>
        <v>11638.36787</v>
      </c>
      <c r="J84" s="61">
        <f t="shared" si="2"/>
        <v>10255.591480000001</v>
      </c>
      <c r="K84" s="61">
        <f t="shared" si="2"/>
        <v>9394.1715000000004</v>
      </c>
      <c r="L84" s="61">
        <f t="shared" si="2"/>
        <v>10033.89868</v>
      </c>
      <c r="M84" s="61">
        <f t="shared" si="2"/>
        <v>11046.734640000002</v>
      </c>
      <c r="N84" s="61">
        <f t="shared" si="2"/>
        <v>7811.905490000001</v>
      </c>
      <c r="O84" s="61">
        <f t="shared" si="2"/>
        <v>10081.445360000002</v>
      </c>
      <c r="P84" s="61">
        <f t="shared" si="2"/>
        <v>9311.2486499999995</v>
      </c>
      <c r="Q84" s="61">
        <f t="shared" ref="Q84" si="3">SUMPRODUCT($B$113:$B$115,Q76:Q78)/100</f>
        <v>7132.3002300000007</v>
      </c>
      <c r="R84" s="101">
        <f>SUM(F84:Q84)/R89</f>
        <v>0.33793544855810775</v>
      </c>
      <c r="S84" s="61"/>
      <c r="T84" s="61"/>
      <c r="U84" s="61"/>
      <c r="V84" s="61"/>
      <c r="W84" s="61"/>
      <c r="X84" s="61"/>
      <c r="Y84" s="61"/>
      <c r="Z84" s="61"/>
      <c r="AA84" s="61"/>
      <c r="AB84" s="61"/>
      <c r="AC84" s="61"/>
    </row>
    <row r="85" spans="1:29" x14ac:dyDescent="0.3">
      <c r="A85" t="s">
        <v>2702</v>
      </c>
      <c r="E85" s="61">
        <f t="shared" ref="E85:P85" si="4">SUMPRODUCT($B$118:$B$120,E76:E78)/100</f>
        <v>3243.2455009999999</v>
      </c>
      <c r="F85" s="61">
        <f t="shared" si="4"/>
        <v>5058.3949240000002</v>
      </c>
      <c r="G85" s="61">
        <f t="shared" si="4"/>
        <v>4652.5390990000005</v>
      </c>
      <c r="H85" s="61">
        <f t="shared" si="4"/>
        <v>6295.4875259999999</v>
      </c>
      <c r="I85" s="61">
        <f t="shared" si="4"/>
        <v>6591.4193390000009</v>
      </c>
      <c r="J85" s="61">
        <f t="shared" si="4"/>
        <v>5786.9962059999998</v>
      </c>
      <c r="K85" s="61">
        <f t="shared" si="4"/>
        <v>5307.6450000000004</v>
      </c>
      <c r="L85" s="61">
        <f t="shared" si="4"/>
        <v>5682.1429960000005</v>
      </c>
      <c r="M85" s="61">
        <f t="shared" si="4"/>
        <v>6254.9867580000009</v>
      </c>
      <c r="N85" s="61">
        <f t="shared" si="4"/>
        <v>4388.1825530000006</v>
      </c>
      <c r="O85" s="61">
        <f t="shared" si="4"/>
        <v>5712.0371420000001</v>
      </c>
      <c r="P85" s="61">
        <f t="shared" si="4"/>
        <v>5259.3590550000008</v>
      </c>
      <c r="Q85" s="61">
        <f t="shared" ref="Q85" si="5">SUMPRODUCT($B$118:$B$120,Q76:Q78)/100</f>
        <v>4030.9002810000006</v>
      </c>
    </row>
    <row r="86" spans="1:29" x14ac:dyDescent="0.3">
      <c r="A86" t="s">
        <v>2703</v>
      </c>
      <c r="E86" s="61">
        <f t="shared" ref="E86:P86" si="6">SUMPRODUCT($B$121:$B$123,E80:E82)</f>
        <v>7398.4760999999999</v>
      </c>
      <c r="F86" s="61">
        <f t="shared" si="6"/>
        <v>10387.3488</v>
      </c>
      <c r="G86" s="61">
        <f t="shared" si="6"/>
        <v>9987.4079999999994</v>
      </c>
      <c r="H86" s="61">
        <f t="shared" si="6"/>
        <v>11744.840899999999</v>
      </c>
      <c r="I86" s="61">
        <f t="shared" si="6"/>
        <v>14845.235700000001</v>
      </c>
      <c r="J86" s="61">
        <f t="shared" si="6"/>
        <v>11594.007600000001</v>
      </c>
      <c r="K86" s="61">
        <f t="shared" si="6"/>
        <v>13140.3657</v>
      </c>
      <c r="L86" s="61">
        <f t="shared" si="6"/>
        <v>13054.906900000002</v>
      </c>
      <c r="M86" s="61">
        <f t="shared" si="6"/>
        <v>13579.1852</v>
      </c>
      <c r="N86" s="61">
        <f t="shared" si="6"/>
        <v>9136.2533999999996</v>
      </c>
      <c r="O86" s="61">
        <f t="shared" si="6"/>
        <v>10624.494499999999</v>
      </c>
      <c r="P86" s="61">
        <f t="shared" si="6"/>
        <v>9775.0470999999998</v>
      </c>
      <c r="Q86" s="61">
        <f t="shared" ref="Q86" si="7">SUMPRODUCT($B$121:$B$123,Q80:Q82)</f>
        <v>7727.1028499999993</v>
      </c>
    </row>
    <row r="87" spans="1:29" x14ac:dyDescent="0.3">
      <c r="A87" t="s">
        <v>2419</v>
      </c>
      <c r="E87" s="61">
        <f t="shared" ref="E87:P87" si="8">SUM($B$126:$B$130)*SUM(E76:E78)/100</f>
        <v>932.51451700000007</v>
      </c>
      <c r="F87" s="61">
        <f t="shared" si="8"/>
        <v>1439.4006919999999</v>
      </c>
      <c r="G87" s="61">
        <f t="shared" si="8"/>
        <v>1319.776595</v>
      </c>
      <c r="H87" s="61">
        <f t="shared" si="8"/>
        <v>1823.3858249999998</v>
      </c>
      <c r="I87" s="61">
        <f t="shared" si="8"/>
        <v>1861.887328</v>
      </c>
      <c r="J87" s="61">
        <f t="shared" si="8"/>
        <v>1676.370629</v>
      </c>
      <c r="K87" s="61">
        <f t="shared" si="8"/>
        <v>1524.278769</v>
      </c>
      <c r="L87" s="61">
        <f t="shared" si="8"/>
        <v>1606.1815880000001</v>
      </c>
      <c r="M87" s="61">
        <f t="shared" si="8"/>
        <v>1769.5190909999999</v>
      </c>
      <c r="N87" s="61">
        <f t="shared" si="8"/>
        <v>1310.2994619999999</v>
      </c>
      <c r="O87" s="61">
        <f t="shared" si="8"/>
        <v>1608.813547</v>
      </c>
      <c r="P87" s="61">
        <f t="shared" si="8"/>
        <v>1513.230783</v>
      </c>
      <c r="Q87" s="61">
        <f t="shared" ref="Q87" si="9">SUM($B$126:$B$130)*SUM(Q76:Q78)/100</f>
        <v>1155.263553</v>
      </c>
    </row>
    <row r="88" spans="1:29" x14ac:dyDescent="0.3">
      <c r="A88" t="s">
        <v>2420</v>
      </c>
      <c r="E88" s="61">
        <f t="shared" ref="E88:P88" si="10">$B$132*(DATE(YEAR(E75),MONTH(E75)+1,DAY(E75))-E75)+$B$133</f>
        <v>516.99369999999999</v>
      </c>
      <c r="F88" s="61">
        <f t="shared" si="10"/>
        <v>516.99369999999999</v>
      </c>
      <c r="G88" s="61">
        <f t="shared" si="10"/>
        <v>503.38100000000003</v>
      </c>
      <c r="H88" s="61">
        <f t="shared" si="10"/>
        <v>516.99369999999999</v>
      </c>
      <c r="I88" s="61">
        <f t="shared" si="10"/>
        <v>503.38100000000003</v>
      </c>
      <c r="J88" s="61">
        <f t="shared" si="10"/>
        <v>516.99369999999999</v>
      </c>
      <c r="K88" s="61">
        <f t="shared" si="10"/>
        <v>516.99369999999999</v>
      </c>
      <c r="L88" s="61">
        <f t="shared" si="10"/>
        <v>489.76830000000001</v>
      </c>
      <c r="M88" s="61">
        <f t="shared" si="10"/>
        <v>516.99369999999999</v>
      </c>
      <c r="N88" s="61">
        <f t="shared" si="10"/>
        <v>503.38100000000003</v>
      </c>
      <c r="O88" s="61">
        <f t="shared" si="10"/>
        <v>516.99369999999999</v>
      </c>
      <c r="P88" s="61">
        <f t="shared" si="10"/>
        <v>503.38100000000003</v>
      </c>
      <c r="Q88" s="61">
        <f t="shared" ref="Q88" si="11">$B$132*(DATE(YEAR(Q75),MONTH(Q75)+1,DAY(Q75))-Q75)+$B$133</f>
        <v>516.99369999999999</v>
      </c>
      <c r="R88" s="90"/>
      <c r="S88" s="101"/>
    </row>
    <row r="89" spans="1:29" x14ac:dyDescent="0.3">
      <c r="A89" t="s">
        <v>505</v>
      </c>
      <c r="E89" s="61">
        <f>SUM(E84:E88)</f>
        <v>17832.546648</v>
      </c>
      <c r="F89" s="61">
        <f t="shared" ref="F89:P89" si="12">SUM(F84:F88)</f>
        <v>26343.173035999997</v>
      </c>
      <c r="G89" s="61">
        <f t="shared" si="12"/>
        <v>24683.037864000002</v>
      </c>
      <c r="H89" s="61">
        <f t="shared" si="12"/>
        <v>31537.181031</v>
      </c>
      <c r="I89" s="61">
        <f t="shared" si="12"/>
        <v>35440.291237000005</v>
      </c>
      <c r="J89" s="61">
        <f t="shared" si="12"/>
        <v>29829.959615000003</v>
      </c>
      <c r="K89" s="61">
        <f t="shared" si="12"/>
        <v>29883.454669000002</v>
      </c>
      <c r="L89" s="61">
        <f t="shared" si="12"/>
        <v>30866.898464000002</v>
      </c>
      <c r="M89" s="61">
        <f t="shared" si="12"/>
        <v>33167.419389000002</v>
      </c>
      <c r="N89" s="61">
        <f t="shared" si="12"/>
        <v>23150.021905000001</v>
      </c>
      <c r="O89" s="61">
        <f t="shared" si="12"/>
        <v>28543.784249</v>
      </c>
      <c r="P89" s="61">
        <f t="shared" si="12"/>
        <v>26362.266587999999</v>
      </c>
      <c r="Q89" s="61">
        <f t="shared" ref="Q89" si="13">SUM(Q84:Q88)</f>
        <v>20562.560613999998</v>
      </c>
      <c r="R89" s="99">
        <f>SUM(F89:Q89)</f>
        <v>340370.04866100004</v>
      </c>
      <c r="S89" s="101"/>
    </row>
    <row r="91" spans="1:29" x14ac:dyDescent="0.3">
      <c r="R91" s="61"/>
    </row>
    <row r="92" spans="1:29" x14ac:dyDescent="0.3">
      <c r="E92" t="s">
        <v>7</v>
      </c>
    </row>
    <row r="93" spans="1:29" x14ac:dyDescent="0.3">
      <c r="A93" t="s">
        <v>538</v>
      </c>
      <c r="E93" s="5">
        <v>40725</v>
      </c>
      <c r="F93" s="5">
        <v>40756</v>
      </c>
      <c r="G93" s="5">
        <v>40787</v>
      </c>
      <c r="H93" s="5">
        <v>40817</v>
      </c>
      <c r="I93" s="5">
        <v>40848</v>
      </c>
      <c r="J93" s="5">
        <v>40878</v>
      </c>
      <c r="K93" s="5">
        <v>40909</v>
      </c>
      <c r="L93" s="5">
        <v>40940</v>
      </c>
      <c r="M93" s="5">
        <v>40969</v>
      </c>
      <c r="N93" s="5">
        <v>41000</v>
      </c>
      <c r="O93" s="5">
        <v>41030</v>
      </c>
      <c r="P93" s="5">
        <v>41061</v>
      </c>
      <c r="Q93" s="5">
        <v>41091</v>
      </c>
    </row>
    <row r="94" spans="1:29" x14ac:dyDescent="0.3">
      <c r="A94" t="s">
        <v>2396</v>
      </c>
      <c r="E94">
        <v>11270</v>
      </c>
      <c r="F94">
        <v>19622</v>
      </c>
      <c r="G94">
        <v>18457</v>
      </c>
      <c r="H94">
        <v>22891</v>
      </c>
      <c r="I94">
        <v>26095</v>
      </c>
      <c r="J94">
        <v>21180</v>
      </c>
      <c r="K94">
        <v>19683</v>
      </c>
      <c r="L94">
        <v>22284</v>
      </c>
      <c r="M94">
        <v>23978</v>
      </c>
      <c r="N94">
        <v>14220</v>
      </c>
      <c r="O94">
        <v>22859</v>
      </c>
      <c r="P94">
        <v>19591</v>
      </c>
      <c r="Q94">
        <v>15382.4</v>
      </c>
    </row>
    <row r="95" spans="1:29" x14ac:dyDescent="0.3">
      <c r="A95" t="s">
        <v>2398</v>
      </c>
      <c r="E95">
        <v>24696</v>
      </c>
      <c r="F95">
        <v>39878</v>
      </c>
      <c r="G95">
        <v>36734</v>
      </c>
      <c r="H95">
        <v>46216</v>
      </c>
      <c r="I95">
        <v>52357</v>
      </c>
      <c r="J95">
        <v>42917</v>
      </c>
      <c r="K95">
        <v>40514</v>
      </c>
      <c r="L95">
        <v>45705</v>
      </c>
      <c r="M95">
        <v>50578</v>
      </c>
      <c r="N95">
        <v>29387</v>
      </c>
      <c r="O95">
        <v>47771</v>
      </c>
      <c r="P95">
        <v>40621.760000000002</v>
      </c>
      <c r="Q95">
        <v>32635.040000000001</v>
      </c>
    </row>
    <row r="96" spans="1:29" x14ac:dyDescent="0.3">
      <c r="A96" t="s">
        <v>2397</v>
      </c>
      <c r="E96">
        <v>51152</v>
      </c>
      <c r="F96">
        <v>77538</v>
      </c>
      <c r="G96">
        <v>70721</v>
      </c>
      <c r="H96">
        <v>104215</v>
      </c>
      <c r="I96">
        <v>97858</v>
      </c>
      <c r="J96">
        <v>95322</v>
      </c>
      <c r="K96">
        <v>85781</v>
      </c>
      <c r="L96">
        <v>84587</v>
      </c>
      <c r="M96">
        <v>93086</v>
      </c>
      <c r="N96">
        <v>82162</v>
      </c>
      <c r="O96">
        <v>84019</v>
      </c>
      <c r="P96">
        <v>85065.84</v>
      </c>
      <c r="Q96">
        <v>64427.839999999997</v>
      </c>
    </row>
    <row r="98" spans="1:19" x14ac:dyDescent="0.3">
      <c r="A98" t="s">
        <v>2403</v>
      </c>
      <c r="E98">
        <v>217</v>
      </c>
      <c r="F98">
        <v>293</v>
      </c>
      <c r="G98">
        <v>283</v>
      </c>
      <c r="H98">
        <v>332</v>
      </c>
      <c r="I98">
        <v>391</v>
      </c>
      <c r="J98">
        <v>326</v>
      </c>
      <c r="K98">
        <v>372</v>
      </c>
      <c r="L98">
        <v>378</v>
      </c>
      <c r="M98">
        <v>391</v>
      </c>
      <c r="N98">
        <v>289</v>
      </c>
      <c r="O98">
        <v>312</v>
      </c>
      <c r="P98">
        <v>282</v>
      </c>
      <c r="Q98">
        <v>229.64</v>
      </c>
    </row>
    <row r="99" spans="1:19" x14ac:dyDescent="0.3">
      <c r="A99" t="s">
        <v>2404</v>
      </c>
      <c r="E99">
        <v>243</v>
      </c>
      <c r="F99">
        <v>299</v>
      </c>
      <c r="G99">
        <v>307</v>
      </c>
      <c r="H99">
        <v>359</v>
      </c>
      <c r="I99">
        <v>462</v>
      </c>
      <c r="J99">
        <v>354</v>
      </c>
      <c r="K99">
        <v>374</v>
      </c>
      <c r="L99">
        <v>396</v>
      </c>
      <c r="M99">
        <v>409</v>
      </c>
      <c r="N99">
        <v>297</v>
      </c>
      <c r="O99">
        <v>323</v>
      </c>
      <c r="P99">
        <v>311</v>
      </c>
      <c r="Q99">
        <v>264.14999999999998</v>
      </c>
      <c r="R99" s="107"/>
    </row>
    <row r="100" spans="1:19" x14ac:dyDescent="0.3">
      <c r="A100" t="s">
        <v>2402</v>
      </c>
      <c r="E100">
        <v>258</v>
      </c>
      <c r="F100">
        <v>364</v>
      </c>
      <c r="G100">
        <v>350</v>
      </c>
      <c r="H100">
        <v>382</v>
      </c>
      <c r="I100">
        <v>453</v>
      </c>
      <c r="J100">
        <v>370</v>
      </c>
      <c r="K100">
        <v>376</v>
      </c>
      <c r="L100">
        <v>378</v>
      </c>
      <c r="M100">
        <v>419</v>
      </c>
      <c r="N100">
        <v>297</v>
      </c>
      <c r="O100">
        <v>330</v>
      </c>
      <c r="P100">
        <v>325</v>
      </c>
      <c r="Q100">
        <v>263.8</v>
      </c>
    </row>
    <row r="102" spans="1:19" x14ac:dyDescent="0.3">
      <c r="A102" t="s">
        <v>2399</v>
      </c>
      <c r="E102" s="61">
        <f t="shared" ref="E102:P102" si="14">SUMPRODUCT($C$113:$C$115,E94:E96)/100</f>
        <v>5825.5090680000003</v>
      </c>
      <c r="F102" s="61">
        <f t="shared" si="14"/>
        <v>9252.392382</v>
      </c>
      <c r="G102" s="61">
        <f t="shared" si="14"/>
        <v>8517.0342089999995</v>
      </c>
      <c r="H102" s="61">
        <f t="shared" si="14"/>
        <v>11515.610715000001</v>
      </c>
      <c r="I102" s="61">
        <f t="shared" si="14"/>
        <v>11961.605742</v>
      </c>
      <c r="J102" s="61">
        <f t="shared" si="14"/>
        <v>10608.077088000002</v>
      </c>
      <c r="K102" s="61">
        <f t="shared" si="14"/>
        <v>9759.337689</v>
      </c>
      <c r="L102" s="61">
        <f t="shared" si="14"/>
        <v>10354.361403000001</v>
      </c>
      <c r="M102" s="61">
        <f t="shared" si="14"/>
        <v>11372.347793999999</v>
      </c>
      <c r="N102" s="61">
        <f t="shared" si="14"/>
        <v>8157.6777480000001</v>
      </c>
      <c r="O102" s="61">
        <f t="shared" si="14"/>
        <v>10547.163141000001</v>
      </c>
      <c r="P102" s="61">
        <f t="shared" si="14"/>
        <v>9721.8113241599985</v>
      </c>
      <c r="Q102" s="61">
        <f t="shared" ref="Q102" si="15">SUMPRODUCT($C$113:$C$115,Q94:Q96)/100</f>
        <v>7567.5413913599996</v>
      </c>
      <c r="R102" s="101">
        <f>SUM(F102:Q102)/R107</f>
        <v>0.34648992510323223</v>
      </c>
    </row>
    <row r="103" spans="1:19" x14ac:dyDescent="0.3">
      <c r="A103" t="s">
        <v>2702</v>
      </c>
      <c r="E103" s="61">
        <f t="shared" ref="E103:P103" si="16">SUMPRODUCT($C$118:$C$120,E94:E96)/100</f>
        <v>3144.3791260000003</v>
      </c>
      <c r="F103" s="61">
        <f t="shared" si="16"/>
        <v>5002.3078839999998</v>
      </c>
      <c r="G103" s="61">
        <f t="shared" si="16"/>
        <v>4606.1908430000003</v>
      </c>
      <c r="H103" s="61">
        <f t="shared" si="16"/>
        <v>6208.7811750000001</v>
      </c>
      <c r="I103" s="61">
        <f t="shared" si="16"/>
        <v>6472.3431240000009</v>
      </c>
      <c r="J103" s="61">
        <f t="shared" si="16"/>
        <v>5720.9845009999999</v>
      </c>
      <c r="K103" s="61">
        <f t="shared" si="16"/>
        <v>5267.5101130000012</v>
      </c>
      <c r="L103" s="61">
        <f t="shared" si="16"/>
        <v>5602.9456010000004</v>
      </c>
      <c r="M103" s="61">
        <f t="shared" si="16"/>
        <v>6153.3913880000009</v>
      </c>
      <c r="N103" s="61">
        <f t="shared" si="16"/>
        <v>4379.7847710000005</v>
      </c>
      <c r="O103" s="61">
        <f t="shared" si="16"/>
        <v>5712.0371420000001</v>
      </c>
      <c r="P103" s="61">
        <f t="shared" si="16"/>
        <v>5248.1119585200004</v>
      </c>
      <c r="Q103" s="61">
        <f t="shared" ref="Q103" si="17">SUMPRODUCT($C$118:$C$120,Q94:Q96)/100</f>
        <v>4089.14944272</v>
      </c>
      <c r="R103" s="301"/>
    </row>
    <row r="104" spans="1:19" x14ac:dyDescent="0.3">
      <c r="A104" t="s">
        <v>2703</v>
      </c>
      <c r="E104" s="61">
        <f t="shared" ref="E104:P104" si="18">SUMPRODUCT($C$121:$C$123,E98:E100)</f>
        <v>7761.2415999999994</v>
      </c>
      <c r="F104" s="61">
        <f t="shared" si="18"/>
        <v>10097.644</v>
      </c>
      <c r="G104" s="61">
        <f t="shared" si="18"/>
        <v>10019.879000000001</v>
      </c>
      <c r="H104" s="61">
        <f t="shared" si="18"/>
        <v>11639.726499999999</v>
      </c>
      <c r="I104" s="61">
        <f t="shared" si="18"/>
        <v>14305.144900000001</v>
      </c>
      <c r="J104" s="61">
        <f t="shared" si="18"/>
        <v>11434.202000000001</v>
      </c>
      <c r="K104" s="61">
        <f t="shared" si="18"/>
        <v>12441.747800000001</v>
      </c>
      <c r="L104" s="61">
        <f t="shared" si="18"/>
        <v>12867.327000000001</v>
      </c>
      <c r="M104" s="61">
        <f t="shared" si="18"/>
        <v>13396.3058</v>
      </c>
      <c r="N104" s="61">
        <f t="shared" si="18"/>
        <v>9778.8940000000021</v>
      </c>
      <c r="O104" s="61">
        <f t="shared" si="18"/>
        <v>10624.494499999999</v>
      </c>
      <c r="P104" s="61">
        <f t="shared" si="18"/>
        <v>9979.2893000000004</v>
      </c>
      <c r="Q104" s="61">
        <f t="shared" ref="Q104" si="19">SUMPRODUCT($C$121:$C$123,Q98:Q100)</f>
        <v>8286.3999889999996</v>
      </c>
      <c r="R104" s="301"/>
    </row>
    <row r="105" spans="1:19" x14ac:dyDescent="0.3">
      <c r="A105" t="s">
        <v>2419</v>
      </c>
      <c r="E105" s="61">
        <f t="shared" ref="E105:P105" si="20">SUM($C$126:$C$130)*SUM(E94:E96)/100</f>
        <v>906.28855399999998</v>
      </c>
      <c r="F105" s="61">
        <f t="shared" si="20"/>
        <v>1425.6063140000001</v>
      </c>
      <c r="G105" s="61">
        <f t="shared" si="20"/>
        <v>1309.8625359999999</v>
      </c>
      <c r="H105" s="61">
        <f t="shared" si="20"/>
        <v>1803.0687659999999</v>
      </c>
      <c r="I105" s="61">
        <f t="shared" si="20"/>
        <v>1834.15293</v>
      </c>
      <c r="J105" s="61">
        <f t="shared" si="20"/>
        <v>1658.4358569999999</v>
      </c>
      <c r="K105" s="61">
        <f t="shared" si="20"/>
        <v>1518.6091339999998</v>
      </c>
      <c r="L105" s="61">
        <f t="shared" si="20"/>
        <v>1587.2481280000002</v>
      </c>
      <c r="M105" s="61">
        <f t="shared" si="20"/>
        <v>1743.979726</v>
      </c>
      <c r="N105" s="61">
        <f t="shared" si="20"/>
        <v>1308.3749069999999</v>
      </c>
      <c r="O105" s="61">
        <f t="shared" si="20"/>
        <v>1608.813547</v>
      </c>
      <c r="P105" s="61">
        <f t="shared" si="20"/>
        <v>1511.3332758000001</v>
      </c>
      <c r="Q105" s="61">
        <f t="shared" ref="Q105" si="21">SUM($C$126:$C$130)*SUM(Q94:Q96)/100</f>
        <v>1169.76824784</v>
      </c>
      <c r="R105" s="301"/>
    </row>
    <row r="106" spans="1:19" x14ac:dyDescent="0.3">
      <c r="A106" t="s">
        <v>2420</v>
      </c>
      <c r="E106" s="61">
        <f t="shared" ref="E106:P106" si="22">$C$132*(DATE(YEAR(E93),MONTH(E93)+1,DAY(E93))-E93)+$C$133</f>
        <v>611.99369999999999</v>
      </c>
      <c r="F106" s="61">
        <f t="shared" si="22"/>
        <v>611.99369999999999</v>
      </c>
      <c r="G106" s="61">
        <f t="shared" si="22"/>
        <v>598.38100000000009</v>
      </c>
      <c r="H106" s="61">
        <f t="shared" si="22"/>
        <v>611.99369999999999</v>
      </c>
      <c r="I106" s="61">
        <f t="shared" si="22"/>
        <v>598.38100000000009</v>
      </c>
      <c r="J106" s="61">
        <f t="shared" si="22"/>
        <v>611.99369999999999</v>
      </c>
      <c r="K106" s="61">
        <f t="shared" si="22"/>
        <v>611.99369999999999</v>
      </c>
      <c r="L106" s="61">
        <f t="shared" si="22"/>
        <v>584.76829999999995</v>
      </c>
      <c r="M106" s="61">
        <f t="shared" si="22"/>
        <v>611.99369999999999</v>
      </c>
      <c r="N106" s="61">
        <f t="shared" si="22"/>
        <v>598.38100000000009</v>
      </c>
      <c r="O106" s="61">
        <f t="shared" si="22"/>
        <v>611.99369999999999</v>
      </c>
      <c r="P106" s="61">
        <f t="shared" si="22"/>
        <v>598.38100000000009</v>
      </c>
      <c r="Q106" s="61">
        <f t="shared" ref="Q106" si="23">$C$132*(DATE(YEAR(Q93),MONTH(Q93)+1,DAY(Q93))-Q93)+$C$133</f>
        <v>611.99369999999999</v>
      </c>
      <c r="R106" s="90"/>
      <c r="S106" s="101"/>
    </row>
    <row r="107" spans="1:19" x14ac:dyDescent="0.3">
      <c r="A107" t="s">
        <v>505</v>
      </c>
      <c r="E107" s="61">
        <f t="shared" ref="E107:P107" si="24">SUM(E102:E106)</f>
        <v>18249.412047999998</v>
      </c>
      <c r="F107" s="61">
        <f t="shared" si="24"/>
        <v>26389.94428</v>
      </c>
      <c r="G107" s="61">
        <f t="shared" si="24"/>
        <v>25051.347588000004</v>
      </c>
      <c r="H107" s="61">
        <f t="shared" si="24"/>
        <v>31779.180855999995</v>
      </c>
      <c r="I107" s="61">
        <f t="shared" si="24"/>
        <v>35171.627695999996</v>
      </c>
      <c r="J107" s="61">
        <f t="shared" si="24"/>
        <v>30033.693146000001</v>
      </c>
      <c r="K107" s="61">
        <f t="shared" si="24"/>
        <v>29599.198435999999</v>
      </c>
      <c r="L107" s="61">
        <f t="shared" si="24"/>
        <v>30996.650432000002</v>
      </c>
      <c r="M107" s="61">
        <f t="shared" si="24"/>
        <v>33278.018408000004</v>
      </c>
      <c r="N107" s="61">
        <f t="shared" si="24"/>
        <v>24223.112426000003</v>
      </c>
      <c r="O107" s="61">
        <f t="shared" si="24"/>
        <v>29104.50203</v>
      </c>
      <c r="P107" s="61">
        <f t="shared" si="24"/>
        <v>27058.926858480001</v>
      </c>
      <c r="Q107" s="61">
        <f t="shared" ref="Q107" si="25">SUM(Q102:Q106)</f>
        <v>21724.852770919995</v>
      </c>
      <c r="R107" s="99">
        <f>SUM(F107:Q107)</f>
        <v>344411.05492739991</v>
      </c>
    </row>
    <row r="110" spans="1:19" x14ac:dyDescent="0.3">
      <c r="A110" s="10" t="s">
        <v>2734</v>
      </c>
      <c r="B110" s="10"/>
      <c r="C110" s="10"/>
      <c r="D110" s="10"/>
      <c r="E110" s="10"/>
      <c r="F110" s="10"/>
      <c r="G110" s="10"/>
      <c r="H110" s="10"/>
    </row>
    <row r="111" spans="1:19" x14ac:dyDescent="0.3">
      <c r="B111" t="s">
        <v>327</v>
      </c>
      <c r="C111" t="s">
        <v>7</v>
      </c>
    </row>
    <row r="112" spans="1:19" x14ac:dyDescent="0.3">
      <c r="A112" s="8" t="s">
        <v>2399</v>
      </c>
      <c r="B112" s="163" t="s">
        <v>2717</v>
      </c>
      <c r="C112" s="163" t="s">
        <v>2717</v>
      </c>
    </row>
    <row r="113" spans="1:4" x14ac:dyDescent="0.3">
      <c r="A113" t="s">
        <v>2396</v>
      </c>
      <c r="B113">
        <v>8.0950000000000006</v>
      </c>
      <c r="C113">
        <v>8.4689999999999994</v>
      </c>
      <c r="D113" t="s">
        <v>2678</v>
      </c>
    </row>
    <row r="114" spans="1:4" x14ac:dyDescent="0.3">
      <c r="A114" t="s">
        <v>2398</v>
      </c>
      <c r="B114">
        <v>8.0950000000000006</v>
      </c>
      <c r="C114">
        <v>8.4689999999999994</v>
      </c>
      <c r="D114" t="s">
        <v>2678</v>
      </c>
    </row>
    <row r="115" spans="1:4" x14ac:dyDescent="0.3">
      <c r="A115" t="s">
        <v>2397</v>
      </c>
      <c r="B115">
        <v>5.194</v>
      </c>
      <c r="C115">
        <v>5.4339000000000004</v>
      </c>
      <c r="D115" t="s">
        <v>2678</v>
      </c>
    </row>
    <row r="117" spans="1:4" x14ac:dyDescent="0.3">
      <c r="A117" s="8" t="s">
        <v>2400</v>
      </c>
    </row>
    <row r="118" spans="1:4" x14ac:dyDescent="0.3">
      <c r="A118" t="s">
        <v>2396</v>
      </c>
      <c r="B118">
        <v>4.7365000000000004</v>
      </c>
      <c r="C118">
        <v>4.7365000000000004</v>
      </c>
      <c r="D118" t="s">
        <v>2678</v>
      </c>
    </row>
    <row r="119" spans="1:4" x14ac:dyDescent="0.3">
      <c r="A119" t="s">
        <v>2398</v>
      </c>
      <c r="B119">
        <v>4.7365000000000004</v>
      </c>
      <c r="C119">
        <v>4.7365000000000004</v>
      </c>
      <c r="D119" t="s">
        <v>2678</v>
      </c>
    </row>
    <row r="120" spans="1:4" x14ac:dyDescent="0.3">
      <c r="A120" t="s">
        <v>2397</v>
      </c>
      <c r="B120">
        <v>2.8168000000000002</v>
      </c>
      <c r="C120">
        <v>2.8168000000000002</v>
      </c>
      <c r="D120" t="s">
        <v>2678</v>
      </c>
    </row>
    <row r="121" spans="1:4" x14ac:dyDescent="0.3">
      <c r="A121" t="s">
        <v>2403</v>
      </c>
      <c r="B121">
        <v>14.9551</v>
      </c>
      <c r="C121">
        <v>14.9551</v>
      </c>
      <c r="D121" t="s">
        <v>2679</v>
      </c>
    </row>
    <row r="122" spans="1:4" x14ac:dyDescent="0.3">
      <c r="A122" t="s">
        <v>2404</v>
      </c>
      <c r="B122">
        <v>14.9551</v>
      </c>
      <c r="C122">
        <v>14.9551</v>
      </c>
      <c r="D122" t="s">
        <v>2679</v>
      </c>
    </row>
    <row r="123" spans="1:4" x14ac:dyDescent="0.3">
      <c r="A123" t="s">
        <v>2402</v>
      </c>
      <c r="B123">
        <v>3.4182000000000001</v>
      </c>
      <c r="C123">
        <v>3.4182000000000001</v>
      </c>
      <c r="D123" t="s">
        <v>2679</v>
      </c>
    </row>
    <row r="125" spans="1:4" x14ac:dyDescent="0.3">
      <c r="A125" s="8" t="s">
        <v>2419</v>
      </c>
    </row>
    <row r="126" spans="1:4" x14ac:dyDescent="0.3">
      <c r="A126" t="s">
        <v>2408</v>
      </c>
      <c r="B126">
        <v>0.14729999999999999</v>
      </c>
      <c r="C126">
        <v>0.14729999999999999</v>
      </c>
      <c r="D126" t="s">
        <v>2678</v>
      </c>
    </row>
    <row r="127" spans="1:4" x14ac:dyDescent="0.3">
      <c r="A127" t="s">
        <v>2406</v>
      </c>
      <c r="B127">
        <v>0.48120000000000002</v>
      </c>
      <c r="C127">
        <v>0.48120000000000002</v>
      </c>
      <c r="D127" t="s">
        <v>2678</v>
      </c>
    </row>
    <row r="128" spans="1:4" x14ac:dyDescent="0.3">
      <c r="A128" t="s">
        <v>2407</v>
      </c>
      <c r="B128">
        <v>0.33500000000000002</v>
      </c>
      <c r="C128">
        <v>0.33500000000000002</v>
      </c>
      <c r="D128" t="s">
        <v>2678</v>
      </c>
    </row>
    <row r="129" spans="1:5" x14ac:dyDescent="0.3">
      <c r="A129" t="s">
        <v>2409</v>
      </c>
      <c r="B129">
        <v>3.78E-2</v>
      </c>
      <c r="C129">
        <v>3.78E-2</v>
      </c>
      <c r="D129" t="s">
        <v>2678</v>
      </c>
    </row>
    <row r="130" spans="1:5" x14ac:dyDescent="0.3">
      <c r="A130" t="s">
        <v>2410</v>
      </c>
      <c r="B130">
        <v>3.9E-2</v>
      </c>
      <c r="C130">
        <v>3.9E-2</v>
      </c>
      <c r="D130" t="s">
        <v>2680</v>
      </c>
    </row>
    <row r="132" spans="1:5" x14ac:dyDescent="0.3">
      <c r="A132" t="s">
        <v>2405</v>
      </c>
      <c r="B132">
        <v>13.6127</v>
      </c>
      <c r="C132">
        <v>13.6127</v>
      </c>
      <c r="D132" t="s">
        <v>2682</v>
      </c>
    </row>
    <row r="133" spans="1:5" x14ac:dyDescent="0.3">
      <c r="A133" t="s">
        <v>2411</v>
      </c>
      <c r="B133">
        <v>95</v>
      </c>
      <c r="C133">
        <v>190</v>
      </c>
      <c r="D133" t="s">
        <v>2681</v>
      </c>
    </row>
    <row r="136" spans="1:5" x14ac:dyDescent="0.3">
      <c r="A136" t="s">
        <v>2733</v>
      </c>
    </row>
    <row r="137" spans="1:5" x14ac:dyDescent="0.3">
      <c r="A137" t="s">
        <v>327</v>
      </c>
      <c r="B137" s="90">
        <f>SUM(F89:Q89)</f>
        <v>340370.04866100004</v>
      </c>
    </row>
    <row r="138" spans="1:5" x14ac:dyDescent="0.3">
      <c r="A138" t="s">
        <v>7</v>
      </c>
      <c r="B138" s="90">
        <f>SUM(F107:Q107)</f>
        <v>344411.05492739991</v>
      </c>
    </row>
    <row r="139" spans="1:5" x14ac:dyDescent="0.3">
      <c r="A139" s="97" t="s">
        <v>505</v>
      </c>
      <c r="B139" s="98">
        <f>SUM(B137:B138)</f>
        <v>684781.10358839994</v>
      </c>
      <c r="D139" s="99">
        <f>B139/52</f>
        <v>13168.867376699998</v>
      </c>
      <c r="E139" t="s">
        <v>3230</v>
      </c>
    </row>
    <row r="142" spans="1:5" x14ac:dyDescent="0.3">
      <c r="A142" t="s">
        <v>2686</v>
      </c>
    </row>
    <row r="143" spans="1:5" x14ac:dyDescent="0.3">
      <c r="A143" t="s">
        <v>2687</v>
      </c>
      <c r="B143">
        <v>1</v>
      </c>
      <c r="C143" t="s">
        <v>2688</v>
      </c>
    </row>
    <row r="147" spans="1:11" x14ac:dyDescent="0.3">
      <c r="A147" s="160" t="s">
        <v>3183</v>
      </c>
      <c r="B147" s="160"/>
      <c r="C147" s="160"/>
      <c r="D147" s="160"/>
      <c r="E147" s="160"/>
      <c r="F147" s="160"/>
      <c r="G147" s="160"/>
      <c r="H147" s="160"/>
      <c r="I147" s="160"/>
    </row>
    <row r="148" spans="1:11" x14ac:dyDescent="0.3">
      <c r="A148" s="89" t="s">
        <v>2692</v>
      </c>
      <c r="B148" s="89"/>
      <c r="C148" s="89"/>
      <c r="D148" s="89"/>
      <c r="E148" s="89"/>
      <c r="F148" s="89"/>
      <c r="G148" s="89"/>
      <c r="H148" s="89"/>
      <c r="I148" s="89"/>
    </row>
    <row r="149" spans="1:11" x14ac:dyDescent="0.3">
      <c r="A149" s="89" t="s">
        <v>3192</v>
      </c>
      <c r="B149" s="158">
        <f>0.5*(H158+H159)</f>
        <v>0</v>
      </c>
      <c r="C149" s="89" t="s">
        <v>3182</v>
      </c>
      <c r="D149" s="89"/>
      <c r="E149" s="89"/>
      <c r="F149" s="89"/>
      <c r="G149" s="89"/>
      <c r="H149" s="89"/>
      <c r="I149" s="89"/>
    </row>
    <row r="150" spans="1:11" x14ac:dyDescent="0.3">
      <c r="A150" s="89" t="s">
        <v>2693</v>
      </c>
      <c r="B150" s="158">
        <f>0.5*(R84+R102)</f>
        <v>0.34221268683066997</v>
      </c>
      <c r="C150" s="89" t="s">
        <v>3181</v>
      </c>
      <c r="D150" s="89"/>
      <c r="E150" s="89"/>
      <c r="F150" s="89"/>
      <c r="G150" s="89"/>
      <c r="H150" s="89"/>
      <c r="I150" s="89"/>
    </row>
    <row r="151" spans="1:11" x14ac:dyDescent="0.3">
      <c r="A151" s="89"/>
      <c r="B151" s="158"/>
      <c r="C151" s="89"/>
      <c r="D151" s="89"/>
      <c r="E151" s="89"/>
      <c r="F151" s="89"/>
      <c r="G151" s="89"/>
      <c r="H151" s="89"/>
      <c r="I151" s="89"/>
    </row>
    <row r="152" spans="1:11" x14ac:dyDescent="0.3">
      <c r="A152" s="89"/>
      <c r="B152" s="89"/>
      <c r="C152" s="89"/>
      <c r="D152" s="89"/>
      <c r="E152" s="169" t="str">
        <f>Summary!C4</f>
        <v>2015/16</v>
      </c>
      <c r="F152" s="169" t="str">
        <f>Summary!D4</f>
        <v>2016/17</v>
      </c>
      <c r="G152" s="169" t="str">
        <f>Summary!E4</f>
        <v>2017/18</v>
      </c>
      <c r="H152" s="169" t="str">
        <f>Summary!F4</f>
        <v>2018/19</v>
      </c>
      <c r="I152" s="169" t="str">
        <f>Summary!G4</f>
        <v>2019/20</v>
      </c>
    </row>
    <row r="153" spans="1:11" s="301" customFormat="1" x14ac:dyDescent="0.3">
      <c r="A153" s="89" t="s">
        <v>3185</v>
      </c>
      <c r="B153" s="89"/>
      <c r="C153" s="89"/>
      <c r="D153" s="89"/>
      <c r="E153" s="305">
        <f>$B$139*'Modelling Assumptions'!E102</f>
        <v>705324.53669605195</v>
      </c>
      <c r="F153" s="305">
        <f>$B$139*'Modelling Assumptions'!F102</f>
        <v>726484.27279693342</v>
      </c>
      <c r="G153" s="305">
        <f>$B$139*'Modelling Assumptions'!G102</f>
        <v>748278.80098084151</v>
      </c>
      <c r="H153" s="305">
        <f>$B$139*'Modelling Assumptions'!H102</f>
        <v>770727.1650102667</v>
      </c>
      <c r="I153" s="305">
        <f>$B$139*'Modelling Assumptions'!I102</f>
        <v>793848.97996057465</v>
      </c>
    </row>
    <row r="154" spans="1:11" x14ac:dyDescent="0.3">
      <c r="A154" s="89" t="s">
        <v>3184</v>
      </c>
      <c r="B154" s="89"/>
      <c r="C154" s="89"/>
      <c r="D154" s="159"/>
      <c r="E154" s="159">
        <f>E161*E153</f>
        <v>71042.203749757784</v>
      </c>
      <c r="F154" s="159">
        <f t="shared" ref="F154:I154" si="26">F161*F153</f>
        <v>58118.741823754674</v>
      </c>
      <c r="G154" s="159">
        <f t="shared" si="26"/>
        <v>59862.304078467321</v>
      </c>
      <c r="H154" s="159">
        <f t="shared" si="26"/>
        <v>46243.629900615997</v>
      </c>
      <c r="I154" s="159">
        <f t="shared" si="26"/>
        <v>47630.938797634481</v>
      </c>
      <c r="K154" s="99"/>
    </row>
    <row r="155" spans="1:11" s="301" customFormat="1" x14ac:dyDescent="0.3">
      <c r="A155" s="306" t="s">
        <v>3190</v>
      </c>
      <c r="B155" s="306"/>
      <c r="C155" s="306"/>
      <c r="D155" s="307"/>
      <c r="E155" s="307">
        <f>E153-E154</f>
        <v>634282.33294629422</v>
      </c>
      <c r="F155" s="307">
        <f t="shared" ref="F155:I155" si="27">F153-F154</f>
        <v>668365.5309731788</v>
      </c>
      <c r="G155" s="307">
        <f t="shared" si="27"/>
        <v>688416.4969023742</v>
      </c>
      <c r="H155" s="307">
        <f t="shared" si="27"/>
        <v>724483.53510965069</v>
      </c>
      <c r="I155" s="307">
        <f t="shared" si="27"/>
        <v>746218.04116294021</v>
      </c>
    </row>
    <row r="157" spans="1:11" s="301" customFormat="1" x14ac:dyDescent="0.3">
      <c r="A157" s="89" t="s">
        <v>3191</v>
      </c>
      <c r="B157" s="89"/>
      <c r="C157" s="169" t="s">
        <v>3188</v>
      </c>
      <c r="D157" s="169" t="s">
        <v>3186</v>
      </c>
      <c r="E157" s="169" t="s">
        <v>3187</v>
      </c>
      <c r="F157" s="89"/>
      <c r="G157" s="308"/>
      <c r="H157" s="308"/>
      <c r="I157" s="89"/>
    </row>
    <row r="158" spans="1:11" s="301" customFormat="1" x14ac:dyDescent="0.3">
      <c r="A158" s="89" t="s">
        <v>327</v>
      </c>
      <c r="B158" s="89"/>
      <c r="C158" s="303">
        <v>54477</v>
      </c>
      <c r="D158" s="303">
        <v>39730</v>
      </c>
      <c r="E158" s="303">
        <v>38443</v>
      </c>
      <c r="F158" s="311" t="s">
        <v>3189</v>
      </c>
      <c r="G158" s="309"/>
      <c r="H158" s="309"/>
      <c r="I158" s="89"/>
    </row>
    <row r="159" spans="1:11" s="301" customFormat="1" x14ac:dyDescent="0.3">
      <c r="A159" s="89" t="s">
        <v>7</v>
      </c>
      <c r="B159" s="89"/>
      <c r="C159" s="303">
        <v>63908</v>
      </c>
      <c r="D159" s="303">
        <v>46608</v>
      </c>
      <c r="E159" s="303">
        <v>45098</v>
      </c>
      <c r="F159" s="89"/>
      <c r="G159" s="309"/>
      <c r="H159" s="309"/>
      <c r="I159" s="89"/>
    </row>
    <row r="160" spans="1:11" s="301" customFormat="1" x14ac:dyDescent="0.3">
      <c r="A160" s="306" t="s">
        <v>3214</v>
      </c>
      <c r="B160" s="306"/>
      <c r="C160" s="306"/>
      <c r="D160" s="310">
        <f>1-(D158+D159)/(C158+C159)</f>
        <v>0.27070152468640452</v>
      </c>
      <c r="E160" s="310">
        <f>1-(E158+E159)/(C158+C159)</f>
        <v>0.29432782869451368</v>
      </c>
      <c r="F160" s="316">
        <f>F161/$B$150</f>
        <v>0.23377274741302839</v>
      </c>
      <c r="G160" s="316">
        <f t="shared" ref="G160:I160" si="28">G161/$B$150</f>
        <v>0.23377274741302839</v>
      </c>
      <c r="H160" s="316">
        <f t="shared" si="28"/>
        <v>0.17532956055977128</v>
      </c>
      <c r="I160" s="316">
        <f t="shared" si="28"/>
        <v>0.17532956055977128</v>
      </c>
    </row>
    <row r="161" spans="1:11" s="301" customFormat="1" x14ac:dyDescent="0.3">
      <c r="A161" s="89" t="s">
        <v>3216</v>
      </c>
      <c r="B161" s="89"/>
      <c r="C161" s="89"/>
      <c r="D161" s="89"/>
      <c r="E161" s="309">
        <f>E160*$B$150</f>
        <v>0.10072271706658668</v>
      </c>
      <c r="F161" s="315">
        <v>0.08</v>
      </c>
      <c r="G161" s="315">
        <v>0.08</v>
      </c>
      <c r="H161" s="315">
        <v>0.06</v>
      </c>
      <c r="I161" s="315">
        <v>0.06</v>
      </c>
      <c r="K161" s="301" t="s">
        <v>3215</v>
      </c>
    </row>
    <row r="162" spans="1:11" x14ac:dyDescent="0.3">
      <c r="E162" s="301"/>
      <c r="F162" s="301"/>
      <c r="G162" s="301"/>
      <c r="H162" s="301"/>
      <c r="I162" s="301"/>
      <c r="K162" t="s">
        <v>3344</v>
      </c>
    </row>
    <row r="164" spans="1:11" x14ac:dyDescent="0.3">
      <c r="A164" s="16" t="s">
        <v>2685</v>
      </c>
      <c r="B164" s="16"/>
    </row>
    <row r="165" spans="1:11" x14ac:dyDescent="0.3">
      <c r="A165" t="s">
        <v>2684</v>
      </c>
      <c r="B165" t="s">
        <v>2337</v>
      </c>
    </row>
    <row r="166" spans="1:11" x14ac:dyDescent="0.3">
      <c r="A166" t="s">
        <v>327</v>
      </c>
      <c r="B166" s="119">
        <f>AVERAGE(C204:C215)</f>
        <v>106409.66666666667</v>
      </c>
      <c r="C166" t="s">
        <v>2338</v>
      </c>
    </row>
    <row r="167" spans="1:11" x14ac:dyDescent="0.3">
      <c r="A167" t="s">
        <v>7</v>
      </c>
      <c r="B167" s="119">
        <f>AVERAGE(C251:C262)</f>
        <v>113713.33750000001</v>
      </c>
      <c r="C167" t="s">
        <v>2338</v>
      </c>
    </row>
    <row r="168" spans="1:11" x14ac:dyDescent="0.3">
      <c r="A168" t="s">
        <v>2339</v>
      </c>
      <c r="B168" s="93">
        <f>(B167-B166)/B167</f>
        <v>6.4228796673330743E-2</v>
      </c>
    </row>
    <row r="170" spans="1:11" x14ac:dyDescent="0.3">
      <c r="A170" t="s">
        <v>2097</v>
      </c>
    </row>
    <row r="171" spans="1:11" x14ac:dyDescent="0.3">
      <c r="A171" t="s">
        <v>2683</v>
      </c>
    </row>
    <row r="172" spans="1:11" x14ac:dyDescent="0.3">
      <c r="A172" t="s">
        <v>2140</v>
      </c>
    </row>
    <row r="173" spans="1:11" x14ac:dyDescent="0.3">
      <c r="A173" t="s">
        <v>2138</v>
      </c>
    </row>
    <row r="174" spans="1:11" x14ac:dyDescent="0.3">
      <c r="A174" t="s">
        <v>2139</v>
      </c>
      <c r="B174" s="93">
        <f>B168</f>
        <v>6.4228796673330743E-2</v>
      </c>
    </row>
    <row r="175" spans="1:11" x14ac:dyDescent="0.3">
      <c r="A175" t="s">
        <v>2178</v>
      </c>
      <c r="B175" s="101">
        <f>1/(5*12)</f>
        <v>1.6666666666666666E-2</v>
      </c>
    </row>
    <row r="176" spans="1:11" x14ac:dyDescent="0.3">
      <c r="A176" t="s">
        <v>2340</v>
      </c>
      <c r="B176" s="101">
        <f>B174*B175</f>
        <v>1.0704799445555124E-3</v>
      </c>
      <c r="C176" t="s">
        <v>2179</v>
      </c>
    </row>
    <row r="177" spans="1:6" x14ac:dyDescent="0.3">
      <c r="B177" s="107"/>
    </row>
    <row r="178" spans="1:6" x14ac:dyDescent="0.3">
      <c r="B178" s="93"/>
    </row>
    <row r="181" spans="1:6" x14ac:dyDescent="0.3">
      <c r="A181" t="s">
        <v>327</v>
      </c>
    </row>
    <row r="182" spans="1:6" x14ac:dyDescent="0.3">
      <c r="A182" t="s">
        <v>2054</v>
      </c>
    </row>
    <row r="183" spans="1:6" x14ac:dyDescent="0.3">
      <c r="A183" t="s">
        <v>2055</v>
      </c>
    </row>
    <row r="184" spans="1:6" x14ac:dyDescent="0.3">
      <c r="A184" t="s">
        <v>2056</v>
      </c>
      <c r="B184" t="s">
        <v>2057</v>
      </c>
      <c r="C184" t="s">
        <v>2058</v>
      </c>
      <c r="D184" t="s">
        <v>2059</v>
      </c>
      <c r="F184" s="92"/>
    </row>
    <row r="185" spans="1:6" x14ac:dyDescent="0.3">
      <c r="A185" t="s">
        <v>2060</v>
      </c>
      <c r="B185" s="91">
        <v>40544</v>
      </c>
      <c r="C185">
        <v>150197</v>
      </c>
      <c r="D185" s="92">
        <v>25585.13</v>
      </c>
    </row>
    <row r="186" spans="1:6" x14ac:dyDescent="0.3">
      <c r="A186" t="s">
        <v>2060</v>
      </c>
      <c r="B186" s="91">
        <v>40575</v>
      </c>
      <c r="C186">
        <v>147077</v>
      </c>
      <c r="D186" s="92">
        <v>24507.69</v>
      </c>
    </row>
    <row r="187" spans="1:6" x14ac:dyDescent="0.3">
      <c r="A187" t="s">
        <v>2060</v>
      </c>
      <c r="B187" s="91">
        <v>40603</v>
      </c>
      <c r="C187">
        <v>163412</v>
      </c>
      <c r="D187" s="92">
        <v>27303.47</v>
      </c>
      <c r="F187" s="92"/>
    </row>
    <row r="188" spans="1:6" x14ac:dyDescent="0.3">
      <c r="A188" t="s">
        <v>2060</v>
      </c>
      <c r="B188" s="91">
        <v>40634</v>
      </c>
      <c r="C188">
        <v>150718</v>
      </c>
      <c r="D188" s="92">
        <v>21786.14</v>
      </c>
    </row>
    <row r="189" spans="1:6" x14ac:dyDescent="0.3">
      <c r="A189" t="s">
        <v>2060</v>
      </c>
      <c r="B189" s="91">
        <v>40664</v>
      </c>
      <c r="C189">
        <v>100767</v>
      </c>
      <c r="D189" s="92">
        <v>17409.63</v>
      </c>
    </row>
    <row r="190" spans="1:6" x14ac:dyDescent="0.3">
      <c r="A190" t="s">
        <v>2060</v>
      </c>
      <c r="B190" s="91">
        <v>40695</v>
      </c>
      <c r="C190">
        <v>75883</v>
      </c>
      <c r="D190" s="92">
        <v>11406.94</v>
      </c>
    </row>
    <row r="191" spans="1:6" x14ac:dyDescent="0.3">
      <c r="A191" t="s">
        <v>2060</v>
      </c>
      <c r="B191" s="91">
        <v>40725</v>
      </c>
      <c r="C191">
        <v>89639</v>
      </c>
      <c r="D191" s="92">
        <v>15517.05</v>
      </c>
    </row>
    <row r="192" spans="1:6" x14ac:dyDescent="0.3">
      <c r="A192" t="s">
        <v>2060</v>
      </c>
      <c r="B192" s="91">
        <v>40756</v>
      </c>
      <c r="C192">
        <v>138364</v>
      </c>
      <c r="D192" s="92">
        <v>22954.44</v>
      </c>
    </row>
    <row r="193" spans="1:9" x14ac:dyDescent="0.3">
      <c r="A193" t="s">
        <v>2060</v>
      </c>
      <c r="B193" s="91">
        <v>40787</v>
      </c>
      <c r="C193">
        <v>126865</v>
      </c>
      <c r="D193" s="92">
        <v>21521.88</v>
      </c>
    </row>
    <row r="194" spans="1:9" x14ac:dyDescent="0.3">
      <c r="A194" t="s">
        <v>2060</v>
      </c>
      <c r="B194" s="91">
        <v>40817</v>
      </c>
      <c r="C194">
        <v>175275</v>
      </c>
      <c r="D194" s="92">
        <v>27429.01</v>
      </c>
    </row>
    <row r="195" spans="1:9" x14ac:dyDescent="0.3">
      <c r="A195" t="s">
        <v>2060</v>
      </c>
      <c r="B195" s="91">
        <v>40848</v>
      </c>
      <c r="C195">
        <v>178976</v>
      </c>
      <c r="D195" s="92">
        <v>30924.98</v>
      </c>
    </row>
    <row r="196" spans="1:9" x14ac:dyDescent="0.3">
      <c r="A196" t="s">
        <v>2061</v>
      </c>
      <c r="B196" s="91">
        <v>40878</v>
      </c>
      <c r="C196">
        <v>161143</v>
      </c>
      <c r="D196" s="92">
        <v>25100.799999999999</v>
      </c>
    </row>
    <row r="197" spans="1:9" x14ac:dyDescent="0.3">
      <c r="A197" t="s">
        <v>2061</v>
      </c>
      <c r="B197" s="91">
        <v>40909</v>
      </c>
      <c r="C197">
        <v>146523</v>
      </c>
      <c r="D197" s="92">
        <v>25667.85</v>
      </c>
    </row>
    <row r="198" spans="1:9" x14ac:dyDescent="0.3">
      <c r="A198" t="s">
        <v>2061</v>
      </c>
      <c r="B198" s="91">
        <v>40940</v>
      </c>
      <c r="C198">
        <v>154396</v>
      </c>
      <c r="D198" s="92">
        <v>26420.44</v>
      </c>
    </row>
    <row r="199" spans="1:9" x14ac:dyDescent="0.3">
      <c r="A199" t="s">
        <v>2061</v>
      </c>
      <c r="B199" s="91">
        <v>40969</v>
      </c>
      <c r="C199">
        <v>170097</v>
      </c>
      <c r="D199" s="92">
        <v>28392.3</v>
      </c>
    </row>
    <row r="200" spans="1:9" x14ac:dyDescent="0.3">
      <c r="A200" t="s">
        <v>2061</v>
      </c>
      <c r="B200" s="91">
        <v>41000</v>
      </c>
      <c r="C200">
        <v>125954</v>
      </c>
      <c r="D200" s="92">
        <v>19799.150000000001</v>
      </c>
    </row>
    <row r="201" spans="1:9" x14ac:dyDescent="0.3">
      <c r="A201" t="s">
        <v>2061</v>
      </c>
      <c r="B201" s="91">
        <v>41030</v>
      </c>
      <c r="C201">
        <v>154649</v>
      </c>
      <c r="D201" s="92">
        <v>24401.040000000001</v>
      </c>
      <c r="I201" s="93"/>
    </row>
    <row r="202" spans="1:9" x14ac:dyDescent="0.3">
      <c r="A202" t="s">
        <v>2061</v>
      </c>
      <c r="B202" s="91">
        <v>41061</v>
      </c>
      <c r="C202">
        <v>145461</v>
      </c>
      <c r="D202" s="92">
        <v>22503.93</v>
      </c>
    </row>
    <row r="203" spans="1:9" x14ac:dyDescent="0.3">
      <c r="A203" t="s">
        <v>2062</v>
      </c>
      <c r="B203" s="91">
        <v>41091</v>
      </c>
      <c r="C203">
        <v>111051</v>
      </c>
      <c r="D203" s="92">
        <v>20886.91</v>
      </c>
      <c r="I203" s="90"/>
    </row>
    <row r="204" spans="1:9" x14ac:dyDescent="0.3">
      <c r="A204" t="s">
        <v>2062</v>
      </c>
      <c r="B204" s="91">
        <v>41122</v>
      </c>
      <c r="C204">
        <v>84339</v>
      </c>
      <c r="D204" s="92">
        <v>18188.88</v>
      </c>
    </row>
    <row r="205" spans="1:9" x14ac:dyDescent="0.3">
      <c r="A205" t="s">
        <v>2062</v>
      </c>
      <c r="B205" s="91">
        <v>41153</v>
      </c>
      <c r="C205">
        <v>93495</v>
      </c>
      <c r="D205" s="92">
        <v>19640.66</v>
      </c>
    </row>
    <row r="206" spans="1:9" x14ac:dyDescent="0.3">
      <c r="A206" t="s">
        <v>2062</v>
      </c>
      <c r="B206" s="91">
        <v>41183</v>
      </c>
      <c r="C206">
        <v>132233</v>
      </c>
      <c r="D206" s="92">
        <v>26852.07</v>
      </c>
    </row>
    <row r="207" spans="1:9" x14ac:dyDescent="0.3">
      <c r="A207" t="s">
        <v>2062</v>
      </c>
      <c r="B207" s="91">
        <v>41214</v>
      </c>
      <c r="C207">
        <v>95838</v>
      </c>
      <c r="D207" s="92">
        <v>20915.900000000001</v>
      </c>
    </row>
    <row r="208" spans="1:9" x14ac:dyDescent="0.3">
      <c r="A208" t="s">
        <v>2062</v>
      </c>
      <c r="B208" s="91">
        <v>41244</v>
      </c>
      <c r="C208">
        <v>143960</v>
      </c>
      <c r="D208" s="92">
        <v>28823.85</v>
      </c>
    </row>
    <row r="209" spans="1:4" x14ac:dyDescent="0.3">
      <c r="A209" t="s">
        <v>2062</v>
      </c>
      <c r="B209" s="91">
        <v>41275</v>
      </c>
      <c r="C209">
        <v>141790</v>
      </c>
      <c r="D209" s="92">
        <v>27746.89</v>
      </c>
    </row>
    <row r="210" spans="1:4" x14ac:dyDescent="0.3">
      <c r="A210" t="s">
        <v>2062</v>
      </c>
      <c r="B210" s="91">
        <v>41306</v>
      </c>
      <c r="C210">
        <v>101847</v>
      </c>
      <c r="D210" s="92">
        <v>22676.06</v>
      </c>
    </row>
    <row r="211" spans="1:4" x14ac:dyDescent="0.3">
      <c r="A211" t="s">
        <v>2062</v>
      </c>
      <c r="B211" s="91">
        <v>41334</v>
      </c>
      <c r="C211">
        <v>81881</v>
      </c>
      <c r="D211" s="92">
        <v>19597.060000000001</v>
      </c>
    </row>
    <row r="212" spans="1:4" x14ac:dyDescent="0.3">
      <c r="A212" t="s">
        <v>2062</v>
      </c>
      <c r="B212" s="91">
        <v>41365</v>
      </c>
      <c r="C212">
        <v>79195</v>
      </c>
      <c r="D212" s="92">
        <v>16498.669999999998</v>
      </c>
    </row>
    <row r="213" spans="1:4" x14ac:dyDescent="0.3">
      <c r="A213" t="s">
        <v>2062</v>
      </c>
      <c r="B213" s="91">
        <v>41395</v>
      </c>
      <c r="C213">
        <v>110525</v>
      </c>
      <c r="D213" s="92">
        <v>21660.240000000002</v>
      </c>
    </row>
    <row r="214" spans="1:4" x14ac:dyDescent="0.3">
      <c r="A214" t="s">
        <v>2062</v>
      </c>
      <c r="B214" s="91">
        <v>41426</v>
      </c>
      <c r="C214">
        <v>105749</v>
      </c>
      <c r="D214" s="92">
        <v>20141.509999999998</v>
      </c>
    </row>
    <row r="215" spans="1:4" x14ac:dyDescent="0.3">
      <c r="A215" t="s">
        <v>2062</v>
      </c>
      <c r="B215" s="91">
        <v>41456</v>
      </c>
      <c r="C215">
        <v>106064</v>
      </c>
      <c r="D215" s="92">
        <v>19620.509999999998</v>
      </c>
    </row>
    <row r="216" spans="1:4" x14ac:dyDescent="0.3">
      <c r="A216" t="s">
        <v>2062</v>
      </c>
      <c r="B216" s="91">
        <v>41487</v>
      </c>
      <c r="C216">
        <v>68689</v>
      </c>
      <c r="D216" s="92">
        <v>14873.3</v>
      </c>
    </row>
    <row r="217" spans="1:4" x14ac:dyDescent="0.3">
      <c r="A217" t="s">
        <v>2062</v>
      </c>
      <c r="B217" s="91">
        <v>41518</v>
      </c>
      <c r="C217">
        <v>39312</v>
      </c>
      <c r="D217" s="92">
        <v>9788.32</v>
      </c>
    </row>
    <row r="218" spans="1:4" x14ac:dyDescent="0.3">
      <c r="A218" t="s">
        <v>2062</v>
      </c>
      <c r="B218" s="91">
        <v>41548</v>
      </c>
      <c r="C218">
        <v>36730</v>
      </c>
      <c r="D218" s="92">
        <v>6747.25</v>
      </c>
    </row>
    <row r="219" spans="1:4" x14ac:dyDescent="0.3">
      <c r="A219" t="s">
        <v>2062</v>
      </c>
      <c r="B219" s="91">
        <v>41579</v>
      </c>
      <c r="C219">
        <v>32879</v>
      </c>
      <c r="D219" s="92">
        <v>6353.52</v>
      </c>
    </row>
    <row r="220" spans="1:4" x14ac:dyDescent="0.3">
      <c r="A220" t="s">
        <v>2062</v>
      </c>
      <c r="B220" s="91">
        <v>41609</v>
      </c>
      <c r="C220">
        <v>29600</v>
      </c>
      <c r="D220" s="92">
        <v>5642.51</v>
      </c>
    </row>
    <row r="221" spans="1:4" x14ac:dyDescent="0.3">
      <c r="A221" t="s">
        <v>2062</v>
      </c>
      <c r="B221" s="91">
        <v>41640</v>
      </c>
      <c r="C221">
        <v>41697</v>
      </c>
      <c r="D221" s="92">
        <v>11976.15</v>
      </c>
    </row>
    <row r="228" spans="1:4" x14ac:dyDescent="0.3">
      <c r="A228" t="s">
        <v>7</v>
      </c>
    </row>
    <row r="229" spans="1:4" x14ac:dyDescent="0.3">
      <c r="A229" t="s">
        <v>2063</v>
      </c>
    </row>
    <row r="230" spans="1:4" x14ac:dyDescent="0.3">
      <c r="A230" t="s">
        <v>2055</v>
      </c>
    </row>
    <row r="231" spans="1:4" x14ac:dyDescent="0.3">
      <c r="A231" t="s">
        <v>2056</v>
      </c>
      <c r="B231" t="s">
        <v>2057</v>
      </c>
      <c r="C231" t="s">
        <v>2058</v>
      </c>
      <c r="D231" t="s">
        <v>2059</v>
      </c>
    </row>
    <row r="232" spans="1:4" x14ac:dyDescent="0.3">
      <c r="A232" t="s">
        <v>2060</v>
      </c>
      <c r="B232" s="91">
        <v>40544</v>
      </c>
      <c r="C232">
        <v>150760</v>
      </c>
      <c r="D232" s="92">
        <v>26243.97</v>
      </c>
    </row>
    <row r="233" spans="1:4" x14ac:dyDescent="0.3">
      <c r="A233" t="s">
        <v>2060</v>
      </c>
      <c r="B233" s="91">
        <v>40575</v>
      </c>
      <c r="C233">
        <v>146080</v>
      </c>
      <c r="D233" s="92">
        <v>24693.02</v>
      </c>
    </row>
    <row r="234" spans="1:4" x14ac:dyDescent="0.3">
      <c r="A234" t="s">
        <v>2060</v>
      </c>
      <c r="B234" s="91">
        <v>40603</v>
      </c>
      <c r="C234">
        <v>161216</v>
      </c>
      <c r="D234" s="92">
        <v>27129.13</v>
      </c>
    </row>
    <row r="235" spans="1:4" x14ac:dyDescent="0.3">
      <c r="A235" t="s">
        <v>2060</v>
      </c>
      <c r="B235" s="91">
        <v>40634</v>
      </c>
      <c r="C235">
        <v>147970</v>
      </c>
      <c r="D235" s="92">
        <v>21866.2</v>
      </c>
    </row>
    <row r="236" spans="1:4" x14ac:dyDescent="0.3">
      <c r="A236" t="s">
        <v>2060</v>
      </c>
      <c r="B236" s="91">
        <v>40664</v>
      </c>
      <c r="C236">
        <v>100935</v>
      </c>
      <c r="D236" s="92">
        <v>17609.64</v>
      </c>
    </row>
    <row r="237" spans="1:4" x14ac:dyDescent="0.3">
      <c r="A237" t="s">
        <v>2060</v>
      </c>
      <c r="B237" s="91">
        <v>40695</v>
      </c>
      <c r="C237">
        <v>75175</v>
      </c>
      <c r="D237" s="92">
        <v>11775.38</v>
      </c>
    </row>
    <row r="238" spans="1:4" x14ac:dyDescent="0.3">
      <c r="A238" t="s">
        <v>2060</v>
      </c>
      <c r="B238" s="91">
        <v>40725</v>
      </c>
      <c r="C238">
        <v>87118</v>
      </c>
      <c r="D238" s="92">
        <v>15897.91</v>
      </c>
    </row>
    <row r="239" spans="1:4" x14ac:dyDescent="0.3">
      <c r="A239" t="s">
        <v>2060</v>
      </c>
      <c r="B239" s="91">
        <v>40756</v>
      </c>
      <c r="C239">
        <v>137038</v>
      </c>
      <c r="D239" s="92">
        <v>23090.57</v>
      </c>
    </row>
    <row r="240" spans="1:4" x14ac:dyDescent="0.3">
      <c r="A240" t="s">
        <v>2060</v>
      </c>
      <c r="B240" s="91">
        <v>40787</v>
      </c>
      <c r="C240">
        <v>125912</v>
      </c>
      <c r="D240" s="92">
        <v>21918.5</v>
      </c>
    </row>
    <row r="241" spans="1:9" x14ac:dyDescent="0.3">
      <c r="A241" t="s">
        <v>2060</v>
      </c>
      <c r="B241" s="91">
        <v>40817</v>
      </c>
      <c r="C241">
        <v>173322</v>
      </c>
      <c r="D241" s="92">
        <v>27751.759999999998</v>
      </c>
    </row>
    <row r="242" spans="1:9" x14ac:dyDescent="0.3">
      <c r="A242" t="s">
        <v>2060</v>
      </c>
      <c r="B242" s="91">
        <v>40848</v>
      </c>
      <c r="C242">
        <v>176310</v>
      </c>
      <c r="D242" s="92">
        <v>30802.94</v>
      </c>
    </row>
    <row r="243" spans="1:9" x14ac:dyDescent="0.3">
      <c r="A243" t="s">
        <v>2061</v>
      </c>
      <c r="B243" s="91">
        <v>40878</v>
      </c>
      <c r="C243">
        <v>159419</v>
      </c>
      <c r="D243" s="92">
        <v>25287.37</v>
      </c>
    </row>
    <row r="244" spans="1:9" x14ac:dyDescent="0.3">
      <c r="A244" t="s">
        <v>2061</v>
      </c>
      <c r="B244" s="91">
        <v>40909</v>
      </c>
      <c r="C244">
        <v>145978</v>
      </c>
      <c r="D244" s="92">
        <v>25421.69</v>
      </c>
    </row>
    <row r="245" spans="1:9" x14ac:dyDescent="0.3">
      <c r="A245" t="s">
        <v>2061</v>
      </c>
      <c r="B245" s="91">
        <v>40940</v>
      </c>
      <c r="C245">
        <v>152576</v>
      </c>
      <c r="D245" s="92">
        <v>26546.54</v>
      </c>
    </row>
    <row r="246" spans="1:9" x14ac:dyDescent="0.3">
      <c r="A246" t="s">
        <v>2061</v>
      </c>
      <c r="B246" s="91">
        <v>40969</v>
      </c>
      <c r="C246">
        <v>167642</v>
      </c>
      <c r="D246" s="92">
        <v>28512.720000000001</v>
      </c>
    </row>
    <row r="247" spans="1:9" x14ac:dyDescent="0.3">
      <c r="A247" t="s">
        <v>2061</v>
      </c>
      <c r="B247" s="91">
        <v>41000</v>
      </c>
      <c r="C247">
        <v>125769</v>
      </c>
      <c r="D247" s="92">
        <v>20709.87</v>
      </c>
    </row>
    <row r="248" spans="1:9" x14ac:dyDescent="0.3">
      <c r="A248" t="s">
        <v>2061</v>
      </c>
      <c r="B248" s="91">
        <v>41030</v>
      </c>
      <c r="C248">
        <v>152275</v>
      </c>
      <c r="D248" s="92">
        <v>24619.47</v>
      </c>
      <c r="I248" s="93"/>
    </row>
    <row r="249" spans="1:9" x14ac:dyDescent="0.3">
      <c r="A249" t="s">
        <v>2061</v>
      </c>
      <c r="B249" s="91">
        <v>41061</v>
      </c>
      <c r="C249">
        <v>145278.6</v>
      </c>
      <c r="D249" s="92">
        <v>23218.5</v>
      </c>
    </row>
    <row r="250" spans="1:9" x14ac:dyDescent="0.3">
      <c r="A250" t="s">
        <v>2062</v>
      </c>
      <c r="B250" s="91">
        <v>41091</v>
      </c>
      <c r="C250">
        <f>111461.12+984.16</f>
        <v>112445.28</v>
      </c>
      <c r="D250" s="92">
        <v>22158.07</v>
      </c>
      <c r="I250" s="90"/>
    </row>
    <row r="251" spans="1:9" x14ac:dyDescent="0.3">
      <c r="A251" t="s">
        <v>2062</v>
      </c>
      <c r="B251" s="91">
        <v>41122</v>
      </c>
      <c r="C251">
        <f>90260.48+968.8</f>
        <v>91229.28</v>
      </c>
      <c r="D251" s="92">
        <v>19632.78</v>
      </c>
    </row>
    <row r="252" spans="1:9" x14ac:dyDescent="0.3">
      <c r="A252" t="s">
        <v>2062</v>
      </c>
      <c r="B252" s="91">
        <v>41153</v>
      </c>
      <c r="C252">
        <f>102671.36+957.76</f>
        <v>103629.12</v>
      </c>
      <c r="D252" s="92">
        <v>21924.080000000002</v>
      </c>
    </row>
    <row r="253" spans="1:9" x14ac:dyDescent="0.3">
      <c r="A253" t="s">
        <v>2062</v>
      </c>
      <c r="B253" s="91">
        <v>41183</v>
      </c>
      <c r="C253">
        <f>143122.4+1077.92</f>
        <v>144200.32000000001</v>
      </c>
      <c r="D253" s="92">
        <v>31778.89</v>
      </c>
    </row>
    <row r="254" spans="1:9" x14ac:dyDescent="0.3">
      <c r="A254" t="s">
        <v>2062</v>
      </c>
      <c r="B254" s="91">
        <v>41214</v>
      </c>
      <c r="C254">
        <f>105639.84+1216.32</f>
        <v>106856.16</v>
      </c>
      <c r="D254" s="92">
        <v>23534.61</v>
      </c>
    </row>
    <row r="255" spans="1:9" x14ac:dyDescent="0.3">
      <c r="A255" t="s">
        <v>2062</v>
      </c>
      <c r="B255" s="91">
        <v>41244</v>
      </c>
      <c r="C255">
        <f>141977.44+1388</f>
        <v>143365.44</v>
      </c>
      <c r="D255" s="92">
        <v>29806.26</v>
      </c>
    </row>
    <row r="256" spans="1:9" x14ac:dyDescent="0.3">
      <c r="A256" t="s">
        <v>2062</v>
      </c>
      <c r="B256" s="91">
        <v>41275</v>
      </c>
      <c r="C256">
        <f>124299.68+2225.92</f>
        <v>126525.59999999999</v>
      </c>
      <c r="D256" s="92">
        <v>29172.880000000001</v>
      </c>
    </row>
    <row r="257" spans="1:4" x14ac:dyDescent="0.3">
      <c r="A257" t="s">
        <v>2062</v>
      </c>
      <c r="B257" s="91">
        <v>41306</v>
      </c>
      <c r="C257">
        <f>107657.28+1082.24</f>
        <v>108739.52</v>
      </c>
      <c r="D257" s="92">
        <v>24885.96</v>
      </c>
    </row>
    <row r="258" spans="1:4" x14ac:dyDescent="0.3">
      <c r="A258" t="s">
        <v>2062</v>
      </c>
      <c r="B258" s="91">
        <v>41334</v>
      </c>
      <c r="C258">
        <f>89764+1262.88</f>
        <v>91026.880000000005</v>
      </c>
      <c r="D258" s="92">
        <v>22141.07</v>
      </c>
    </row>
    <row r="259" spans="1:4" x14ac:dyDescent="0.3">
      <c r="A259" t="s">
        <v>2062</v>
      </c>
      <c r="B259" s="91">
        <v>41365</v>
      </c>
      <c r="C259">
        <f>97302.43+1061.22</f>
        <v>98363.65</v>
      </c>
      <c r="D259" s="92">
        <v>20003.77</v>
      </c>
    </row>
    <row r="260" spans="1:4" x14ac:dyDescent="0.3">
      <c r="A260" t="s">
        <v>2062</v>
      </c>
      <c r="B260" s="91">
        <v>41395</v>
      </c>
      <c r="C260">
        <f>119929.4+1038.72</f>
        <v>120968.12</v>
      </c>
      <c r="D260" s="92">
        <v>24338.39</v>
      </c>
    </row>
    <row r="261" spans="1:4" x14ac:dyDescent="0.3">
      <c r="A261" t="s">
        <v>2062</v>
      </c>
      <c r="B261" s="91">
        <v>41426</v>
      </c>
      <c r="C261">
        <f>113208.35+1025.12</f>
        <v>114233.47</v>
      </c>
      <c r="D261" s="92">
        <v>22500.49</v>
      </c>
    </row>
    <row r="262" spans="1:4" x14ac:dyDescent="0.3">
      <c r="A262" t="s">
        <v>2062</v>
      </c>
      <c r="B262" s="91">
        <v>41456</v>
      </c>
      <c r="C262">
        <f>114319.3+1103.19</f>
        <v>115422.49</v>
      </c>
      <c r="D262" s="92">
        <v>21876.48</v>
      </c>
    </row>
    <row r="263" spans="1:4" x14ac:dyDescent="0.3">
      <c r="A263" t="s">
        <v>2062</v>
      </c>
      <c r="B263" s="91">
        <v>41487</v>
      </c>
      <c r="C263">
        <f>53729.77+1037.6</f>
        <v>54767.369999999995</v>
      </c>
      <c r="D263" s="92">
        <v>12607.04</v>
      </c>
    </row>
    <row r="264" spans="1:4" x14ac:dyDescent="0.3">
      <c r="A264" t="s">
        <v>2062</v>
      </c>
      <c r="B264" s="91">
        <v>41518</v>
      </c>
      <c r="C264">
        <f>46623.83+1014.72</f>
        <v>47638.55</v>
      </c>
      <c r="D264" s="92">
        <v>9161.1200000000008</v>
      </c>
    </row>
    <row r="265" spans="1:4" x14ac:dyDescent="0.3">
      <c r="A265" t="s">
        <v>2062</v>
      </c>
      <c r="B265" s="91">
        <v>41548</v>
      </c>
      <c r="C265">
        <f>48532.23+1225.15</f>
        <v>49757.380000000005</v>
      </c>
      <c r="D265" s="92">
        <v>10645.09</v>
      </c>
    </row>
    <row r="266" spans="1:4" x14ac:dyDescent="0.3">
      <c r="A266" t="s">
        <v>2062</v>
      </c>
      <c r="B266" s="91">
        <v>41579</v>
      </c>
      <c r="C266">
        <f>48751.68+1356.15</f>
        <v>50107.83</v>
      </c>
      <c r="D266" s="92">
        <v>13080.09</v>
      </c>
    </row>
    <row r="267" spans="1:4" x14ac:dyDescent="0.3">
      <c r="A267" t="s">
        <v>2062</v>
      </c>
      <c r="B267" s="91">
        <v>41609</v>
      </c>
      <c r="C267">
        <f>43215.59+1438.83</f>
        <v>44654.42</v>
      </c>
      <c r="D267" s="92">
        <v>8903.99</v>
      </c>
    </row>
    <row r="268" spans="1:4" x14ac:dyDescent="0.3">
      <c r="A268" t="s">
        <v>2062</v>
      </c>
      <c r="B268" s="91">
        <v>41640</v>
      </c>
      <c r="C268">
        <f>51957.99+1779.76</f>
        <v>53737.75</v>
      </c>
      <c r="D268" s="92">
        <v>13472.71</v>
      </c>
    </row>
    <row r="269" spans="1:4" x14ac:dyDescent="0.3">
      <c r="A269" t="s">
        <v>2062</v>
      </c>
      <c r="B269" s="91">
        <v>41671</v>
      </c>
      <c r="C269">
        <f>94778.82+1532.44</f>
        <v>96311.260000000009</v>
      </c>
      <c r="D269" s="92">
        <v>21344.79</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6" tint="0.59999389629810485"/>
    <pageSetUpPr fitToPage="1"/>
  </sheetPr>
  <dimension ref="A1:I32"/>
  <sheetViews>
    <sheetView workbookViewId="0"/>
  </sheetViews>
  <sheetFormatPr defaultRowHeight="14.4" x14ac:dyDescent="0.3"/>
  <cols>
    <col min="1" max="1" width="52.44140625" customWidth="1"/>
    <col min="2" max="2" width="11.109375" bestFit="1" customWidth="1"/>
    <col min="3" max="3" width="10.6640625" customWidth="1"/>
    <col min="4" max="4" width="10.88671875" customWidth="1"/>
    <col min="5" max="5" width="11.109375" bestFit="1" customWidth="1"/>
  </cols>
  <sheetData>
    <row r="1" spans="1:9" ht="15" x14ac:dyDescent="0.25">
      <c r="A1" t="s">
        <v>1642</v>
      </c>
      <c r="B1" t="s">
        <v>2354</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8204.4454901835925</v>
      </c>
      <c r="E3" s="33">
        <f>$B$16*12*HourlyRateAPAOMSupervisor*'Modelling Assumptions'!E101</f>
        <v>1560.8700000000001</v>
      </c>
      <c r="F3" s="33">
        <f>$B$16*12*HourlyRateAPAOMSupervisor*'Modelling Assumptions'!F101</f>
        <v>1599.89175</v>
      </c>
      <c r="G3" s="33">
        <f>$B$16*12*HourlyRateAPAOMSupervisor*'Modelling Assumptions'!G101</f>
        <v>1639.8890437499999</v>
      </c>
      <c r="H3" s="33">
        <f>$B$16*12*HourlyRateAPAOMSupervisor*'Modelling Assumptions'!H101</f>
        <v>1680.8862698437499</v>
      </c>
      <c r="I3" s="33">
        <f>$B$16*12*HourlyRateAPAOMSupervisor*'Modelling Assumptions'!I101</f>
        <v>1722.9084265898434</v>
      </c>
    </row>
    <row r="4" spans="1:9" ht="15" x14ac:dyDescent="0.25">
      <c r="A4" t="s">
        <v>1643</v>
      </c>
      <c r="B4" s="33"/>
      <c r="C4" s="33"/>
      <c r="D4" s="33">
        <f>SUM(E4:I4)</f>
        <v>1002119.031503906</v>
      </c>
      <c r="E4" s="33">
        <f>SUM(E9:E9)</f>
        <v>190649.99999999997</v>
      </c>
      <c r="F4" s="33">
        <f>SUM(F9:F9)</f>
        <v>195416.24999999997</v>
      </c>
      <c r="G4" s="33">
        <f>SUM(G9:G9)</f>
        <v>200301.65624999997</v>
      </c>
      <c r="H4" s="33">
        <f>SUM(H9:H9)</f>
        <v>205309.19765624995</v>
      </c>
      <c r="I4" s="33">
        <f>SUM(I9:I9)</f>
        <v>210441.92759765618</v>
      </c>
    </row>
    <row r="5" spans="1:9" ht="15" x14ac:dyDescent="0.25">
      <c r="A5" t="s">
        <v>1649</v>
      </c>
      <c r="B5" s="33"/>
      <c r="C5" s="33"/>
      <c r="D5" s="33">
        <f t="shared" ref="D5:D6" si="0">SUM(E5:I5)</f>
        <v>0</v>
      </c>
      <c r="E5" s="33">
        <v>0</v>
      </c>
      <c r="F5" s="33">
        <v>0</v>
      </c>
      <c r="G5" s="33">
        <v>0</v>
      </c>
      <c r="H5" s="33">
        <v>0</v>
      </c>
      <c r="I5" s="33">
        <v>0</v>
      </c>
    </row>
    <row r="6" spans="1:9" ht="15" x14ac:dyDescent="0.25">
      <c r="A6" t="s">
        <v>1650</v>
      </c>
      <c r="B6" s="33"/>
      <c r="C6" s="33"/>
      <c r="D6" s="33">
        <f t="shared" si="0"/>
        <v>0</v>
      </c>
      <c r="E6" s="33">
        <v>0</v>
      </c>
      <c r="F6" s="33">
        <v>0</v>
      </c>
      <c r="G6" s="33">
        <v>0</v>
      </c>
      <c r="H6" s="33">
        <v>0</v>
      </c>
      <c r="I6" s="33">
        <v>0</v>
      </c>
    </row>
    <row r="9" spans="1:9" ht="15" x14ac:dyDescent="0.25">
      <c r="A9" t="s">
        <v>3063</v>
      </c>
      <c r="B9" s="40">
        <f>B13*12</f>
        <v>186000</v>
      </c>
      <c r="C9" t="s">
        <v>1757</v>
      </c>
      <c r="E9" s="33">
        <f>$B9*'Modelling Assumptions'!E$101</f>
        <v>190649.99999999997</v>
      </c>
      <c r="F9" s="33">
        <f>$B9*'Modelling Assumptions'!F$101</f>
        <v>195416.24999999997</v>
      </c>
      <c r="G9" s="33">
        <f>$B9*'Modelling Assumptions'!G$101</f>
        <v>200301.65624999997</v>
      </c>
      <c r="H9" s="33">
        <f>$B9*'Modelling Assumptions'!H$101</f>
        <v>205309.19765624995</v>
      </c>
      <c r="I9" s="33">
        <f>$B9*'Modelling Assumptions'!I$101</f>
        <v>210441.92759765618</v>
      </c>
    </row>
    <row r="11" spans="1:9" ht="15" x14ac:dyDescent="0.25">
      <c r="A11" t="s">
        <v>3049</v>
      </c>
    </row>
    <row r="12" spans="1:9" ht="15" x14ac:dyDescent="0.25">
      <c r="A12" t="s">
        <v>2068</v>
      </c>
      <c r="B12" s="90">
        <v>140000</v>
      </c>
      <c r="C12" t="s">
        <v>2069</v>
      </c>
    </row>
    <row r="13" spans="1:9" ht="15" x14ac:dyDescent="0.25">
      <c r="A13" t="s">
        <v>3052</v>
      </c>
      <c r="B13" s="55">
        <v>15500</v>
      </c>
      <c r="C13" t="s">
        <v>1908</v>
      </c>
      <c r="D13" t="s">
        <v>3051</v>
      </c>
    </row>
    <row r="15" spans="1:9" ht="15" x14ac:dyDescent="0.25">
      <c r="A15" t="s">
        <v>2686</v>
      </c>
    </row>
    <row r="16" spans="1:9" ht="15" x14ac:dyDescent="0.25">
      <c r="A16" t="s">
        <v>2687</v>
      </c>
      <c r="B16">
        <v>1</v>
      </c>
      <c r="C16" t="s">
        <v>2688</v>
      </c>
    </row>
    <row r="20" spans="1:5" ht="15" x14ac:dyDescent="0.25">
      <c r="A20" s="157" t="s">
        <v>2065</v>
      </c>
      <c r="B20" s="157"/>
      <c r="C20" s="157"/>
      <c r="D20" s="157"/>
      <c r="E20" s="157"/>
    </row>
    <row r="21" spans="1:5" ht="15" x14ac:dyDescent="0.25">
      <c r="A21" t="s">
        <v>3053</v>
      </c>
      <c r="B21" s="90">
        <f>POWER(1+InflationContractorLabour,2014-2008)*B12</f>
        <v>162357.07854980463</v>
      </c>
      <c r="C21" t="s">
        <v>3050</v>
      </c>
    </row>
    <row r="22" spans="1:5" ht="15" x14ac:dyDescent="0.25">
      <c r="A22" t="s">
        <v>3054</v>
      </c>
      <c r="B22" s="101">
        <f>POWER(10,LOG10(B13*12/B12)/(2014-2008))-1</f>
        <v>4.8489658860612961E-2</v>
      </c>
    </row>
    <row r="24" spans="1:5" ht="15" x14ac:dyDescent="0.25">
      <c r="A24" t="s">
        <v>3055</v>
      </c>
    </row>
    <row r="25" spans="1:5" ht="15" x14ac:dyDescent="0.25">
      <c r="A25" s="91">
        <v>39356</v>
      </c>
      <c r="B25" s="92">
        <v>26660.12</v>
      </c>
      <c r="C25" t="s">
        <v>3056</v>
      </c>
    </row>
    <row r="26" spans="1:5" ht="15" x14ac:dyDescent="0.25">
      <c r="A26" s="91">
        <v>39387</v>
      </c>
      <c r="B26" s="92">
        <v>18285.34</v>
      </c>
      <c r="C26" t="s">
        <v>3058</v>
      </c>
    </row>
    <row r="27" spans="1:5" ht="15" x14ac:dyDescent="0.25">
      <c r="A27" s="91">
        <v>39417</v>
      </c>
      <c r="B27" s="92">
        <v>12912.1</v>
      </c>
      <c r="C27" t="s">
        <v>3059</v>
      </c>
    </row>
    <row r="28" spans="1:5" ht="15.75" thickBot="1" x14ac:dyDescent="0.3">
      <c r="A28" s="91">
        <v>39448</v>
      </c>
      <c r="B28" s="92">
        <v>19398.09</v>
      </c>
      <c r="C28" t="s">
        <v>3057</v>
      </c>
    </row>
    <row r="29" spans="1:5" ht="15.75" thickTop="1" x14ac:dyDescent="0.25">
      <c r="A29" s="290" t="s">
        <v>3060</v>
      </c>
      <c r="B29" s="291">
        <f>AVERAGE(B25:B28)</f>
        <v>19313.912499999999</v>
      </c>
      <c r="C29" t="s">
        <v>1908</v>
      </c>
    </row>
    <row r="31" spans="1:5" x14ac:dyDescent="0.3">
      <c r="A31" t="s">
        <v>3062</v>
      </c>
      <c r="B31" s="90">
        <f>POWER(1+InflationContractorLabour,2014-2008)*B29</f>
        <v>22398.217206189667</v>
      </c>
      <c r="D31" t="s">
        <v>3069</v>
      </c>
    </row>
    <row r="32" spans="1:5" x14ac:dyDescent="0.3">
      <c r="A32" t="s">
        <v>3061</v>
      </c>
      <c r="B32" s="90">
        <f>POWER(1+B22,2014-2008)*B29</f>
        <v>25659.912321428583</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6" tint="0.59999389629810485"/>
    <pageSetUpPr fitToPage="1"/>
  </sheetPr>
  <dimension ref="A1:I12"/>
  <sheetViews>
    <sheetView workbookViewId="0"/>
  </sheetViews>
  <sheetFormatPr defaultRowHeight="14.4" x14ac:dyDescent="0.3"/>
  <cols>
    <col min="1" max="1" width="52.44140625" customWidth="1"/>
    <col min="4" max="4" width="10.88671875" customWidth="1"/>
    <col min="5" max="5" width="11.109375" bestFit="1" customWidth="1"/>
  </cols>
  <sheetData>
    <row r="1" spans="1:9" x14ac:dyDescent="0.25">
      <c r="A1" t="s">
        <v>1642</v>
      </c>
      <c r="B1" t="s">
        <v>2214</v>
      </c>
    </row>
    <row r="2" spans="1:9"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x14ac:dyDescent="0.25">
      <c r="A3" t="s">
        <v>1648</v>
      </c>
      <c r="B3" s="40"/>
      <c r="C3" s="33"/>
      <c r="D3" s="33">
        <f>SUM(E3:I3)</f>
        <v>8204.4454901835925</v>
      </c>
      <c r="E3" s="33">
        <f>$B$12*12*HourlyRateAPAOMSupervisor*'Modelling Assumptions'!E101</f>
        <v>1560.8700000000001</v>
      </c>
      <c r="F3" s="33">
        <f>$B$12*12*HourlyRateAPAOMSupervisor*'Modelling Assumptions'!F101</f>
        <v>1599.89175</v>
      </c>
      <c r="G3" s="33">
        <f>$B$12*12*HourlyRateAPAOMSupervisor*'Modelling Assumptions'!G101</f>
        <v>1639.8890437499999</v>
      </c>
      <c r="H3" s="33">
        <f>$B$12*12*HourlyRateAPAOMSupervisor*'Modelling Assumptions'!H101</f>
        <v>1680.8862698437499</v>
      </c>
      <c r="I3" s="33">
        <f>$B$12*12*HourlyRateAPAOMSupervisor*'Modelling Assumptions'!I101</f>
        <v>1722.9084265898434</v>
      </c>
    </row>
    <row r="4" spans="1:9" x14ac:dyDescent="0.25">
      <c r="A4" t="s">
        <v>1643</v>
      </c>
      <c r="B4" s="33"/>
      <c r="C4" s="33"/>
      <c r="D4" s="33">
        <f>SUM(E4:I4)</f>
        <v>253439.13570937497</v>
      </c>
      <c r="E4" s="33">
        <f>12*$B9*'Modelling Assumptions'!E$101</f>
        <v>48215.999999999993</v>
      </c>
      <c r="F4" s="33">
        <f>12*$B9*'Modelling Assumptions'!F$101</f>
        <v>49421.399999999994</v>
      </c>
      <c r="G4" s="33">
        <f>12*$B9*'Modelling Assumptions'!G$101</f>
        <v>50656.934999999998</v>
      </c>
      <c r="H4" s="33">
        <f>12*$B9*'Modelling Assumptions'!H$101</f>
        <v>51923.358374999989</v>
      </c>
      <c r="I4" s="33">
        <f>12*$B9*'Modelling Assumptions'!I$101</f>
        <v>53221.44233437498</v>
      </c>
    </row>
    <row r="5" spans="1:9" x14ac:dyDescent="0.25">
      <c r="A5" t="s">
        <v>1649</v>
      </c>
      <c r="B5" s="33"/>
      <c r="C5" s="33"/>
      <c r="D5" s="33">
        <f t="shared" ref="D5:D6" si="0">SUM(E5:I5)</f>
        <v>0</v>
      </c>
      <c r="E5" s="33">
        <v>0</v>
      </c>
      <c r="F5" s="33">
        <v>0</v>
      </c>
      <c r="G5" s="33">
        <v>0</v>
      </c>
      <c r="H5" s="33">
        <v>0</v>
      </c>
      <c r="I5" s="33">
        <v>0</v>
      </c>
    </row>
    <row r="6" spans="1:9" x14ac:dyDescent="0.25">
      <c r="A6" t="s">
        <v>1650</v>
      </c>
      <c r="B6" s="33"/>
      <c r="C6" s="33"/>
      <c r="D6" s="33">
        <f t="shared" si="0"/>
        <v>0</v>
      </c>
      <c r="E6" s="33">
        <v>0</v>
      </c>
      <c r="F6" s="33">
        <v>0</v>
      </c>
      <c r="G6" s="33">
        <v>0</v>
      </c>
      <c r="H6" s="33">
        <v>0</v>
      </c>
      <c r="I6" s="33">
        <v>0</v>
      </c>
    </row>
    <row r="9" spans="1:9" x14ac:dyDescent="0.25">
      <c r="A9" t="s">
        <v>1709</v>
      </c>
      <c r="B9" s="55">
        <v>3920</v>
      </c>
      <c r="C9" t="s">
        <v>1908</v>
      </c>
      <c r="E9" s="33" t="s">
        <v>3345</v>
      </c>
      <c r="F9" s="33"/>
      <c r="G9" s="33"/>
      <c r="H9" s="33"/>
      <c r="I9" s="33"/>
    </row>
    <row r="11" spans="1:9" x14ac:dyDescent="0.25">
      <c r="A11" s="301" t="s">
        <v>2686</v>
      </c>
      <c r="B11" s="301"/>
      <c r="C11" s="301"/>
    </row>
    <row r="12" spans="1:9" x14ac:dyDescent="0.25">
      <c r="A12" s="301" t="s">
        <v>2687</v>
      </c>
      <c r="B12" s="301">
        <v>1</v>
      </c>
      <c r="C12" s="301" t="s">
        <v>3346</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6" tint="0.59999389629810485"/>
    <pageSetUpPr fitToPage="1"/>
  </sheetPr>
  <dimension ref="A1:I62"/>
  <sheetViews>
    <sheetView workbookViewId="0"/>
  </sheetViews>
  <sheetFormatPr defaultRowHeight="14.4" x14ac:dyDescent="0.3"/>
  <cols>
    <col min="1" max="1" width="57.6640625" customWidth="1"/>
    <col min="2" max="2" width="28.33203125" customWidth="1"/>
    <col min="3" max="3" width="13.6640625" customWidth="1"/>
    <col min="4" max="4" width="14" customWidth="1"/>
  </cols>
  <sheetData>
    <row r="1" spans="1:9" ht="15" x14ac:dyDescent="0.25">
      <c r="A1" t="s">
        <v>1642</v>
      </c>
      <c r="B1" t="s">
        <v>1828</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115200.89814030398</v>
      </c>
      <c r="E3" s="33">
        <f t="shared" ref="E3:I6" si="0">E21</f>
        <v>21916.609245</v>
      </c>
      <c r="F3" s="33">
        <f t="shared" si="0"/>
        <v>22464.524476125</v>
      </c>
      <c r="G3" s="33">
        <f t="shared" si="0"/>
        <v>23026.137588028127</v>
      </c>
      <c r="H3" s="33">
        <f t="shared" si="0"/>
        <v>23601.791027728825</v>
      </c>
      <c r="I3" s="33">
        <f t="shared" si="0"/>
        <v>24191.835803422044</v>
      </c>
    </row>
    <row r="4" spans="1:9" ht="15" x14ac:dyDescent="0.25">
      <c r="A4" t="s">
        <v>1643</v>
      </c>
      <c r="B4" s="33"/>
      <c r="C4" s="33"/>
      <c r="D4" s="33">
        <f t="shared" ref="D4:D6" si="1">SUM(E4:I4)</f>
        <v>37732.028201669993</v>
      </c>
      <c r="E4" s="33">
        <f t="shared" si="0"/>
        <v>7107</v>
      </c>
      <c r="F4" s="33">
        <f t="shared" si="0"/>
        <v>7320.21</v>
      </c>
      <c r="G4" s="33">
        <f t="shared" si="0"/>
        <v>7539.8163000000004</v>
      </c>
      <c r="H4" s="33">
        <f t="shared" si="0"/>
        <v>7766.010788999999</v>
      </c>
      <c r="I4" s="33">
        <f t="shared" si="0"/>
        <v>7998.991112669999</v>
      </c>
    </row>
    <row r="5" spans="1:9" ht="15" x14ac:dyDescent="0.25">
      <c r="A5" t="s">
        <v>1649</v>
      </c>
      <c r="B5" s="33"/>
      <c r="C5" s="33"/>
      <c r="D5" s="33">
        <f t="shared" si="1"/>
        <v>0</v>
      </c>
      <c r="E5" s="33">
        <f t="shared" si="0"/>
        <v>0</v>
      </c>
      <c r="F5" s="33">
        <f t="shared" si="0"/>
        <v>0</v>
      </c>
      <c r="G5" s="33">
        <f t="shared" si="0"/>
        <v>0</v>
      </c>
      <c r="H5" s="33">
        <f t="shared" si="0"/>
        <v>0</v>
      </c>
      <c r="I5" s="33">
        <f t="shared" si="0"/>
        <v>0</v>
      </c>
    </row>
    <row r="6" spans="1:9" ht="15" x14ac:dyDescent="0.25">
      <c r="A6" t="s">
        <v>1650</v>
      </c>
      <c r="B6" s="33"/>
      <c r="C6" s="33"/>
      <c r="D6" s="33">
        <f t="shared" si="1"/>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c r="C10" t="s">
        <v>1829</v>
      </c>
    </row>
    <row r="11" spans="1:9" ht="15" x14ac:dyDescent="0.25">
      <c r="B11" s="7"/>
    </row>
    <row r="12" spans="1:9" ht="15" x14ac:dyDescent="0.25">
      <c r="A12" s="12" t="s">
        <v>1866</v>
      </c>
      <c r="B12" s="12"/>
      <c r="C12" s="76">
        <f>265</f>
        <v>265</v>
      </c>
      <c r="D12" t="s">
        <v>1916</v>
      </c>
      <c r="E12" t="s">
        <v>3208</v>
      </c>
    </row>
    <row r="14" spans="1:9" s="301" customFormat="1" ht="15" x14ac:dyDescent="0.25">
      <c r="A14" s="157" t="s">
        <v>1992</v>
      </c>
      <c r="B14" s="157"/>
      <c r="C14" s="157"/>
    </row>
    <row r="15" spans="1:9" s="301" customFormat="1" ht="15" x14ac:dyDescent="0.25">
      <c r="A15" s="301" t="s">
        <v>3209</v>
      </c>
    </row>
    <row r="16" spans="1:9" s="301" customFormat="1" ht="15" x14ac:dyDescent="0.25">
      <c r="A16" s="301" t="s">
        <v>3210</v>
      </c>
    </row>
    <row r="17" spans="1:9" s="301" customFormat="1" ht="15" x14ac:dyDescent="0.25">
      <c r="A17" s="301" t="s">
        <v>3211</v>
      </c>
    </row>
    <row r="19" spans="1:9" ht="15" x14ac:dyDescent="0.25">
      <c r="A19" s="313" t="s">
        <v>1646</v>
      </c>
      <c r="B19" s="11"/>
      <c r="C19" s="314"/>
    </row>
    <row r="20" spans="1:9" ht="45" x14ac:dyDescent="0.25">
      <c r="A20" s="14"/>
      <c r="B20" s="87" t="s">
        <v>2712</v>
      </c>
      <c r="C20" s="87" t="s">
        <v>2720</v>
      </c>
      <c r="D20" s="62" t="s">
        <v>1655</v>
      </c>
      <c r="E20" s="30" t="str">
        <f>Summary!C4</f>
        <v>2015/16</v>
      </c>
      <c r="F20" s="30" t="str">
        <f>Summary!D4</f>
        <v>2016/17</v>
      </c>
      <c r="G20" s="30" t="str">
        <f>Summary!E4</f>
        <v>2017/18</v>
      </c>
      <c r="H20" s="30" t="str">
        <f>Summary!F4</f>
        <v>2018/19</v>
      </c>
      <c r="I20" s="30" t="str">
        <f>Summary!G4</f>
        <v>2019/20</v>
      </c>
    </row>
    <row r="21" spans="1:9" ht="15" x14ac:dyDescent="0.25">
      <c r="A21" s="14" t="s">
        <v>1648</v>
      </c>
      <c r="B21" s="40">
        <f>B39*HourlyRateAPAMaintenanceStaff+B45*HourlyRateAPAOMSupervisor</f>
        <v>21382.057800000002</v>
      </c>
      <c r="C21" s="40">
        <f>B21</f>
        <v>21382.057800000002</v>
      </c>
      <c r="D21" s="40">
        <f>SUM(E21:I21)</f>
        <v>115200.89814030398</v>
      </c>
      <c r="E21" s="40">
        <f>$C21*'Modelling Assumptions'!E$101</f>
        <v>21916.609245</v>
      </c>
      <c r="F21" s="40">
        <f>$C21*'Modelling Assumptions'!F$101</f>
        <v>22464.524476125</v>
      </c>
      <c r="G21" s="40">
        <f>$C21*'Modelling Assumptions'!G$101</f>
        <v>23026.137588028127</v>
      </c>
      <c r="H21" s="40">
        <f>$C21*'Modelling Assumptions'!H$101</f>
        <v>23601.791027728825</v>
      </c>
      <c r="I21" s="40">
        <f>$C21*'Modelling Assumptions'!I$101</f>
        <v>24191.835803422044</v>
      </c>
    </row>
    <row r="22" spans="1:9" ht="15" x14ac:dyDescent="0.25">
      <c r="A22" s="14" t="s">
        <v>1643</v>
      </c>
      <c r="B22" s="40">
        <f>B49+B50</f>
        <v>6900</v>
      </c>
      <c r="C22" s="40">
        <f>B22</f>
        <v>6900</v>
      </c>
      <c r="D22" s="40">
        <f t="shared" ref="D22:D24" si="2">SUM(E22:I22)</f>
        <v>37732.028201669993</v>
      </c>
      <c r="E22" s="40">
        <f>$C22*'Modelling Assumptions'!E$102</f>
        <v>7107</v>
      </c>
      <c r="F22" s="40">
        <f>$C22*'Modelling Assumptions'!F$102</f>
        <v>7320.21</v>
      </c>
      <c r="G22" s="40">
        <f>$C22*'Modelling Assumptions'!G$102</f>
        <v>7539.8163000000004</v>
      </c>
      <c r="H22" s="40">
        <f>$C22*'Modelling Assumptions'!H$102</f>
        <v>7766.010788999999</v>
      </c>
      <c r="I22" s="40">
        <f>$C22*'Modelling Assumptions'!I$102</f>
        <v>7998.991112669999</v>
      </c>
    </row>
    <row r="23" spans="1:9" ht="15" x14ac:dyDescent="0.25">
      <c r="A23" s="14" t="s">
        <v>1649</v>
      </c>
      <c r="B23" s="40">
        <v>0</v>
      </c>
      <c r="C23" s="40">
        <f t="shared" ref="C23:C24" si="3">B23*$C$12</f>
        <v>0</v>
      </c>
      <c r="D23" s="40">
        <f t="shared" si="2"/>
        <v>0</v>
      </c>
      <c r="E23" s="40">
        <f>$C23*'Modelling Assumptions'!E$101</f>
        <v>0</v>
      </c>
      <c r="F23" s="40">
        <f>$C23*'Modelling Assumptions'!F$101</f>
        <v>0</v>
      </c>
      <c r="G23" s="40">
        <f>$C23*'Modelling Assumptions'!G$101</f>
        <v>0</v>
      </c>
      <c r="H23" s="40">
        <f>$C23*'Modelling Assumptions'!H$101</f>
        <v>0</v>
      </c>
      <c r="I23" s="40">
        <f>$C23*'Modelling Assumptions'!I$101</f>
        <v>0</v>
      </c>
    </row>
    <row r="24" spans="1:9" ht="15" x14ac:dyDescent="0.25">
      <c r="A24" s="14" t="s">
        <v>1650</v>
      </c>
      <c r="B24" s="40">
        <v>0</v>
      </c>
      <c r="C24" s="40">
        <f t="shared" si="3"/>
        <v>0</v>
      </c>
      <c r="D24" s="40">
        <f t="shared" si="2"/>
        <v>0</v>
      </c>
      <c r="E24" s="40">
        <f>$C24*'Modelling Assumptions'!E$102</f>
        <v>0</v>
      </c>
      <c r="F24" s="40">
        <f>$C24*'Modelling Assumptions'!F$102</f>
        <v>0</v>
      </c>
      <c r="G24" s="40">
        <f>$C24*'Modelling Assumptions'!G$102</f>
        <v>0</v>
      </c>
      <c r="H24" s="40">
        <f>$C24*'Modelling Assumptions'!H$102</f>
        <v>0</v>
      </c>
      <c r="I24" s="40">
        <f>$C24*'Modelling Assumptions'!I$102</f>
        <v>0</v>
      </c>
    </row>
    <row r="27" spans="1:9" ht="15" x14ac:dyDescent="0.25">
      <c r="A27" s="59" t="s">
        <v>1928</v>
      </c>
      <c r="B27" s="10"/>
      <c r="C27" s="10"/>
      <c r="D27" s="301"/>
    </row>
    <row r="28" spans="1:9" ht="15" x14ac:dyDescent="0.25">
      <c r="A28" s="14" t="s">
        <v>1929</v>
      </c>
      <c r="B28" s="15">
        <v>152</v>
      </c>
      <c r="D28" t="s">
        <v>3206</v>
      </c>
    </row>
    <row r="29" spans="1:9" x14ac:dyDescent="0.3">
      <c r="A29" s="14" t="s">
        <v>1930</v>
      </c>
      <c r="B29" s="15">
        <f>C12-B28</f>
        <v>113</v>
      </c>
    </row>
    <row r="30" spans="1:9" x14ac:dyDescent="0.3">
      <c r="A30" s="14" t="s">
        <v>1945</v>
      </c>
      <c r="B30" s="77">
        <v>0.2</v>
      </c>
      <c r="D30" t="s">
        <v>3205</v>
      </c>
    </row>
    <row r="31" spans="1:9" x14ac:dyDescent="0.3">
      <c r="A31" s="14" t="s">
        <v>2312</v>
      </c>
      <c r="B31" s="77"/>
      <c r="D31" t="s">
        <v>1946</v>
      </c>
    </row>
    <row r="32" spans="1:9" x14ac:dyDescent="0.3">
      <c r="A32" s="14"/>
      <c r="B32" s="77"/>
    </row>
    <row r="33" spans="1:4" x14ac:dyDescent="0.3">
      <c r="A33" s="14"/>
      <c r="B33" s="77"/>
    </row>
    <row r="35" spans="1:4" x14ac:dyDescent="0.3">
      <c r="A35" s="59" t="s">
        <v>2313</v>
      </c>
      <c r="B35" s="59" t="s">
        <v>3207</v>
      </c>
      <c r="C35" s="10"/>
      <c r="D35" s="301"/>
    </row>
    <row r="36" spans="1:4" x14ac:dyDescent="0.3">
      <c r="A36" s="14" t="s">
        <v>1929</v>
      </c>
      <c r="B36" s="15">
        <v>10</v>
      </c>
      <c r="C36" t="s">
        <v>1932</v>
      </c>
    </row>
    <row r="37" spans="1:4" x14ac:dyDescent="0.3">
      <c r="A37" s="14" t="s">
        <v>1933</v>
      </c>
      <c r="B37" s="15">
        <v>30</v>
      </c>
      <c r="C37" t="s">
        <v>1935</v>
      </c>
    </row>
    <row r="38" spans="1:4" x14ac:dyDescent="0.3">
      <c r="A38" s="14" t="s">
        <v>1934</v>
      </c>
      <c r="B38" s="15">
        <v>360</v>
      </c>
      <c r="C38" t="s">
        <v>1947</v>
      </c>
    </row>
    <row r="39" spans="1:4" x14ac:dyDescent="0.3">
      <c r="A39" s="14" t="s">
        <v>1887</v>
      </c>
      <c r="B39" s="50">
        <f>(B28*B36+B29*(1-B30)*B37+B29*B38*B30)/60</f>
        <v>206.13333333333333</v>
      </c>
      <c r="C39" t="s">
        <v>1936</v>
      </c>
    </row>
    <row r="41" spans="1:4" x14ac:dyDescent="0.3">
      <c r="A41" s="59" t="s">
        <v>2314</v>
      </c>
      <c r="B41" s="59"/>
      <c r="C41" s="10"/>
      <c r="D41" s="301"/>
    </row>
    <row r="42" spans="1:4" x14ac:dyDescent="0.3">
      <c r="A42" s="14" t="s">
        <v>1929</v>
      </c>
      <c r="B42" s="7">
        <v>0</v>
      </c>
      <c r="C42" t="s">
        <v>1932</v>
      </c>
    </row>
    <row r="43" spans="1:4" x14ac:dyDescent="0.3">
      <c r="A43" s="14" t="s">
        <v>1933</v>
      </c>
      <c r="B43" s="7">
        <v>0</v>
      </c>
      <c r="C43" t="s">
        <v>1935</v>
      </c>
    </row>
    <row r="44" spans="1:4" x14ac:dyDescent="0.3">
      <c r="A44" s="14" t="s">
        <v>2315</v>
      </c>
      <c r="B44" s="7">
        <v>15</v>
      </c>
      <c r="C44" t="s">
        <v>1819</v>
      </c>
    </row>
    <row r="45" spans="1:4" x14ac:dyDescent="0.3">
      <c r="A45" s="14" t="s">
        <v>1887</v>
      </c>
      <c r="B45" s="50">
        <f>(B28*B42+B29*(1-B30)*B43+B29*B44*B30)/60</f>
        <v>5.65</v>
      </c>
      <c r="C45" t="s">
        <v>1936</v>
      </c>
    </row>
    <row r="48" spans="1:4" x14ac:dyDescent="0.3">
      <c r="A48" s="59" t="s">
        <v>2127</v>
      </c>
      <c r="B48" s="59"/>
      <c r="C48" s="59"/>
      <c r="D48" s="301"/>
    </row>
    <row r="49" spans="1:6" x14ac:dyDescent="0.3">
      <c r="A49" s="14" t="s">
        <v>2795</v>
      </c>
      <c r="B49" s="55">
        <v>500</v>
      </c>
      <c r="C49" t="s">
        <v>1757</v>
      </c>
      <c r="D49" t="s">
        <v>3075</v>
      </c>
    </row>
    <row r="50" spans="1:6" x14ac:dyDescent="0.3">
      <c r="A50" t="s">
        <v>2773</v>
      </c>
      <c r="B50" s="55">
        <v>6400</v>
      </c>
      <c r="C50" t="s">
        <v>1757</v>
      </c>
      <c r="D50" t="s">
        <v>3075</v>
      </c>
    </row>
    <row r="51" spans="1:6" x14ac:dyDescent="0.3">
      <c r="D51" t="s">
        <v>3204</v>
      </c>
    </row>
    <row r="62" spans="1:6" x14ac:dyDescent="0.3">
      <c r="F62" s="301"/>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pageSetUpPr fitToPage="1"/>
  </sheetPr>
  <dimension ref="A1:S105"/>
  <sheetViews>
    <sheetView topLeftCell="A70" workbookViewId="0">
      <selection activeCell="A10" sqref="A10"/>
    </sheetView>
  </sheetViews>
  <sheetFormatPr defaultRowHeight="14.4" x14ac:dyDescent="0.3"/>
  <cols>
    <col min="1" max="1" width="44.33203125" customWidth="1"/>
    <col min="2" max="2" width="13.88671875" bestFit="1" customWidth="1"/>
    <col min="3" max="3" width="2.6640625" customWidth="1"/>
  </cols>
  <sheetData>
    <row r="1" spans="1:4" ht="18.75" x14ac:dyDescent="0.3">
      <c r="B1" s="164" t="str">
        <f ca="1">UPPER(RIGHT(CELL("filename",A1),LEN(CELL("filename",A1))-FIND("]",CELL("filename",A1))))</f>
        <v>MODELLING ASSUMPTIONS</v>
      </c>
    </row>
    <row r="2" spans="1:4" s="301" customFormat="1" ht="15" x14ac:dyDescent="0.25">
      <c r="A2" s="167" t="s">
        <v>3454</v>
      </c>
    </row>
    <row r="3" spans="1:4" s="301" customFormat="1" ht="15" x14ac:dyDescent="0.25"/>
    <row r="4" spans="1:4" ht="15" x14ac:dyDescent="0.25">
      <c r="B4" s="90"/>
    </row>
    <row r="5" spans="1:4" ht="15" x14ac:dyDescent="0.25">
      <c r="A5" s="34"/>
    </row>
    <row r="6" spans="1:4" ht="15" x14ac:dyDescent="0.25">
      <c r="A6" s="34" t="s">
        <v>2714</v>
      </c>
    </row>
    <row r="7" spans="1:4" ht="15" x14ac:dyDescent="0.25">
      <c r="A7" s="34" t="s">
        <v>2716</v>
      </c>
      <c r="B7" s="163" t="s">
        <v>2717</v>
      </c>
    </row>
    <row r="8" spans="1:4" ht="15" x14ac:dyDescent="0.25">
      <c r="A8" t="s">
        <v>2713</v>
      </c>
      <c r="B8">
        <v>2014</v>
      </c>
      <c r="D8" t="str">
        <f>CONCATENATE("First year of the Financial Year ",B8,"/",(B8+1-2000))</f>
        <v>First year of the Financial Year 2014/15</v>
      </c>
    </row>
    <row r="9" spans="1:4" ht="15" x14ac:dyDescent="0.25">
      <c r="A9" s="34"/>
    </row>
    <row r="10" spans="1:4" ht="15" x14ac:dyDescent="0.25">
      <c r="A10" s="34" t="s">
        <v>3096</v>
      </c>
    </row>
    <row r="11" spans="1:4" ht="15" x14ac:dyDescent="0.25">
      <c r="A11" s="34"/>
    </row>
    <row r="12" spans="1:4" ht="15" x14ac:dyDescent="0.25">
      <c r="A12" s="34"/>
    </row>
    <row r="13" spans="1:4" ht="15" x14ac:dyDescent="0.25">
      <c r="A13" s="8" t="s">
        <v>2381</v>
      </c>
    </row>
    <row r="14" spans="1:4" ht="15" x14ac:dyDescent="0.25">
      <c r="A14" s="34" t="s">
        <v>3370</v>
      </c>
      <c r="B14" s="40">
        <f t="shared" ref="B14:B19" si="0">B22*(1+HCCPercentage)</f>
        <v>100.251</v>
      </c>
      <c r="D14" t="s">
        <v>3117</v>
      </c>
    </row>
    <row r="15" spans="1:4" ht="15" x14ac:dyDescent="0.25">
      <c r="A15" s="34" t="s">
        <v>3371</v>
      </c>
      <c r="B15" s="40">
        <f t="shared" si="0"/>
        <v>126.9</v>
      </c>
      <c r="D15" t="s">
        <v>3117</v>
      </c>
    </row>
    <row r="16" spans="1:4" s="301" customFormat="1" ht="15" x14ac:dyDescent="0.25">
      <c r="A16" s="34" t="s">
        <v>3372</v>
      </c>
      <c r="B16" s="40">
        <f t="shared" si="0"/>
        <v>126.9</v>
      </c>
      <c r="D16" s="301" t="s">
        <v>3117</v>
      </c>
    </row>
    <row r="17" spans="1:19" ht="15" x14ac:dyDescent="0.25">
      <c r="A17" s="34" t="s">
        <v>3373</v>
      </c>
      <c r="B17" s="40">
        <f t="shared" si="0"/>
        <v>153.54900000000001</v>
      </c>
      <c r="D17" t="s">
        <v>3117</v>
      </c>
    </row>
    <row r="18" spans="1:19" ht="15" x14ac:dyDescent="0.25">
      <c r="A18" s="34" t="s">
        <v>3374</v>
      </c>
      <c r="B18" s="40">
        <f t="shared" si="0"/>
        <v>140.85900000000001</v>
      </c>
      <c r="D18" t="s">
        <v>3117</v>
      </c>
    </row>
    <row r="19" spans="1:19" s="301" customFormat="1" ht="15" x14ac:dyDescent="0.25">
      <c r="A19" s="34" t="s">
        <v>3383</v>
      </c>
      <c r="B19" s="40">
        <f t="shared" si="0"/>
        <v>109.13400000000001</v>
      </c>
      <c r="D19" s="301" t="s">
        <v>3117</v>
      </c>
    </row>
    <row r="20" spans="1:19" s="301" customFormat="1" ht="15" x14ac:dyDescent="0.25">
      <c r="A20" s="34" t="s">
        <v>3375</v>
      </c>
      <c r="B20" s="40">
        <f>B28*(1+HCCPercentage)</f>
        <v>109.13400000000001</v>
      </c>
      <c r="D20" s="301" t="s">
        <v>3117</v>
      </c>
    </row>
    <row r="21" spans="1:19" ht="15" x14ac:dyDescent="0.25">
      <c r="A21" s="34"/>
      <c r="B21" s="55"/>
    </row>
    <row r="22" spans="1:19" ht="15" x14ac:dyDescent="0.25">
      <c r="A22" s="34" t="s">
        <v>2046</v>
      </c>
      <c r="B22" s="55">
        <v>79</v>
      </c>
      <c r="D22" t="s">
        <v>2073</v>
      </c>
      <c r="I22" t="s">
        <v>3095</v>
      </c>
    </row>
    <row r="23" spans="1:19" ht="15" x14ac:dyDescent="0.25">
      <c r="A23" s="34" t="s">
        <v>3355</v>
      </c>
      <c r="B23" s="55">
        <v>100</v>
      </c>
      <c r="D23" t="s">
        <v>3357</v>
      </c>
      <c r="I23" t="s">
        <v>3095</v>
      </c>
    </row>
    <row r="24" spans="1:19" s="301" customFormat="1" ht="15" x14ac:dyDescent="0.25">
      <c r="A24" s="34" t="s">
        <v>3356</v>
      </c>
      <c r="B24" s="55">
        <v>100</v>
      </c>
      <c r="D24" s="301" t="s">
        <v>3358</v>
      </c>
      <c r="I24" s="301" t="s">
        <v>3095</v>
      </c>
    </row>
    <row r="25" spans="1:19" ht="15" x14ac:dyDescent="0.25">
      <c r="A25" s="34" t="s">
        <v>2356</v>
      </c>
      <c r="B25" s="55">
        <v>121</v>
      </c>
      <c r="D25" t="s">
        <v>2357</v>
      </c>
      <c r="I25" t="s">
        <v>3095</v>
      </c>
    </row>
    <row r="26" spans="1:19" s="301" customFormat="1" ht="15" x14ac:dyDescent="0.25">
      <c r="A26" s="34" t="s">
        <v>3349</v>
      </c>
      <c r="B26" s="55">
        <f>111</f>
        <v>111</v>
      </c>
      <c r="D26" s="301" t="s">
        <v>3350</v>
      </c>
      <c r="I26" s="301" t="s">
        <v>3351</v>
      </c>
    </row>
    <row r="27" spans="1:19" s="301" customFormat="1" ht="15" x14ac:dyDescent="0.25">
      <c r="A27" s="34" t="s">
        <v>3381</v>
      </c>
      <c r="B27" s="55">
        <v>86</v>
      </c>
      <c r="D27" s="301" t="s">
        <v>3382</v>
      </c>
      <c r="I27" s="301" t="s">
        <v>3380</v>
      </c>
    </row>
    <row r="28" spans="1:19" s="301" customFormat="1" ht="15" x14ac:dyDescent="0.25">
      <c r="A28" s="34" t="s">
        <v>3354</v>
      </c>
      <c r="B28" s="55">
        <v>86</v>
      </c>
      <c r="D28" s="301" t="s">
        <v>3359</v>
      </c>
      <c r="I28" s="301" t="s">
        <v>3380</v>
      </c>
    </row>
    <row r="29" spans="1:19" ht="15" x14ac:dyDescent="0.25">
      <c r="A29" s="34"/>
      <c r="B29" s="55"/>
    </row>
    <row r="30" spans="1:19" ht="15" x14ac:dyDescent="0.25">
      <c r="A30" s="34" t="s">
        <v>3113</v>
      </c>
      <c r="B30" s="294">
        <v>0.26900000000000002</v>
      </c>
      <c r="I30" t="s">
        <v>3367</v>
      </c>
      <c r="S30" s="312"/>
    </row>
    <row r="31" spans="1:19" x14ac:dyDescent="0.3">
      <c r="A31" s="34"/>
      <c r="B31" s="55"/>
    </row>
    <row r="32" spans="1:19" x14ac:dyDescent="0.3">
      <c r="A32" s="34"/>
      <c r="B32" s="33"/>
    </row>
    <row r="33" spans="1:14" x14ac:dyDescent="0.3">
      <c r="A33" s="8" t="s">
        <v>2382</v>
      </c>
      <c r="B33" s="33"/>
    </row>
    <row r="34" spans="1:14" x14ac:dyDescent="0.3">
      <c r="A34" s="304" t="s">
        <v>3178</v>
      </c>
      <c r="B34" s="33"/>
    </row>
    <row r="35" spans="1:14" x14ac:dyDescent="0.3">
      <c r="A35" s="34" t="s">
        <v>3176</v>
      </c>
      <c r="B35" s="33"/>
    </row>
    <row r="36" spans="1:14" x14ac:dyDescent="0.3">
      <c r="A36" s="34" t="s">
        <v>3177</v>
      </c>
      <c r="B36" s="33"/>
    </row>
    <row r="37" spans="1:14" s="301" customFormat="1" x14ac:dyDescent="0.3">
      <c r="A37" s="34"/>
      <c r="B37" s="33"/>
    </row>
    <row r="38" spans="1:14" x14ac:dyDescent="0.3">
      <c r="A38" t="s">
        <v>506</v>
      </c>
      <c r="B38" s="294">
        <v>2.5000000000000001E-2</v>
      </c>
      <c r="D38" t="s">
        <v>3094</v>
      </c>
      <c r="K38" t="s">
        <v>3376</v>
      </c>
      <c r="M38" s="114"/>
    </row>
    <row r="39" spans="1:14" x14ac:dyDescent="0.3">
      <c r="A39" t="s">
        <v>507</v>
      </c>
      <c r="B39" s="294">
        <v>0.03</v>
      </c>
      <c r="D39" t="s">
        <v>3112</v>
      </c>
      <c r="K39" t="s">
        <v>3376</v>
      </c>
      <c r="M39" s="114"/>
    </row>
    <row r="40" spans="1:14" x14ac:dyDescent="0.3">
      <c r="A40" s="34"/>
      <c r="B40" s="33"/>
    </row>
    <row r="41" spans="1:14" s="301" customFormat="1" x14ac:dyDescent="0.3">
      <c r="A41" s="8" t="s">
        <v>3180</v>
      </c>
      <c r="B41" s="33"/>
    </row>
    <row r="42" spans="1:14" x14ac:dyDescent="0.3">
      <c r="A42" s="34" t="s">
        <v>2742</v>
      </c>
      <c r="B42" s="33"/>
    </row>
    <row r="43" spans="1:14" x14ac:dyDescent="0.3">
      <c r="A43" s="34" t="s">
        <v>2743</v>
      </c>
      <c r="B43" s="114">
        <v>0.1</v>
      </c>
    </row>
    <row r="45" spans="1:14" x14ac:dyDescent="0.3">
      <c r="A45" s="8" t="s">
        <v>3393</v>
      </c>
    </row>
    <row r="46" spans="1:14" x14ac:dyDescent="0.3">
      <c r="A46" t="s">
        <v>2377</v>
      </c>
      <c r="B46" s="50">
        <f>SUM(N48:N67)/60</f>
        <v>8.5833333333333339</v>
      </c>
      <c r="D46" t="s">
        <v>2016</v>
      </c>
    </row>
    <row r="47" spans="1:14" x14ac:dyDescent="0.3">
      <c r="N47" t="s">
        <v>3436</v>
      </c>
    </row>
    <row r="48" spans="1:14" s="301" customFormat="1" x14ac:dyDescent="0.3">
      <c r="D48" s="301" t="s">
        <v>3397</v>
      </c>
      <c r="N48" s="17">
        <v>10</v>
      </c>
    </row>
    <row r="49" spans="4:14" s="301" customFormat="1" x14ac:dyDescent="0.3">
      <c r="D49" t="s">
        <v>3398</v>
      </c>
      <c r="N49" s="17">
        <v>30</v>
      </c>
    </row>
    <row r="50" spans="4:14" s="301" customFormat="1" x14ac:dyDescent="0.3">
      <c r="D50" s="301" t="s">
        <v>3409</v>
      </c>
      <c r="N50" s="17">
        <v>60</v>
      </c>
    </row>
    <row r="51" spans="4:14" x14ac:dyDescent="0.3">
      <c r="D51" t="s">
        <v>3394</v>
      </c>
      <c r="N51" s="17">
        <v>120</v>
      </c>
    </row>
    <row r="52" spans="4:14" s="301" customFormat="1" x14ac:dyDescent="0.3">
      <c r="D52" s="301" t="s">
        <v>3399</v>
      </c>
      <c r="N52" s="17">
        <v>20</v>
      </c>
    </row>
    <row r="53" spans="4:14" s="301" customFormat="1" x14ac:dyDescent="0.3">
      <c r="D53" s="301" t="s">
        <v>3395</v>
      </c>
      <c r="N53" s="17">
        <v>15</v>
      </c>
    </row>
    <row r="54" spans="4:14" x14ac:dyDescent="0.3">
      <c r="D54" s="301" t="s">
        <v>3400</v>
      </c>
      <c r="N54" s="17">
        <v>30</v>
      </c>
    </row>
    <row r="55" spans="4:14" s="301" customFormat="1" x14ac:dyDescent="0.3">
      <c r="D55" s="301" t="s">
        <v>3401</v>
      </c>
      <c r="N55" s="17">
        <v>90</v>
      </c>
    </row>
    <row r="56" spans="4:14" s="301" customFormat="1" x14ac:dyDescent="0.3">
      <c r="E56" s="301" t="s">
        <v>3408</v>
      </c>
      <c r="N56" s="17"/>
    </row>
    <row r="57" spans="4:14" s="301" customFormat="1" x14ac:dyDescent="0.3">
      <c r="E57" s="301" t="s">
        <v>3411</v>
      </c>
      <c r="N57" s="17"/>
    </row>
    <row r="58" spans="4:14" s="301" customFormat="1" x14ac:dyDescent="0.3">
      <c r="E58" s="301" t="s">
        <v>3412</v>
      </c>
      <c r="N58" s="17"/>
    </row>
    <row r="59" spans="4:14" x14ac:dyDescent="0.3">
      <c r="D59" t="s">
        <v>3402</v>
      </c>
      <c r="N59" s="17"/>
    </row>
    <row r="60" spans="4:14" s="301" customFormat="1" x14ac:dyDescent="0.3">
      <c r="E60" s="301" t="s">
        <v>3403</v>
      </c>
      <c r="N60" s="17">
        <v>20</v>
      </c>
    </row>
    <row r="61" spans="4:14" s="301" customFormat="1" x14ac:dyDescent="0.3">
      <c r="E61" s="301" t="s">
        <v>3404</v>
      </c>
      <c r="N61" s="17">
        <v>10</v>
      </c>
    </row>
    <row r="62" spans="4:14" s="301" customFormat="1" x14ac:dyDescent="0.3">
      <c r="E62" s="301" t="s">
        <v>3405</v>
      </c>
      <c r="N62" s="17">
        <v>5</v>
      </c>
    </row>
    <row r="63" spans="4:14" s="301" customFormat="1" x14ac:dyDescent="0.3">
      <c r="D63" s="301" t="s">
        <v>3396</v>
      </c>
      <c r="N63" s="17">
        <v>30</v>
      </c>
    </row>
    <row r="64" spans="4:14" s="301" customFormat="1" x14ac:dyDescent="0.3">
      <c r="D64" s="301" t="s">
        <v>3406</v>
      </c>
      <c r="N64" s="17">
        <v>10</v>
      </c>
    </row>
    <row r="65" spans="1:14" x14ac:dyDescent="0.3">
      <c r="D65" t="s">
        <v>2017</v>
      </c>
      <c r="N65" s="17">
        <v>15</v>
      </c>
    </row>
    <row r="66" spans="1:14" x14ac:dyDescent="0.3">
      <c r="D66" t="s">
        <v>2378</v>
      </c>
      <c r="N66" s="17">
        <v>20</v>
      </c>
    </row>
    <row r="67" spans="1:14" s="301" customFormat="1" x14ac:dyDescent="0.3">
      <c r="D67" s="301" t="s">
        <v>3407</v>
      </c>
      <c r="N67" s="17">
        <v>30</v>
      </c>
    </row>
    <row r="68" spans="1:14" x14ac:dyDescent="0.3">
      <c r="D68" t="s">
        <v>2379</v>
      </c>
    </row>
    <row r="69" spans="1:14" x14ac:dyDescent="0.3">
      <c r="E69" s="61"/>
      <c r="F69" s="61"/>
      <c r="G69" s="61"/>
      <c r="H69" s="61"/>
      <c r="I69" s="61"/>
      <c r="J69" s="61"/>
    </row>
    <row r="70" spans="1:14" x14ac:dyDescent="0.3">
      <c r="A70" s="8" t="s">
        <v>3491</v>
      </c>
    </row>
    <row r="71" spans="1:14" x14ac:dyDescent="0.3">
      <c r="A71" t="s">
        <v>2380</v>
      </c>
      <c r="B71">
        <v>1</v>
      </c>
      <c r="D71" t="s">
        <v>2018</v>
      </c>
    </row>
    <row r="72" spans="1:14" x14ac:dyDescent="0.3">
      <c r="D72" s="38" t="s">
        <v>3518</v>
      </c>
    </row>
    <row r="73" spans="1:14" s="301" customFormat="1" x14ac:dyDescent="0.3">
      <c r="D73" s="38" t="s">
        <v>3179</v>
      </c>
    </row>
    <row r="74" spans="1:14" s="301" customFormat="1" x14ac:dyDescent="0.3">
      <c r="D74" s="38"/>
    </row>
    <row r="75" spans="1:14" s="301" customFormat="1" x14ac:dyDescent="0.3">
      <c r="A75" s="301" t="s">
        <v>3363</v>
      </c>
      <c r="B75" s="301">
        <v>38</v>
      </c>
      <c r="D75" s="38" t="s">
        <v>1736</v>
      </c>
    </row>
    <row r="76" spans="1:14" s="301" customFormat="1" x14ac:dyDescent="0.3">
      <c r="A76" s="301" t="s">
        <v>3364</v>
      </c>
      <c r="B76" s="301">
        <v>46</v>
      </c>
      <c r="D76" s="38" t="s">
        <v>3365</v>
      </c>
    </row>
    <row r="77" spans="1:14" s="301" customFormat="1" x14ac:dyDescent="0.3">
      <c r="A77" s="301" t="s">
        <v>3366</v>
      </c>
      <c r="B77" s="301">
        <f>B75*B76</f>
        <v>1748</v>
      </c>
      <c r="D77" s="38" t="s">
        <v>1736</v>
      </c>
    </row>
    <row r="78" spans="1:14" x14ac:dyDescent="0.3">
      <c r="B78" s="13"/>
    </row>
    <row r="79" spans="1:14" x14ac:dyDescent="0.3">
      <c r="A79" s="8" t="s">
        <v>2045</v>
      </c>
    </row>
    <row r="80" spans="1:14" x14ac:dyDescent="0.3">
      <c r="A80" t="s">
        <v>2027</v>
      </c>
      <c r="B80" s="81">
        <f>'Byron Bay Trees'!D38</f>
        <v>87095.314285714281</v>
      </c>
      <c r="D80" t="s">
        <v>3151</v>
      </c>
    </row>
    <row r="81" spans="1:13" x14ac:dyDescent="0.3">
      <c r="A81" t="s">
        <v>2047</v>
      </c>
      <c r="B81" s="337">
        <v>0.1</v>
      </c>
      <c r="D81" t="s">
        <v>2137</v>
      </c>
    </row>
    <row r="82" spans="1:13" x14ac:dyDescent="0.3">
      <c r="B82" s="82"/>
    </row>
    <row r="83" spans="1:13" x14ac:dyDescent="0.3">
      <c r="A83" t="s">
        <v>1721</v>
      </c>
      <c r="B83" s="124">
        <v>75</v>
      </c>
      <c r="D83" t="s">
        <v>3097</v>
      </c>
    </row>
    <row r="84" spans="1:13" x14ac:dyDescent="0.3">
      <c r="B84" s="81"/>
      <c r="D84" t="s">
        <v>3377</v>
      </c>
    </row>
    <row r="85" spans="1:13" s="301" customFormat="1" x14ac:dyDescent="0.3">
      <c r="B85" s="81"/>
      <c r="D85" s="301" t="s">
        <v>3378</v>
      </c>
    </row>
    <row r="86" spans="1:13" s="301" customFormat="1" x14ac:dyDescent="0.3">
      <c r="B86" s="81"/>
    </row>
    <row r="87" spans="1:13" x14ac:dyDescent="0.3">
      <c r="B87" s="81"/>
    </row>
    <row r="88" spans="1:13" x14ac:dyDescent="0.3">
      <c r="A88" s="8" t="s">
        <v>2048</v>
      </c>
      <c r="B88" s="81"/>
      <c r="D88" t="s">
        <v>3490</v>
      </c>
    </row>
    <row r="89" spans="1:13" x14ac:dyDescent="0.3">
      <c r="A89" s="34" t="s">
        <v>2074</v>
      </c>
      <c r="B89" s="81" t="b">
        <v>1</v>
      </c>
      <c r="D89" t="s">
        <v>2075</v>
      </c>
      <c r="M89" s="83" t="b">
        <v>1</v>
      </c>
    </row>
    <row r="90" spans="1:13" x14ac:dyDescent="0.3">
      <c r="A90" s="34"/>
      <c r="B90" s="81"/>
      <c r="M90" s="83" t="b">
        <v>0</v>
      </c>
    </row>
    <row r="91" spans="1:13" x14ac:dyDescent="0.3">
      <c r="A91" t="s">
        <v>2369</v>
      </c>
      <c r="B91" s="124">
        <v>5000</v>
      </c>
      <c r="D91" t="s">
        <v>3489</v>
      </c>
    </row>
    <row r="92" spans="1:13" x14ac:dyDescent="0.3">
      <c r="A92" t="s">
        <v>2370</v>
      </c>
      <c r="B92" s="124">
        <v>14348</v>
      </c>
      <c r="D92" t="s">
        <v>3464</v>
      </c>
    </row>
    <row r="93" spans="1:13" x14ac:dyDescent="0.3">
      <c r="A93" t="s">
        <v>2371</v>
      </c>
      <c r="B93" s="124">
        <v>168</v>
      </c>
      <c r="D93" t="s">
        <v>3463</v>
      </c>
    </row>
    <row r="94" spans="1:13" x14ac:dyDescent="0.3">
      <c r="A94" t="s">
        <v>2372</v>
      </c>
      <c r="B94" s="124">
        <f>'0010 (2)'!B63</f>
        <v>6530.2</v>
      </c>
      <c r="D94" t="s">
        <v>3488</v>
      </c>
    </row>
    <row r="95" spans="1:13" x14ac:dyDescent="0.3">
      <c r="B95" s="81"/>
    </row>
    <row r="96" spans="1:13" x14ac:dyDescent="0.3">
      <c r="B96" s="81"/>
    </row>
    <row r="98" spans="1:10" x14ac:dyDescent="0.3">
      <c r="A98" s="8" t="s">
        <v>2316</v>
      </c>
    </row>
    <row r="99" spans="1:10" x14ac:dyDescent="0.3">
      <c r="A99" s="83" t="s">
        <v>2715</v>
      </c>
      <c r="B99" s="83"/>
      <c r="C99" s="83"/>
      <c r="D99" s="83"/>
      <c r="E99" s="168" t="str">
        <f>Summary!C4</f>
        <v>2015/16</v>
      </c>
      <c r="F99" s="168" t="str">
        <f>Summary!D4</f>
        <v>2016/17</v>
      </c>
      <c r="G99" s="168" t="str">
        <f>Summary!E4</f>
        <v>2017/18</v>
      </c>
      <c r="H99" s="168" t="str">
        <f>Summary!F4</f>
        <v>2018/19</v>
      </c>
      <c r="I99" s="168" t="str">
        <f>Summary!G4</f>
        <v>2019/20</v>
      </c>
    </row>
    <row r="100" spans="1:10" x14ac:dyDescent="0.3">
      <c r="A100" s="83" t="s">
        <v>2711</v>
      </c>
      <c r="B100" s="83"/>
      <c r="C100" s="83"/>
      <c r="D100" s="83"/>
      <c r="E100" s="83">
        <v>2015</v>
      </c>
      <c r="F100" s="83">
        <v>2016</v>
      </c>
      <c r="G100" s="83">
        <v>2017</v>
      </c>
      <c r="H100" s="83">
        <v>2018</v>
      </c>
      <c r="I100" s="83">
        <v>2019</v>
      </c>
    </row>
    <row r="101" spans="1:10" x14ac:dyDescent="0.3">
      <c r="A101" s="83" t="s">
        <v>1653</v>
      </c>
      <c r="B101" s="83"/>
      <c r="C101" s="83"/>
      <c r="D101" s="83"/>
      <c r="E101" s="84">
        <f>POWER(1+InflationContractorLabour,E$100-$B$8)</f>
        <v>1.0249999999999999</v>
      </c>
      <c r="F101" s="84">
        <f>POWER(1+InflationContractorLabour,F$100-$B$8)</f>
        <v>1.0506249999999999</v>
      </c>
      <c r="G101" s="84">
        <f>POWER(1+InflationContractorLabour,G$100-$B$8)</f>
        <v>1.0768906249999999</v>
      </c>
      <c r="H101" s="84">
        <f>POWER(1+InflationContractorLabour,H$100-$B$8)</f>
        <v>1.1038128906249998</v>
      </c>
      <c r="I101" s="84">
        <f>POWER(1+InflationContractorLabour,I$100-$B$8)</f>
        <v>1.1314082128906247</v>
      </c>
      <c r="J101" s="61"/>
    </row>
    <row r="102" spans="1:10" x14ac:dyDescent="0.3">
      <c r="A102" s="83" t="s">
        <v>1654</v>
      </c>
      <c r="B102" s="83"/>
      <c r="C102" s="83"/>
      <c r="D102" s="83"/>
      <c r="E102" s="84">
        <f>POWER(1+InflationContractorMaterial,E$100-$B$8)</f>
        <v>1.03</v>
      </c>
      <c r="F102" s="84">
        <f>POWER(1+InflationContractorMaterial,F$100-$B$8)</f>
        <v>1.0609</v>
      </c>
      <c r="G102" s="84">
        <f>POWER(1+InflationContractorMaterial,G$100-$B$8)</f>
        <v>1.092727</v>
      </c>
      <c r="H102" s="84">
        <f>POWER(1+InflationContractorMaterial,H$100-$B$8)</f>
        <v>1.1255088099999999</v>
      </c>
      <c r="I102" s="84">
        <f>POWER(1+InflationContractorMaterial,I$100-$B$8)</f>
        <v>1.1592740742999998</v>
      </c>
      <c r="J102" s="61"/>
    </row>
    <row r="105" spans="1:10" x14ac:dyDescent="0.3">
      <c r="A105" s="83" t="s">
        <v>2744</v>
      </c>
      <c r="B105" s="83">
        <f>(1+B43)</f>
        <v>1.1000000000000001</v>
      </c>
    </row>
  </sheetData>
  <dataValidations disablePrompts="1" count="1">
    <dataValidation type="list" allowBlank="1" showInputMessage="1" showErrorMessage="1" sqref="B89:B90">
      <formula1>$M$89:$M$90</formula1>
    </dataValidation>
  </dataValidations>
  <hyperlinks>
    <hyperlink ref="A2" location="INDEX!A8" display="Return to Index"/>
  </hyperlinks>
  <pageMargins left="0.7" right="0.7" top="0.75" bottom="0.75" header="0.3" footer="0.3"/>
  <pageSetup paperSize="9" scale="81" fitToHeight="100" orientation="landscape" r:id="rId1"/>
  <headerFooter>
    <oddHeader>&amp;C&amp;A</oddHeader>
    <oddFooter>&amp;L&amp;F&amp;C&amp;P of &amp;N&amp;R&amp;D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6" tint="0.59999389629810485"/>
    <pageSetUpPr fitToPage="1"/>
  </sheetPr>
  <dimension ref="A1:I43"/>
  <sheetViews>
    <sheetView workbookViewId="0"/>
  </sheetViews>
  <sheetFormatPr defaultRowHeight="14.4" x14ac:dyDescent="0.3"/>
  <cols>
    <col min="1" max="1" width="52.44140625" customWidth="1"/>
    <col min="4" max="4" width="10.88671875" customWidth="1"/>
    <col min="5" max="5" width="11.109375" bestFit="1" customWidth="1"/>
  </cols>
  <sheetData>
    <row r="1" spans="1:9" ht="15" x14ac:dyDescent="0.25">
      <c r="A1" t="s">
        <v>1642</v>
      </c>
      <c r="B1" t="s">
        <v>2215</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8204.4454901835925</v>
      </c>
      <c r="E3" s="33">
        <f>$B$14*12*HourlyRateAPAOMSupervisor*'Modelling Assumptions'!E101</f>
        <v>1560.8700000000001</v>
      </c>
      <c r="F3" s="33">
        <f>$B$14*12*HourlyRateAPAOMSupervisor*'Modelling Assumptions'!F101</f>
        <v>1599.89175</v>
      </c>
      <c r="G3" s="33">
        <f>$B$14*12*HourlyRateAPAOMSupervisor*'Modelling Assumptions'!G101</f>
        <v>1639.8890437499999</v>
      </c>
      <c r="H3" s="33">
        <f>$B$14*12*HourlyRateAPAOMSupervisor*'Modelling Assumptions'!H101</f>
        <v>1680.8862698437499</v>
      </c>
      <c r="I3" s="33">
        <f>$B$14*12*HourlyRateAPAOMSupervisor*'Modelling Assumptions'!I101</f>
        <v>1722.9084265898434</v>
      </c>
    </row>
    <row r="4" spans="1:9" ht="15" x14ac:dyDescent="0.25">
      <c r="A4" t="s">
        <v>1643</v>
      </c>
      <c r="B4" s="33"/>
      <c r="C4" s="33"/>
      <c r="D4" s="33">
        <f>SUM(E4:I4)</f>
        <v>279091.5241467036</v>
      </c>
      <c r="E4" s="33">
        <f>12*$B9*'Modelling Assumptions'!E$101</f>
        <v>53096.286374999996</v>
      </c>
      <c r="F4" s="33">
        <f>12*$B9*'Modelling Assumptions'!F$101</f>
        <v>54423.693534374994</v>
      </c>
      <c r="G4" s="33">
        <f>12*$B9*'Modelling Assumptions'!G$101</f>
        <v>55784.285872734363</v>
      </c>
      <c r="H4" s="33">
        <f>12*$B9*'Modelling Assumptions'!H$101</f>
        <v>57178.893019552721</v>
      </c>
      <c r="I4" s="33">
        <f>12*$B9*'Modelling Assumptions'!I$101</f>
        <v>58608.36534504153</v>
      </c>
    </row>
    <row r="5" spans="1:9" ht="15" x14ac:dyDescent="0.25">
      <c r="A5" t="s">
        <v>1649</v>
      </c>
      <c r="B5" s="33"/>
      <c r="C5" s="33"/>
      <c r="D5" s="33">
        <f t="shared" ref="D5:D6" si="0">SUM(E5:I5)</f>
        <v>0</v>
      </c>
      <c r="E5" s="33">
        <v>0</v>
      </c>
      <c r="F5" s="33">
        <v>0</v>
      </c>
      <c r="G5" s="33">
        <v>0</v>
      </c>
      <c r="H5" s="33">
        <v>0</v>
      </c>
      <c r="I5" s="33">
        <v>0</v>
      </c>
    </row>
    <row r="6" spans="1:9" ht="15" x14ac:dyDescent="0.25">
      <c r="A6" t="s">
        <v>1650</v>
      </c>
      <c r="B6" s="33"/>
      <c r="C6" s="33"/>
      <c r="D6" s="33">
        <f t="shared" si="0"/>
        <v>0</v>
      </c>
      <c r="E6" s="33">
        <v>0</v>
      </c>
      <c r="F6" s="33">
        <v>0</v>
      </c>
      <c r="G6" s="33">
        <v>0</v>
      </c>
      <c r="H6" s="33">
        <v>0</v>
      </c>
      <c r="I6" s="33">
        <v>0</v>
      </c>
    </row>
    <row r="9" spans="1:9" ht="15" x14ac:dyDescent="0.25">
      <c r="A9" t="s">
        <v>3159</v>
      </c>
      <c r="B9" s="40">
        <f>D38</f>
        <v>4316.7712499999998</v>
      </c>
      <c r="C9" t="s">
        <v>1908</v>
      </c>
      <c r="E9" s="33" t="s">
        <v>3212</v>
      </c>
      <c r="F9" s="33"/>
      <c r="G9" s="33"/>
      <c r="H9" s="33"/>
      <c r="I9" s="33"/>
    </row>
    <row r="10" spans="1:9" ht="15" x14ac:dyDescent="0.25">
      <c r="A10" t="s">
        <v>3160</v>
      </c>
      <c r="B10" s="55">
        <v>200</v>
      </c>
      <c r="E10" t="s">
        <v>3213</v>
      </c>
    </row>
    <row r="11" spans="1:9" s="301" customFormat="1" ht="15" x14ac:dyDescent="0.25"/>
    <row r="13" spans="1:9" ht="15" x14ac:dyDescent="0.25">
      <c r="A13" t="s">
        <v>2686</v>
      </c>
    </row>
    <row r="14" spans="1:9" ht="15" x14ac:dyDescent="0.25">
      <c r="A14" t="s">
        <v>2687</v>
      </c>
      <c r="B14">
        <v>1</v>
      </c>
      <c r="C14" t="s">
        <v>2688</v>
      </c>
    </row>
    <row r="18" spans="1:5" ht="15" x14ac:dyDescent="0.25">
      <c r="A18" s="157" t="s">
        <v>2065</v>
      </c>
      <c r="B18" s="157"/>
      <c r="C18" s="157"/>
      <c r="D18" s="157"/>
      <c r="E18" s="157"/>
    </row>
    <row r="19" spans="1:5" ht="15" x14ac:dyDescent="0.25">
      <c r="A19" t="s">
        <v>2020</v>
      </c>
    </row>
    <row r="20" spans="1:5" ht="15" x14ac:dyDescent="0.25">
      <c r="A20" t="s">
        <v>2216</v>
      </c>
      <c r="C20" t="s">
        <v>3161</v>
      </c>
    </row>
    <row r="22" spans="1:5" ht="15" x14ac:dyDescent="0.25">
      <c r="B22" t="s">
        <v>538</v>
      </c>
      <c r="D22" t="s">
        <v>3070</v>
      </c>
    </row>
    <row r="23" spans="1:5" ht="15" x14ac:dyDescent="0.25">
      <c r="B23" s="91">
        <v>41456</v>
      </c>
      <c r="D23" s="69">
        <v>1661.89</v>
      </c>
    </row>
    <row r="24" spans="1:5" ht="15" x14ac:dyDescent="0.25">
      <c r="B24" s="91">
        <v>41456</v>
      </c>
      <c r="D24" s="69">
        <v>1703.44</v>
      </c>
    </row>
    <row r="25" spans="1:5" ht="15" x14ac:dyDescent="0.25">
      <c r="B25" s="91">
        <v>41487</v>
      </c>
      <c r="D25" s="69">
        <v>4950.3999999999996</v>
      </c>
    </row>
    <row r="26" spans="1:5" ht="15" x14ac:dyDescent="0.25">
      <c r="B26" s="91">
        <v>41487</v>
      </c>
      <c r="D26" s="69">
        <v>1703.44</v>
      </c>
    </row>
    <row r="27" spans="1:5" ht="15" x14ac:dyDescent="0.25">
      <c r="B27" s="91">
        <v>41518</v>
      </c>
      <c r="D27" s="69">
        <v>2748.2</v>
      </c>
    </row>
    <row r="28" spans="1:5" ht="15" x14ac:dyDescent="0.25">
      <c r="B28" s="91">
        <v>41548</v>
      </c>
      <c r="D28" s="69">
        <v>1703.44</v>
      </c>
    </row>
    <row r="29" spans="1:5" ht="15" x14ac:dyDescent="0.25">
      <c r="B29" s="91">
        <v>41548</v>
      </c>
      <c r="D29" s="69">
        <v>2366</v>
      </c>
    </row>
    <row r="30" spans="1:5" ht="15" x14ac:dyDescent="0.25">
      <c r="B30" s="91">
        <v>41548</v>
      </c>
      <c r="D30" s="69">
        <v>1703.44</v>
      </c>
    </row>
    <row r="31" spans="1:5" x14ac:dyDescent="0.3">
      <c r="B31" s="91">
        <v>41579</v>
      </c>
      <c r="D31" s="69">
        <v>3858.4</v>
      </c>
    </row>
    <row r="32" spans="1:5" x14ac:dyDescent="0.3">
      <c r="B32" s="91">
        <v>41579</v>
      </c>
      <c r="D32" s="69">
        <v>1703.44</v>
      </c>
    </row>
    <row r="33" spans="1:5" x14ac:dyDescent="0.3">
      <c r="B33" s="91">
        <v>41609</v>
      </c>
      <c r="D33" s="69">
        <v>1703.44</v>
      </c>
    </row>
    <row r="34" spans="1:5" x14ac:dyDescent="0.3">
      <c r="B34" s="91">
        <v>41640</v>
      </c>
      <c r="D34" s="69">
        <v>2857.4</v>
      </c>
    </row>
    <row r="35" spans="1:5" x14ac:dyDescent="0.3">
      <c r="B35" s="91">
        <v>41640</v>
      </c>
      <c r="D35" s="69">
        <v>1703.44</v>
      </c>
    </row>
    <row r="36" spans="1:5" ht="15" thickBot="1" x14ac:dyDescent="0.35">
      <c r="B36" s="91">
        <v>41671</v>
      </c>
      <c r="D36" s="69">
        <v>4167.8</v>
      </c>
    </row>
    <row r="37" spans="1:5" ht="15" thickTop="1" x14ac:dyDescent="0.3">
      <c r="B37" s="290" t="s">
        <v>505</v>
      </c>
      <c r="C37" s="290"/>
      <c r="D37" s="292">
        <v>34534.17</v>
      </c>
      <c r="E37" t="s">
        <v>3074</v>
      </c>
    </row>
    <row r="38" spans="1:5" x14ac:dyDescent="0.3">
      <c r="B38" t="s">
        <v>3071</v>
      </c>
      <c r="D38" s="69">
        <f>D37/8</f>
        <v>4316.7712499999998</v>
      </c>
      <c r="E38" t="s">
        <v>1908</v>
      </c>
    </row>
    <row r="39" spans="1:5" x14ac:dyDescent="0.3">
      <c r="D39" s="69"/>
    </row>
    <row r="40" spans="1:5" x14ac:dyDescent="0.3">
      <c r="A40" t="s">
        <v>3073</v>
      </c>
      <c r="D40" s="69"/>
    </row>
    <row r="41" spans="1:5" x14ac:dyDescent="0.3">
      <c r="D41" s="69"/>
    </row>
    <row r="43" spans="1:5" x14ac:dyDescent="0.3">
      <c r="A43" t="s">
        <v>3072</v>
      </c>
      <c r="B43" s="90">
        <v>3600</v>
      </c>
      <c r="D43" t="s">
        <v>3513</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6" tint="0.59999389629810485"/>
    <pageSetUpPr fitToPage="1"/>
  </sheetPr>
  <dimension ref="A1:K59"/>
  <sheetViews>
    <sheetView workbookViewId="0"/>
  </sheetViews>
  <sheetFormatPr defaultRowHeight="14.4" x14ac:dyDescent="0.3"/>
  <cols>
    <col min="1" max="1" width="52.44140625" customWidth="1"/>
    <col min="4" max="4" width="10.88671875" customWidth="1"/>
    <col min="5" max="5" width="11.109375" bestFit="1" customWidth="1"/>
  </cols>
  <sheetData>
    <row r="1" spans="1:9" ht="15" x14ac:dyDescent="0.25">
      <c r="A1" t="s">
        <v>1642</v>
      </c>
      <c r="B1" t="s">
        <v>2383</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16408.890980367185</v>
      </c>
      <c r="E3" s="33">
        <f>E17+E18</f>
        <v>3121.74</v>
      </c>
      <c r="F3" s="33">
        <f t="shared" ref="F3:I3" si="0">F17+F18</f>
        <v>3199.7834999999995</v>
      </c>
      <c r="G3" s="33">
        <f t="shared" si="0"/>
        <v>3279.7780874999999</v>
      </c>
      <c r="H3" s="33">
        <f t="shared" si="0"/>
        <v>3361.7725396874994</v>
      </c>
      <c r="I3" s="33">
        <f t="shared" si="0"/>
        <v>3445.8168531796869</v>
      </c>
    </row>
    <row r="4" spans="1:9" ht="15" x14ac:dyDescent="0.25">
      <c r="A4" t="s">
        <v>1643</v>
      </c>
      <c r="B4" s="33"/>
      <c r="C4" s="33"/>
      <c r="D4" s="33">
        <f>SUM(E4:I4)</f>
        <v>80816.050927734352</v>
      </c>
      <c r="E4" s="33">
        <f>E21</f>
        <v>15374.999999999998</v>
      </c>
      <c r="F4" s="33">
        <f t="shared" ref="F4:I4" si="1">F21</f>
        <v>15759.374999999998</v>
      </c>
      <c r="G4" s="33">
        <f t="shared" si="1"/>
        <v>16153.359374999998</v>
      </c>
      <c r="H4" s="33">
        <f t="shared" si="1"/>
        <v>16557.193359374996</v>
      </c>
      <c r="I4" s="33">
        <f t="shared" si="1"/>
        <v>16971.12319335937</v>
      </c>
    </row>
    <row r="5" spans="1:9" ht="15" x14ac:dyDescent="0.25">
      <c r="A5" t="s">
        <v>1649</v>
      </c>
      <c r="B5" s="33"/>
      <c r="C5" s="33"/>
      <c r="D5" s="33">
        <f t="shared" ref="D5:D6" si="2">SUM(E5:I5)</f>
        <v>0</v>
      </c>
      <c r="E5" s="33">
        <v>0</v>
      </c>
      <c r="F5" s="33">
        <v>0</v>
      </c>
      <c r="G5" s="33">
        <v>0</v>
      </c>
      <c r="H5" s="33">
        <v>0</v>
      </c>
      <c r="I5" s="33">
        <v>0</v>
      </c>
    </row>
    <row r="6" spans="1:9" ht="15" x14ac:dyDescent="0.25">
      <c r="A6" t="s">
        <v>1650</v>
      </c>
      <c r="B6" s="33"/>
      <c r="C6" s="33"/>
      <c r="D6" s="33">
        <f t="shared" si="2"/>
        <v>0</v>
      </c>
      <c r="E6" s="33">
        <v>0</v>
      </c>
      <c r="F6" s="33">
        <v>0</v>
      </c>
      <c r="G6" s="33">
        <v>0</v>
      </c>
      <c r="H6" s="33">
        <v>0</v>
      </c>
      <c r="I6" s="33">
        <v>0</v>
      </c>
    </row>
    <row r="8" spans="1:9" ht="15" x14ac:dyDescent="0.25">
      <c r="A8" s="10" t="s">
        <v>1992</v>
      </c>
      <c r="B8" s="10"/>
      <c r="C8" s="10"/>
      <c r="D8" s="10"/>
    </row>
    <row r="9" spans="1:9" ht="15" x14ac:dyDescent="0.25">
      <c r="A9" t="s">
        <v>2384</v>
      </c>
    </row>
    <row r="10" spans="1:9" ht="15" x14ac:dyDescent="0.25">
      <c r="A10" t="s">
        <v>2385</v>
      </c>
    </row>
    <row r="11" spans="1:9" ht="15" x14ac:dyDescent="0.25">
      <c r="A11" t="s">
        <v>2386</v>
      </c>
    </row>
    <row r="15" spans="1:9" ht="15" x14ac:dyDescent="0.25">
      <c r="A15" s="8" t="s">
        <v>2306</v>
      </c>
    </row>
    <row r="16" spans="1:9" ht="15" x14ac:dyDescent="0.25">
      <c r="A16" t="s">
        <v>2271</v>
      </c>
    </row>
    <row r="17" spans="1:11" ht="15" x14ac:dyDescent="0.25">
      <c r="A17" t="s">
        <v>2269</v>
      </c>
      <c r="B17" s="7">
        <v>8</v>
      </c>
      <c r="C17" t="s">
        <v>2305</v>
      </c>
      <c r="E17" s="33">
        <f>$B17*HourlyRateAPAOMSupervisor*'Modelling Assumptions'!E$101</f>
        <v>1040.58</v>
      </c>
      <c r="F17" s="33">
        <f>$B17*HourlyRateAPAOMSupervisor*'Modelling Assumptions'!F$101</f>
        <v>1066.5944999999999</v>
      </c>
      <c r="G17" s="33">
        <f>$B17*HourlyRateAPAOMSupervisor*'Modelling Assumptions'!G$101</f>
        <v>1093.2593625</v>
      </c>
      <c r="H17" s="33">
        <f>$B17*HourlyRateAPAOMSupervisor*'Modelling Assumptions'!H$101</f>
        <v>1120.5908465624998</v>
      </c>
      <c r="I17" s="33">
        <f>$B17*HourlyRateAPAOMSupervisor*'Modelling Assumptions'!I$101</f>
        <v>1148.6056177265623</v>
      </c>
    </row>
    <row r="18" spans="1:11" ht="15" x14ac:dyDescent="0.25">
      <c r="A18" t="s">
        <v>2270</v>
      </c>
      <c r="B18" s="7">
        <v>16</v>
      </c>
      <c r="C18" t="s">
        <v>2305</v>
      </c>
      <c r="E18" s="33">
        <f>$B18*HourlyRateAPAOMSupervisor*'Modelling Assumptions'!E$101</f>
        <v>2081.16</v>
      </c>
      <c r="F18" s="33">
        <f>$B18*HourlyRateAPAOMSupervisor*'Modelling Assumptions'!F$101</f>
        <v>2133.1889999999999</v>
      </c>
      <c r="G18" s="33">
        <f>$B18*HourlyRateAPAOMSupervisor*'Modelling Assumptions'!G$101</f>
        <v>2186.5187249999999</v>
      </c>
      <c r="H18" s="33">
        <f>$B18*HourlyRateAPAOMSupervisor*'Modelling Assumptions'!H$101</f>
        <v>2241.1816931249996</v>
      </c>
      <c r="I18" s="33">
        <f>$B18*HourlyRateAPAOMSupervisor*'Modelling Assumptions'!I$101</f>
        <v>2297.2112354531246</v>
      </c>
    </row>
    <row r="20" spans="1:11" ht="15" x14ac:dyDescent="0.25">
      <c r="A20" t="s">
        <v>2272</v>
      </c>
    </row>
    <row r="21" spans="1:11" ht="15" x14ac:dyDescent="0.25">
      <c r="A21" t="s">
        <v>1755</v>
      </c>
      <c r="B21" s="55">
        <v>15000</v>
      </c>
      <c r="C21" t="s">
        <v>1757</v>
      </c>
      <c r="E21" s="33">
        <f>$B21*'Modelling Assumptions'!E$101</f>
        <v>15374.999999999998</v>
      </c>
      <c r="F21" s="33">
        <f>$B21*'Modelling Assumptions'!F$101</f>
        <v>15759.374999999998</v>
      </c>
      <c r="G21" s="33">
        <f>$B21*'Modelling Assumptions'!G$101</f>
        <v>16153.359374999998</v>
      </c>
      <c r="H21" s="33">
        <f>$B21*'Modelling Assumptions'!H$101</f>
        <v>16557.193359374996</v>
      </c>
      <c r="I21" s="33">
        <f>$B21*'Modelling Assumptions'!I$101</f>
        <v>16971.12319335937</v>
      </c>
      <c r="K21" s="15" t="s">
        <v>3347</v>
      </c>
    </row>
    <row r="26" spans="1:11" ht="15" x14ac:dyDescent="0.25">
      <c r="A26" s="10" t="s">
        <v>2387</v>
      </c>
    </row>
    <row r="27" spans="1:11" ht="15" x14ac:dyDescent="0.25">
      <c r="A27" s="104"/>
    </row>
    <row r="28" spans="1:11" ht="20.25" x14ac:dyDescent="0.25">
      <c r="A28" s="341" t="s">
        <v>2303</v>
      </c>
      <c r="B28" s="341"/>
      <c r="C28" s="341"/>
      <c r="D28" s="341"/>
      <c r="E28" s="115"/>
      <c r="F28" s="115"/>
      <c r="G28" s="115"/>
      <c r="H28" s="115"/>
      <c r="I28" s="115"/>
    </row>
    <row r="29" spans="1:11" ht="15" x14ac:dyDescent="0.25">
      <c r="A29" s="115"/>
      <c r="B29" s="104"/>
      <c r="C29" s="104"/>
      <c r="D29" s="104"/>
      <c r="E29" s="104"/>
      <c r="F29" s="104"/>
      <c r="G29" s="104"/>
      <c r="H29" s="115"/>
      <c r="I29" s="115"/>
    </row>
    <row r="30" spans="1:11" ht="15" x14ac:dyDescent="0.25">
      <c r="A30" s="117" t="s">
        <v>2273</v>
      </c>
      <c r="B30" s="117" t="s">
        <v>2274</v>
      </c>
      <c r="C30" s="117" t="s">
        <v>2275</v>
      </c>
      <c r="E30" s="116"/>
      <c r="F30" s="116"/>
      <c r="G30" s="116"/>
    </row>
    <row r="31" spans="1:11" x14ac:dyDescent="0.3">
      <c r="A31" s="117" t="s">
        <v>2276</v>
      </c>
      <c r="B31" s="117" t="s">
        <v>2274</v>
      </c>
      <c r="C31" s="117" t="s">
        <v>2277</v>
      </c>
      <c r="E31" s="116"/>
      <c r="F31" s="116"/>
      <c r="G31" s="116"/>
    </row>
    <row r="32" spans="1:11" ht="26.4" x14ac:dyDescent="0.3">
      <c r="A32" s="117" t="s">
        <v>2278</v>
      </c>
      <c r="B32" s="117" t="s">
        <v>2279</v>
      </c>
      <c r="C32" s="117" t="s">
        <v>2277</v>
      </c>
      <c r="E32" s="116"/>
      <c r="F32" s="116"/>
      <c r="G32" s="116"/>
    </row>
    <row r="33" spans="1:7" x14ac:dyDescent="0.3">
      <c r="A33" s="116"/>
      <c r="B33" s="116"/>
      <c r="C33" s="116"/>
      <c r="E33" s="116"/>
      <c r="F33" s="116"/>
      <c r="G33" s="116"/>
    </row>
    <row r="34" spans="1:7" x14ac:dyDescent="0.3">
      <c r="A34" s="117" t="s">
        <v>2280</v>
      </c>
      <c r="B34" s="117" t="s">
        <v>2281</v>
      </c>
      <c r="C34" s="117" t="s">
        <v>2275</v>
      </c>
      <c r="E34" s="116"/>
      <c r="F34" s="116"/>
      <c r="G34" s="116"/>
    </row>
    <row r="35" spans="1:7" x14ac:dyDescent="0.3">
      <c r="A35" s="117" t="s">
        <v>2283</v>
      </c>
      <c r="B35" s="117" t="s">
        <v>2282</v>
      </c>
      <c r="C35" s="117" t="s">
        <v>2275</v>
      </c>
      <c r="E35" s="116"/>
      <c r="F35" s="116"/>
      <c r="G35" s="116"/>
    </row>
    <row r="36" spans="1:7" x14ac:dyDescent="0.3">
      <c r="A36" s="117" t="s">
        <v>2284</v>
      </c>
      <c r="B36" s="117" t="s">
        <v>2282</v>
      </c>
      <c r="C36" s="117" t="s">
        <v>2275</v>
      </c>
      <c r="E36" s="116"/>
      <c r="F36" s="116"/>
      <c r="G36" s="116"/>
    </row>
    <row r="37" spans="1:7" x14ac:dyDescent="0.3">
      <c r="A37" s="117" t="s">
        <v>2285</v>
      </c>
      <c r="B37" s="117" t="s">
        <v>2282</v>
      </c>
      <c r="C37" s="117" t="s">
        <v>2275</v>
      </c>
      <c r="E37" s="116"/>
      <c r="F37" s="116"/>
      <c r="G37" s="116"/>
    </row>
    <row r="38" spans="1:7" x14ac:dyDescent="0.3">
      <c r="A38" s="116"/>
      <c r="B38" s="116"/>
      <c r="C38" s="116"/>
      <c r="E38" s="116"/>
      <c r="F38" s="116"/>
      <c r="G38" s="116"/>
    </row>
    <row r="39" spans="1:7" x14ac:dyDescent="0.3">
      <c r="A39" s="117" t="s">
        <v>2286</v>
      </c>
      <c r="B39" s="117" t="s">
        <v>2274</v>
      </c>
      <c r="C39" s="117" t="s">
        <v>2277</v>
      </c>
      <c r="E39" s="116"/>
      <c r="F39" s="116"/>
      <c r="G39" s="116"/>
    </row>
    <row r="40" spans="1:7" x14ac:dyDescent="0.3">
      <c r="A40" s="117" t="s">
        <v>2287</v>
      </c>
      <c r="B40" s="117" t="s">
        <v>2282</v>
      </c>
      <c r="C40" s="117" t="s">
        <v>2277</v>
      </c>
      <c r="E40" s="116"/>
      <c r="F40" s="116"/>
      <c r="G40" s="116"/>
    </row>
    <row r="41" spans="1:7" x14ac:dyDescent="0.3">
      <c r="A41" s="117" t="s">
        <v>2288</v>
      </c>
      <c r="B41" s="117" t="s">
        <v>2282</v>
      </c>
      <c r="C41" s="117" t="s">
        <v>2277</v>
      </c>
      <c r="E41" s="116"/>
      <c r="F41" s="116"/>
      <c r="G41" s="116"/>
    </row>
    <row r="42" spans="1:7" x14ac:dyDescent="0.3">
      <c r="A42" s="117" t="s">
        <v>2289</v>
      </c>
      <c r="B42" s="117" t="s">
        <v>2290</v>
      </c>
      <c r="C42" s="117" t="s">
        <v>2277</v>
      </c>
      <c r="E42" s="116"/>
      <c r="F42" s="116"/>
      <c r="G42" s="116"/>
    </row>
    <row r="43" spans="1:7" x14ac:dyDescent="0.3">
      <c r="A43" s="117" t="s">
        <v>2291</v>
      </c>
      <c r="B43" s="117" t="s">
        <v>2290</v>
      </c>
      <c r="C43" s="117" t="s">
        <v>2277</v>
      </c>
      <c r="E43" s="116"/>
      <c r="F43" s="116"/>
      <c r="G43" s="116"/>
    </row>
    <row r="44" spans="1:7" x14ac:dyDescent="0.3">
      <c r="A44" s="117" t="s">
        <v>2292</v>
      </c>
      <c r="B44" s="117" t="s">
        <v>2290</v>
      </c>
      <c r="C44" s="117" t="s">
        <v>2277</v>
      </c>
      <c r="E44" s="116"/>
      <c r="F44" s="116"/>
      <c r="G44" s="116"/>
    </row>
    <row r="45" spans="1:7" x14ac:dyDescent="0.3">
      <c r="A45" s="117" t="s">
        <v>2293</v>
      </c>
      <c r="B45" s="117" t="s">
        <v>2281</v>
      </c>
      <c r="C45" s="117" t="s">
        <v>2275</v>
      </c>
      <c r="E45" s="116"/>
      <c r="F45" s="116"/>
      <c r="G45" s="116"/>
    </row>
    <row r="46" spans="1:7" x14ac:dyDescent="0.3">
      <c r="A46" s="116"/>
      <c r="B46" s="116"/>
      <c r="C46" s="116"/>
      <c r="E46" s="116"/>
      <c r="F46" s="116"/>
      <c r="G46" s="116"/>
    </row>
    <row r="47" spans="1:7" x14ac:dyDescent="0.3">
      <c r="A47" s="117" t="s">
        <v>2294</v>
      </c>
      <c r="B47" s="117" t="s">
        <v>2274</v>
      </c>
      <c r="C47" s="117" t="s">
        <v>2277</v>
      </c>
      <c r="D47" s="104" t="s">
        <v>2304</v>
      </c>
      <c r="E47" s="117"/>
      <c r="F47" s="117"/>
      <c r="G47" s="117"/>
    </row>
    <row r="48" spans="1:7" x14ac:dyDescent="0.3">
      <c r="A48" s="117" t="s">
        <v>2295</v>
      </c>
      <c r="B48" s="117" t="s">
        <v>2274</v>
      </c>
      <c r="C48" s="117" t="s">
        <v>2277</v>
      </c>
      <c r="D48" s="104" t="s">
        <v>2304</v>
      </c>
      <c r="E48" s="117"/>
      <c r="F48" s="117"/>
      <c r="G48" s="117"/>
    </row>
    <row r="49" spans="1:7" x14ac:dyDescent="0.3">
      <c r="A49" s="116"/>
      <c r="B49" s="116"/>
      <c r="C49" s="116"/>
      <c r="E49" s="116"/>
      <c r="F49" s="116"/>
      <c r="G49" s="116"/>
    </row>
    <row r="50" spans="1:7" x14ac:dyDescent="0.3">
      <c r="A50" s="117" t="s">
        <v>2296</v>
      </c>
      <c r="B50" s="117" t="s">
        <v>2268</v>
      </c>
      <c r="C50" s="117" t="s">
        <v>2275</v>
      </c>
      <c r="D50" s="104" t="s">
        <v>2304</v>
      </c>
      <c r="E50" s="117"/>
      <c r="F50" s="117"/>
      <c r="G50" s="117"/>
    </row>
    <row r="51" spans="1:7" x14ac:dyDescent="0.3">
      <c r="A51" s="116"/>
      <c r="B51" s="116"/>
      <c r="C51" s="116"/>
      <c r="E51" s="116"/>
      <c r="F51" s="116"/>
      <c r="G51" s="116"/>
    </row>
    <row r="52" spans="1:7" x14ac:dyDescent="0.3">
      <c r="A52" s="117" t="s">
        <v>2297</v>
      </c>
      <c r="B52" s="117" t="s">
        <v>2274</v>
      </c>
      <c r="C52" s="117" t="s">
        <v>2277</v>
      </c>
      <c r="E52" s="116"/>
      <c r="F52" s="116"/>
      <c r="G52" s="116"/>
    </row>
    <row r="53" spans="1:7" x14ac:dyDescent="0.3">
      <c r="A53" s="117" t="s">
        <v>2298</v>
      </c>
      <c r="B53" s="117" t="s">
        <v>2274</v>
      </c>
      <c r="C53" s="117" t="s">
        <v>2275</v>
      </c>
      <c r="E53" s="116"/>
      <c r="F53" s="116"/>
      <c r="G53" s="116"/>
    </row>
    <row r="54" spans="1:7" x14ac:dyDescent="0.3">
      <c r="A54" s="117" t="s">
        <v>2299</v>
      </c>
      <c r="B54" s="117" t="s">
        <v>2282</v>
      </c>
      <c r="C54" s="117" t="s">
        <v>2275</v>
      </c>
      <c r="E54" s="116"/>
      <c r="F54" s="116"/>
      <c r="G54" s="116"/>
    </row>
    <row r="55" spans="1:7" x14ac:dyDescent="0.3">
      <c r="A55" s="117" t="s">
        <v>2300</v>
      </c>
      <c r="B55" s="117" t="s">
        <v>2282</v>
      </c>
      <c r="C55" s="117" t="s">
        <v>2275</v>
      </c>
      <c r="E55" s="116"/>
      <c r="F55" s="116"/>
      <c r="G55" s="116"/>
    </row>
    <row r="56" spans="1:7" x14ac:dyDescent="0.3">
      <c r="A56" s="117" t="s">
        <v>2301</v>
      </c>
      <c r="B56" s="117" t="s">
        <v>2282</v>
      </c>
      <c r="C56" s="117" t="s">
        <v>2275</v>
      </c>
      <c r="E56" s="116"/>
      <c r="F56" s="116"/>
      <c r="G56" s="116"/>
    </row>
    <row r="57" spans="1:7" x14ac:dyDescent="0.3">
      <c r="A57" s="117" t="s">
        <v>2302</v>
      </c>
      <c r="B57" s="117" t="s">
        <v>2282</v>
      </c>
      <c r="C57" s="117" t="s">
        <v>2275</v>
      </c>
      <c r="E57" s="116"/>
      <c r="F57" s="116"/>
      <c r="G57" s="116"/>
    </row>
    <row r="58" spans="1:7" x14ac:dyDescent="0.3">
      <c r="A58" s="104"/>
    </row>
    <row r="59" spans="1:7" x14ac:dyDescent="0.3">
      <c r="A59" s="104"/>
    </row>
  </sheetData>
  <mergeCells count="1">
    <mergeCell ref="A28:D28"/>
  </mergeCells>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6" tint="0.59999389629810485"/>
    <pageSetUpPr fitToPage="1"/>
  </sheetPr>
  <dimension ref="A1:K30"/>
  <sheetViews>
    <sheetView workbookViewId="0"/>
  </sheetViews>
  <sheetFormatPr defaultRowHeight="14.4" x14ac:dyDescent="0.3"/>
  <cols>
    <col min="1" max="1" width="52.44140625" customWidth="1"/>
    <col min="4" max="4" width="10.88671875" customWidth="1"/>
    <col min="5" max="5" width="11.109375" bestFit="1" customWidth="1"/>
  </cols>
  <sheetData>
    <row r="1" spans="1:9" x14ac:dyDescent="0.25">
      <c r="A1" t="s">
        <v>1642</v>
      </c>
      <c r="B1" t="s">
        <v>2388</v>
      </c>
    </row>
    <row r="2" spans="1:9"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x14ac:dyDescent="0.25">
      <c r="A3" t="s">
        <v>1648</v>
      </c>
      <c r="B3" s="40"/>
      <c r="C3" s="33"/>
      <c r="D3" s="33">
        <f>SUM(E3:I3)</f>
        <v>17065.246619581871</v>
      </c>
      <c r="E3" s="33">
        <f>E15+E16+E22+E23</f>
        <v>3246.6095999999998</v>
      </c>
      <c r="F3" s="33">
        <f t="shared" ref="F3:I3" si="0">F15+F16+F22+F23</f>
        <v>3327.77484</v>
      </c>
      <c r="G3" s="33">
        <f t="shared" si="0"/>
        <v>3410.9692109999996</v>
      </c>
      <c r="H3" s="33">
        <f t="shared" si="0"/>
        <v>3496.2434412749999</v>
      </c>
      <c r="I3" s="33">
        <f t="shared" si="0"/>
        <v>3583.649527306874</v>
      </c>
    </row>
    <row r="4" spans="1:9" x14ac:dyDescent="0.25">
      <c r="A4" t="s">
        <v>1643</v>
      </c>
      <c r="B4" s="33"/>
      <c r="C4" s="33"/>
      <c r="D4" s="33">
        <f>SUM(E4:I4)</f>
        <v>0</v>
      </c>
      <c r="E4" s="33">
        <v>0</v>
      </c>
      <c r="F4" s="33">
        <v>0</v>
      </c>
      <c r="G4" s="33">
        <v>0</v>
      </c>
      <c r="H4" s="33">
        <v>0</v>
      </c>
      <c r="I4" s="33">
        <v>0</v>
      </c>
    </row>
    <row r="5" spans="1:9" x14ac:dyDescent="0.25">
      <c r="A5" t="s">
        <v>1649</v>
      </c>
      <c r="B5" s="33"/>
      <c r="C5" s="33"/>
      <c r="D5" s="33">
        <f t="shared" ref="D5:D6" si="1">SUM(E5:I5)</f>
        <v>18857.078549804683</v>
      </c>
      <c r="E5" s="33">
        <f>E17+E24</f>
        <v>3587.5</v>
      </c>
      <c r="F5" s="33">
        <f t="shared" ref="F5:I5" si="2">F17+F24</f>
        <v>3677.1875</v>
      </c>
      <c r="G5" s="33">
        <f t="shared" si="2"/>
        <v>3769.1171874999991</v>
      </c>
      <c r="H5" s="33">
        <f t="shared" si="2"/>
        <v>3863.345117187499</v>
      </c>
      <c r="I5" s="33">
        <f t="shared" si="2"/>
        <v>3959.9287451171858</v>
      </c>
    </row>
    <row r="6" spans="1:9" x14ac:dyDescent="0.25">
      <c r="A6" t="s">
        <v>1650</v>
      </c>
      <c r="B6" s="33"/>
      <c r="C6" s="33"/>
      <c r="D6" s="33">
        <f t="shared" si="1"/>
        <v>0</v>
      </c>
      <c r="E6" s="33">
        <v>0</v>
      </c>
      <c r="F6" s="33">
        <v>0</v>
      </c>
      <c r="G6" s="33">
        <v>0</v>
      </c>
      <c r="H6" s="33">
        <v>0</v>
      </c>
      <c r="I6" s="33">
        <v>0</v>
      </c>
    </row>
    <row r="8" spans="1:9" x14ac:dyDescent="0.25">
      <c r="A8" s="10" t="s">
        <v>1992</v>
      </c>
      <c r="B8" s="10"/>
      <c r="C8" s="10"/>
      <c r="D8" s="10"/>
    </row>
    <row r="9" spans="1:9" x14ac:dyDescent="0.25">
      <c r="A9" t="s">
        <v>3254</v>
      </c>
    </row>
    <row r="12" spans="1:9" x14ac:dyDescent="0.25">
      <c r="A12" s="8" t="s">
        <v>1720</v>
      </c>
    </row>
    <row r="13" spans="1:9" x14ac:dyDescent="0.25">
      <c r="A13" t="s">
        <v>1912</v>
      </c>
    </row>
    <row r="14" spans="1:9" x14ac:dyDescent="0.25">
      <c r="A14" t="s">
        <v>1914</v>
      </c>
    </row>
    <row r="15" spans="1:9" x14ac:dyDescent="0.25">
      <c r="A15" t="s">
        <v>2308</v>
      </c>
      <c r="B15" s="15">
        <v>16</v>
      </c>
      <c r="C15" t="s">
        <v>2309</v>
      </c>
      <c r="E15" s="33">
        <f>$B15*HourlyRateAPAMaintenanceStaff*'Modelling Assumptions'!E$101</f>
        <v>1644.1163999999999</v>
      </c>
      <c r="F15" s="33">
        <f>$B15*HourlyRateAPAMaintenanceStaff*'Modelling Assumptions'!F$101</f>
        <v>1685.21931</v>
      </c>
      <c r="G15" s="33">
        <f>$B15*HourlyRateAPAMaintenanceStaff*'Modelling Assumptions'!G$101</f>
        <v>1727.3497927499998</v>
      </c>
      <c r="H15" s="33">
        <f>$B15*HourlyRateAPAMaintenanceStaff*'Modelling Assumptions'!H$101</f>
        <v>1770.5335375687498</v>
      </c>
      <c r="I15" s="33">
        <f>$B15*HourlyRateAPAMaintenanceStaff*'Modelling Assumptions'!I$101</f>
        <v>1814.7968760079682</v>
      </c>
    </row>
    <row r="16" spans="1:9" x14ac:dyDescent="0.25">
      <c r="A16" t="s">
        <v>2310</v>
      </c>
      <c r="B16" s="7">
        <v>4</v>
      </c>
      <c r="C16" t="s">
        <v>2309</v>
      </c>
      <c r="E16" s="33">
        <f>$B16*HourlyRateAPAOMSupervisor*'Modelling Assumptions'!E$101</f>
        <v>520.29</v>
      </c>
      <c r="F16" s="33">
        <f>$B16*HourlyRateAPAOMSupervisor*'Modelling Assumptions'!F$101</f>
        <v>533.29724999999996</v>
      </c>
      <c r="G16" s="33">
        <f>$B16*HourlyRateAPAOMSupervisor*'Modelling Assumptions'!G$101</f>
        <v>546.62968124999998</v>
      </c>
      <c r="H16" s="33">
        <f>$B16*HourlyRateAPAOMSupervisor*'Modelling Assumptions'!H$101</f>
        <v>560.2954232812499</v>
      </c>
      <c r="I16" s="33">
        <f>$B16*HourlyRateAPAOMSupervisor*'Modelling Assumptions'!I$101</f>
        <v>574.30280886328114</v>
      </c>
    </row>
    <row r="17" spans="1:11" x14ac:dyDescent="0.25">
      <c r="A17" t="s">
        <v>2307</v>
      </c>
      <c r="B17" s="55">
        <v>1500</v>
      </c>
      <c r="C17" t="s">
        <v>1757</v>
      </c>
      <c r="E17" s="33">
        <f>$B17*'Modelling Assumptions'!E$101</f>
        <v>1537.4999999999998</v>
      </c>
      <c r="F17" s="33">
        <f>$B17*'Modelling Assumptions'!F$101</f>
        <v>1575.9374999999998</v>
      </c>
      <c r="G17" s="33">
        <f>$B17*'Modelling Assumptions'!G$101</f>
        <v>1615.3359374999998</v>
      </c>
      <c r="H17" s="33">
        <f>$B17*'Modelling Assumptions'!H$101</f>
        <v>1655.7193359374996</v>
      </c>
      <c r="I17" s="33">
        <f>$B17*'Modelling Assumptions'!I$101</f>
        <v>1697.1123193359369</v>
      </c>
      <c r="K17" t="s">
        <v>3477</v>
      </c>
    </row>
    <row r="19" spans="1:11" x14ac:dyDescent="0.25">
      <c r="A19" s="8" t="s">
        <v>1913</v>
      </c>
    </row>
    <row r="20" spans="1:11" x14ac:dyDescent="0.25">
      <c r="A20" t="s">
        <v>2791</v>
      </c>
    </row>
    <row r="21" spans="1:11" x14ac:dyDescent="0.25">
      <c r="A21" t="s">
        <v>1915</v>
      </c>
    </row>
    <row r="22" spans="1:11" x14ac:dyDescent="0.25">
      <c r="A22" t="s">
        <v>2308</v>
      </c>
      <c r="B22" s="7">
        <v>8</v>
      </c>
      <c r="C22" t="s">
        <v>2309</v>
      </c>
      <c r="E22" s="33">
        <f>$B22*HourlyRateAPAMaintenanceStaff*'Modelling Assumptions'!E$101</f>
        <v>822.05819999999994</v>
      </c>
      <c r="F22" s="33">
        <f>$B22*HourlyRateAPAMaintenanceStaff*'Modelling Assumptions'!F$101</f>
        <v>842.60965499999998</v>
      </c>
      <c r="G22" s="33">
        <f>$B22*HourlyRateAPAMaintenanceStaff*'Modelling Assumptions'!G$101</f>
        <v>863.67489637499989</v>
      </c>
      <c r="H22" s="33">
        <f>$B22*HourlyRateAPAMaintenanceStaff*'Modelling Assumptions'!H$101</f>
        <v>885.2667687843749</v>
      </c>
      <c r="I22" s="33">
        <f>$B22*HourlyRateAPAMaintenanceStaff*'Modelling Assumptions'!I$101</f>
        <v>907.3984380039841</v>
      </c>
    </row>
    <row r="23" spans="1:11" x14ac:dyDescent="0.25">
      <c r="A23" t="s">
        <v>2310</v>
      </c>
      <c r="B23" s="7">
        <v>2</v>
      </c>
      <c r="C23" t="s">
        <v>2309</v>
      </c>
      <c r="E23" s="33">
        <f>$B23*HourlyRateAPAOMSupervisor*'Modelling Assumptions'!E$101</f>
        <v>260.14499999999998</v>
      </c>
      <c r="F23" s="33">
        <f>$B23*HourlyRateAPAOMSupervisor*'Modelling Assumptions'!F$101</f>
        <v>266.64862499999998</v>
      </c>
      <c r="G23" s="33">
        <f>$B23*HourlyRateAPAOMSupervisor*'Modelling Assumptions'!G$101</f>
        <v>273.31484062499999</v>
      </c>
      <c r="H23" s="33">
        <f>$B23*HourlyRateAPAOMSupervisor*'Modelling Assumptions'!H$101</f>
        <v>280.14771164062495</v>
      </c>
      <c r="I23" s="33">
        <f>$B23*HourlyRateAPAOMSupervisor*'Modelling Assumptions'!I$101</f>
        <v>287.15140443164057</v>
      </c>
    </row>
    <row r="24" spans="1:11" x14ac:dyDescent="0.25">
      <c r="A24" t="s">
        <v>2307</v>
      </c>
      <c r="B24" s="55">
        <v>2000</v>
      </c>
      <c r="C24" t="s">
        <v>1757</v>
      </c>
      <c r="E24" s="33">
        <f>$B24*'Modelling Assumptions'!E$101</f>
        <v>2050</v>
      </c>
      <c r="F24" s="33">
        <f>$B24*'Modelling Assumptions'!F$101</f>
        <v>2101.25</v>
      </c>
      <c r="G24" s="33">
        <f>$B24*'Modelling Assumptions'!G$101</f>
        <v>2153.7812499999995</v>
      </c>
      <c r="H24" s="33">
        <f>$B24*'Modelling Assumptions'!H$101</f>
        <v>2207.6257812499994</v>
      </c>
      <c r="I24" s="33">
        <f>$B24*'Modelling Assumptions'!I$101</f>
        <v>2262.8164257812491</v>
      </c>
      <c r="K24" t="s">
        <v>3076</v>
      </c>
    </row>
    <row r="29" spans="1:11" x14ac:dyDescent="0.25">
      <c r="A29" s="104"/>
    </row>
    <row r="30" spans="1:11" x14ac:dyDescent="0.25">
      <c r="A30" s="104"/>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59999389629810485"/>
    <pageSetUpPr fitToPage="1"/>
  </sheetPr>
  <dimension ref="A1:K20"/>
  <sheetViews>
    <sheetView workbookViewId="0"/>
  </sheetViews>
  <sheetFormatPr defaultRowHeight="14.4" x14ac:dyDescent="0.3"/>
  <cols>
    <col min="1" max="1" width="52.44140625" customWidth="1"/>
    <col min="4" max="4" width="10.88671875" customWidth="1"/>
    <col min="5" max="5" width="11.109375" bestFit="1" customWidth="1"/>
  </cols>
  <sheetData>
    <row r="1" spans="1:9" x14ac:dyDescent="0.25">
      <c r="A1" t="s">
        <v>1642</v>
      </c>
      <c r="B1" t="s">
        <v>3304</v>
      </c>
    </row>
    <row r="2" spans="1:9"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x14ac:dyDescent="0.25">
      <c r="A3" t="s">
        <v>1648</v>
      </c>
      <c r="B3" s="40"/>
      <c r="C3" s="33"/>
      <c r="D3" s="33">
        <f>SUM(E3:I3)</f>
        <v>0</v>
      </c>
      <c r="E3" s="33">
        <v>0</v>
      </c>
      <c r="F3" s="33">
        <v>0</v>
      </c>
      <c r="G3" s="33">
        <v>0</v>
      </c>
      <c r="H3" s="33">
        <v>0</v>
      </c>
      <c r="I3" s="33">
        <v>0</v>
      </c>
    </row>
    <row r="4" spans="1:9" x14ac:dyDescent="0.25">
      <c r="A4" t="s">
        <v>1643</v>
      </c>
      <c r="B4" s="33"/>
      <c r="C4" s="33"/>
      <c r="D4" s="33">
        <f>SUM(E4:I4)</f>
        <v>0</v>
      </c>
      <c r="E4" s="33">
        <v>0</v>
      </c>
      <c r="F4" s="33">
        <v>0</v>
      </c>
      <c r="G4" s="33">
        <v>0</v>
      </c>
      <c r="H4" s="33">
        <v>0</v>
      </c>
      <c r="I4" s="33">
        <v>0</v>
      </c>
    </row>
    <row r="5" spans="1:9" x14ac:dyDescent="0.25">
      <c r="A5" t="s">
        <v>1649</v>
      </c>
      <c r="B5" s="33"/>
      <c r="C5" s="33"/>
      <c r="D5" s="33">
        <f t="shared" ref="D5:D6" si="0">SUM(E5:I5)</f>
        <v>163248.42287402341</v>
      </c>
      <c r="E5" s="33">
        <f>E20+E17</f>
        <v>31057.5</v>
      </c>
      <c r="F5" s="33">
        <f>F20+F17</f>
        <v>31833.9375</v>
      </c>
      <c r="G5" s="33">
        <f>G20+G17</f>
        <v>32629.785937499997</v>
      </c>
      <c r="H5" s="33">
        <f>H20+H17</f>
        <v>33445.530585937493</v>
      </c>
      <c r="I5" s="33">
        <f>I20+I17</f>
        <v>34281.668850585927</v>
      </c>
    </row>
    <row r="6" spans="1:9" x14ac:dyDescent="0.25">
      <c r="A6" t="s">
        <v>1650</v>
      </c>
      <c r="B6" s="33"/>
      <c r="C6" s="33"/>
      <c r="D6" s="33">
        <f t="shared" si="0"/>
        <v>0</v>
      </c>
      <c r="E6" s="33">
        <v>0</v>
      </c>
      <c r="F6" s="33">
        <v>0</v>
      </c>
      <c r="G6" s="33">
        <v>0</v>
      </c>
      <c r="H6" s="33">
        <v>0</v>
      </c>
      <c r="I6" s="33">
        <v>0</v>
      </c>
    </row>
    <row r="8" spans="1:9" x14ac:dyDescent="0.25">
      <c r="A8" s="10" t="s">
        <v>1992</v>
      </c>
      <c r="B8" s="10"/>
      <c r="C8" s="10"/>
      <c r="D8" s="10"/>
    </row>
    <row r="12" spans="1:9" x14ac:dyDescent="0.25">
      <c r="A12" s="8" t="s">
        <v>1496</v>
      </c>
    </row>
    <row r="13" spans="1:9" x14ac:dyDescent="0.25">
      <c r="A13" t="s">
        <v>3391</v>
      </c>
      <c r="B13" s="7"/>
    </row>
    <row r="14" spans="1:9" s="301" customFormat="1" x14ac:dyDescent="0.25">
      <c r="A14" s="301" t="s">
        <v>3392</v>
      </c>
      <c r="B14" s="7"/>
    </row>
    <row r="16" spans="1:9" x14ac:dyDescent="0.25">
      <c r="A16" s="8" t="s">
        <v>3111</v>
      </c>
    </row>
    <row r="17" spans="1:11" x14ac:dyDescent="0.25">
      <c r="A17" t="s">
        <v>2794</v>
      </c>
      <c r="B17" s="55">
        <v>20300</v>
      </c>
      <c r="C17" t="s">
        <v>1757</v>
      </c>
      <c r="E17" s="33">
        <f>$B17*'Modelling Assumptions'!E$101</f>
        <v>20807.5</v>
      </c>
      <c r="F17" s="33">
        <f>$B17*'Modelling Assumptions'!F$101</f>
        <v>21327.6875</v>
      </c>
      <c r="G17" s="33">
        <f>$B17*'Modelling Assumptions'!G$101</f>
        <v>21860.879687499997</v>
      </c>
      <c r="H17" s="33">
        <f>$B17*'Modelling Assumptions'!H$101</f>
        <v>22407.401679687497</v>
      </c>
      <c r="I17" s="33">
        <f>$B17*'Modelling Assumptions'!I$101</f>
        <v>22967.58672167968</v>
      </c>
      <c r="K17" t="s">
        <v>3075</v>
      </c>
    </row>
    <row r="19" spans="1:11" x14ac:dyDescent="0.25">
      <c r="A19" s="8" t="s">
        <v>2783</v>
      </c>
    </row>
    <row r="20" spans="1:11" x14ac:dyDescent="0.25">
      <c r="A20" t="s">
        <v>1696</v>
      </c>
      <c r="B20" s="55">
        <v>10000</v>
      </c>
      <c r="C20" t="s">
        <v>1757</v>
      </c>
      <c r="E20" s="33">
        <f>$B20*'Modelling Assumptions'!E$101</f>
        <v>10250</v>
      </c>
      <c r="F20" s="33">
        <f>$B20*'Modelling Assumptions'!F$101</f>
        <v>10506.25</v>
      </c>
      <c r="G20" s="33">
        <f>$B20*'Modelling Assumptions'!G$101</f>
        <v>10768.906249999998</v>
      </c>
      <c r="H20" s="33">
        <f>$B20*'Modelling Assumptions'!H$101</f>
        <v>11038.128906249998</v>
      </c>
      <c r="I20" s="33">
        <f>$B20*'Modelling Assumptions'!I$101</f>
        <v>11314.082128906246</v>
      </c>
      <c r="K20" s="301" t="s">
        <v>3075</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tint="0.59999389629810485"/>
    <pageSetUpPr fitToPage="1"/>
  </sheetPr>
  <dimension ref="A1:K15"/>
  <sheetViews>
    <sheetView workbookViewId="0"/>
  </sheetViews>
  <sheetFormatPr defaultRowHeight="14.4" x14ac:dyDescent="0.3"/>
  <cols>
    <col min="1" max="1" width="52.44140625" customWidth="1"/>
    <col min="4" max="4" width="10.88671875" customWidth="1"/>
    <col min="5" max="5" width="11.109375" bestFit="1" customWidth="1"/>
  </cols>
  <sheetData>
    <row r="1" spans="1:11" x14ac:dyDescent="0.25">
      <c r="A1" t="s">
        <v>1642</v>
      </c>
      <c r="B1" t="s">
        <v>2803</v>
      </c>
    </row>
    <row r="2" spans="1:11"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11" x14ac:dyDescent="0.25">
      <c r="A3" t="s">
        <v>1648</v>
      </c>
      <c r="B3" s="40"/>
      <c r="C3" s="33"/>
      <c r="D3" s="33">
        <f>SUM(E3:I3)</f>
        <v>35552.597124128901</v>
      </c>
      <c r="E3" s="33">
        <f>HourlyRateAPAOMSupervisor*$B$12*52*'Modelling Assumptions'!E101</f>
        <v>6763.7699999999995</v>
      </c>
      <c r="F3" s="33">
        <f>HourlyRateAPAOMSupervisor*$B$12*52*'Modelling Assumptions'!F101</f>
        <v>6932.8642499999996</v>
      </c>
      <c r="G3" s="33">
        <f>HourlyRateAPAOMSupervisor*$B$12*52*'Modelling Assumptions'!G101</f>
        <v>7106.1858562499992</v>
      </c>
      <c r="H3" s="33">
        <f>HourlyRateAPAOMSupervisor*$B$12*52*'Modelling Assumptions'!H101</f>
        <v>7283.8405026562486</v>
      </c>
      <c r="I3" s="33">
        <f>HourlyRateAPAOMSupervisor*$B$12*52*'Modelling Assumptions'!I101</f>
        <v>7465.9365152226537</v>
      </c>
    </row>
    <row r="4" spans="1:11" x14ac:dyDescent="0.25">
      <c r="A4" t="s">
        <v>1643</v>
      </c>
      <c r="B4" s="33"/>
      <c r="C4" s="33"/>
      <c r="D4" s="33">
        <f>SUM(E4:I4)</f>
        <v>0</v>
      </c>
      <c r="E4" s="33">
        <v>0</v>
      </c>
      <c r="F4" s="33">
        <v>0</v>
      </c>
      <c r="G4" s="33">
        <v>0</v>
      </c>
      <c r="H4" s="33">
        <v>0</v>
      </c>
      <c r="I4" s="33">
        <v>0</v>
      </c>
    </row>
    <row r="5" spans="1:11" x14ac:dyDescent="0.25">
      <c r="A5" t="s">
        <v>1649</v>
      </c>
      <c r="B5" s="33"/>
      <c r="C5" s="33"/>
      <c r="D5" s="33">
        <f t="shared" ref="D5:D6" si="0">SUM(E5:I5)</f>
        <v>323264.20371093741</v>
      </c>
      <c r="E5" s="33">
        <f>E15</f>
        <v>61499.999999999993</v>
      </c>
      <c r="F5" s="33">
        <f t="shared" ref="F5:I5" si="1">F15</f>
        <v>63037.499999999993</v>
      </c>
      <c r="G5" s="33">
        <f t="shared" si="1"/>
        <v>64613.437499999993</v>
      </c>
      <c r="H5" s="33">
        <f t="shared" si="1"/>
        <v>66228.773437499985</v>
      </c>
      <c r="I5" s="33">
        <f t="shared" si="1"/>
        <v>67884.49277343748</v>
      </c>
    </row>
    <row r="6" spans="1:11" x14ac:dyDescent="0.25">
      <c r="A6" t="s">
        <v>1650</v>
      </c>
      <c r="B6" s="33"/>
      <c r="C6" s="33"/>
      <c r="D6" s="33">
        <f t="shared" si="0"/>
        <v>0</v>
      </c>
      <c r="E6" s="33">
        <v>0</v>
      </c>
      <c r="F6" s="33">
        <v>0</v>
      </c>
      <c r="G6" s="33">
        <v>0</v>
      </c>
      <c r="H6" s="33">
        <v>0</v>
      </c>
      <c r="I6" s="33">
        <v>0</v>
      </c>
    </row>
    <row r="8" spans="1:11" x14ac:dyDescent="0.25">
      <c r="A8" s="10" t="s">
        <v>1992</v>
      </c>
      <c r="B8" s="10"/>
      <c r="C8" s="10"/>
      <c r="D8" s="10"/>
    </row>
    <row r="9" spans="1:11" x14ac:dyDescent="0.25">
      <c r="A9" t="s">
        <v>3348</v>
      </c>
    </row>
    <row r="11" spans="1:11" x14ac:dyDescent="0.25">
      <c r="A11" s="8" t="s">
        <v>1496</v>
      </c>
    </row>
    <row r="12" spans="1:11" x14ac:dyDescent="0.25">
      <c r="A12" t="s">
        <v>2804</v>
      </c>
      <c r="B12" s="7">
        <v>1</v>
      </c>
      <c r="C12" t="s">
        <v>3478</v>
      </c>
    </row>
    <row r="14" spans="1:11" x14ac:dyDescent="0.25">
      <c r="A14" s="8" t="s">
        <v>2786</v>
      </c>
    </row>
    <row r="15" spans="1:11" x14ac:dyDescent="0.25">
      <c r="A15" t="s">
        <v>1696</v>
      </c>
      <c r="B15" s="55">
        <v>60000</v>
      </c>
      <c r="C15" t="s">
        <v>1757</v>
      </c>
      <c r="E15" s="33">
        <f>$B15*'Modelling Assumptions'!E$101</f>
        <v>61499.999999999993</v>
      </c>
      <c r="F15" s="33">
        <f>$B15*'Modelling Assumptions'!F$101</f>
        <v>63037.499999999993</v>
      </c>
      <c r="G15" s="33">
        <f>$B15*'Modelling Assumptions'!G$101</f>
        <v>64613.437499999993</v>
      </c>
      <c r="H15" s="33">
        <f>$B15*'Modelling Assumptions'!H$101</f>
        <v>66228.773437499985</v>
      </c>
      <c r="I15" s="33">
        <f>$B15*'Modelling Assumptions'!I$101</f>
        <v>67884.49277343748</v>
      </c>
      <c r="K15" t="s">
        <v>2793</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6" tint="0.59999389629810485"/>
    <pageSetUpPr fitToPage="1"/>
  </sheetPr>
  <dimension ref="A1:K33"/>
  <sheetViews>
    <sheetView workbookViewId="0"/>
  </sheetViews>
  <sheetFormatPr defaultRowHeight="14.4" x14ac:dyDescent="0.3"/>
  <cols>
    <col min="1" max="1" width="52.44140625" customWidth="1"/>
    <col min="4" max="4" width="10.88671875" customWidth="1"/>
    <col min="5" max="5" width="11.109375" bestFit="1" customWidth="1"/>
  </cols>
  <sheetData>
    <row r="1" spans="1:9" ht="15" x14ac:dyDescent="0.25">
      <c r="A1" t="s">
        <v>1642</v>
      </c>
      <c r="B1" t="s">
        <v>2421</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42334.938729347348</v>
      </c>
      <c r="E3" s="33">
        <f>(HourlyRateAPAMaintenanceStaff*$B$15*2+HourlyRateAPAOMSupervisor*$B$16)*12*'Modelling Assumptions'!E101</f>
        <v>8054.0892000000003</v>
      </c>
      <c r="F3" s="33">
        <f>(HourlyRateAPAMaintenanceStaff*$B$15*2+HourlyRateAPAOMSupervisor*$B$16)*12*'Modelling Assumptions'!F101</f>
        <v>8255.4414300000008</v>
      </c>
      <c r="G3" s="33">
        <f>(HourlyRateAPAMaintenanceStaff*$B$15*2+HourlyRateAPAOMSupervisor*$B$16)*12*'Modelling Assumptions'!G101</f>
        <v>8461.8274657500006</v>
      </c>
      <c r="H3" s="33">
        <f>(HourlyRateAPAMaintenanceStaff*$B$15*2+HourlyRateAPAOMSupervisor*$B$16)*12*'Modelling Assumptions'!H101</f>
        <v>8673.3731523937495</v>
      </c>
      <c r="I3" s="33">
        <f>(HourlyRateAPAMaintenanceStaff*$B$15*2+HourlyRateAPAOMSupervisor*$B$16)*12*'Modelling Assumptions'!I101</f>
        <v>8890.2074812035917</v>
      </c>
    </row>
    <row r="4" spans="1:9" ht="15" x14ac:dyDescent="0.25">
      <c r="A4" t="s">
        <v>1643</v>
      </c>
      <c r="B4" s="33"/>
      <c r="C4" s="33"/>
      <c r="D4" s="33">
        <f>SUM(E4:I4)</f>
        <v>0</v>
      </c>
      <c r="E4" s="33">
        <v>0</v>
      </c>
      <c r="F4" s="33">
        <v>0</v>
      </c>
      <c r="G4" s="33">
        <v>0</v>
      </c>
      <c r="H4" s="33">
        <v>0</v>
      </c>
      <c r="I4" s="33">
        <v>0</v>
      </c>
    </row>
    <row r="5" spans="1:9" ht="15" x14ac:dyDescent="0.25">
      <c r="A5" t="s">
        <v>1649</v>
      </c>
      <c r="B5" s="33"/>
      <c r="C5" s="33"/>
      <c r="D5" s="33">
        <f t="shared" ref="D5:D6" si="0">SUM(E5:I5)</f>
        <v>140727.68334882808</v>
      </c>
      <c r="E5" s="33">
        <f>E20+E24+E28+E33</f>
        <v>26773</v>
      </c>
      <c r="F5" s="33">
        <f t="shared" ref="F5:I5" si="1">F20+F24+F28+F33</f>
        <v>27442.324999999997</v>
      </c>
      <c r="G5" s="33">
        <f t="shared" si="1"/>
        <v>28128.383124999993</v>
      </c>
      <c r="H5" s="33">
        <f t="shared" si="1"/>
        <v>28831.592703124996</v>
      </c>
      <c r="I5" s="33">
        <f t="shared" si="1"/>
        <v>29552.382520703115</v>
      </c>
    </row>
    <row r="6" spans="1:9" ht="15" x14ac:dyDescent="0.25">
      <c r="A6" t="s">
        <v>1650</v>
      </c>
      <c r="B6" s="33"/>
      <c r="C6" s="33"/>
      <c r="D6" s="33">
        <f t="shared" si="0"/>
        <v>0</v>
      </c>
      <c r="E6" s="33">
        <v>0</v>
      </c>
      <c r="F6" s="33">
        <v>0</v>
      </c>
      <c r="G6" s="33">
        <v>0</v>
      </c>
      <c r="H6" s="33">
        <v>0</v>
      </c>
      <c r="I6" s="33">
        <v>0</v>
      </c>
    </row>
    <row r="8" spans="1:9" ht="15" x14ac:dyDescent="0.25">
      <c r="A8" s="10" t="s">
        <v>1992</v>
      </c>
      <c r="B8" s="10"/>
      <c r="C8" s="10"/>
      <c r="D8" s="10"/>
    </row>
    <row r="9" spans="1:9" ht="15" x14ac:dyDescent="0.25">
      <c r="A9" t="s">
        <v>3274</v>
      </c>
    </row>
    <row r="10" spans="1:9" s="301" customFormat="1" ht="15" x14ac:dyDescent="0.25">
      <c r="A10" s="301" t="s">
        <v>3275</v>
      </c>
    </row>
    <row r="11" spans="1:9" s="301" customFormat="1" ht="15" x14ac:dyDescent="0.25">
      <c r="A11" s="301" t="s">
        <v>3276</v>
      </c>
    </row>
    <row r="14" spans="1:9" ht="15" x14ac:dyDescent="0.25">
      <c r="A14" s="8" t="s">
        <v>1496</v>
      </c>
    </row>
    <row r="15" spans="1:9" ht="15" x14ac:dyDescent="0.25">
      <c r="A15" t="s">
        <v>2389</v>
      </c>
      <c r="B15" s="7">
        <v>2</v>
      </c>
      <c r="C15" t="s">
        <v>2391</v>
      </c>
    </row>
    <row r="16" spans="1:9" ht="15" x14ac:dyDescent="0.25">
      <c r="A16" t="s">
        <v>2390</v>
      </c>
      <c r="B16" s="7">
        <v>2</v>
      </c>
      <c r="C16" t="s">
        <v>2392</v>
      </c>
    </row>
    <row r="19" spans="1:11" ht="15" x14ac:dyDescent="0.25">
      <c r="A19" s="8" t="s">
        <v>2766</v>
      </c>
    </row>
    <row r="20" spans="1:11" ht="15" x14ac:dyDescent="0.25">
      <c r="A20" t="s">
        <v>2796</v>
      </c>
      <c r="B20" s="55">
        <v>2000</v>
      </c>
      <c r="C20" t="s">
        <v>2797</v>
      </c>
      <c r="E20" s="33">
        <f>4*$B20*'Modelling Assumptions'!E$101</f>
        <v>8200</v>
      </c>
      <c r="F20" s="33">
        <f>4*$B20*'Modelling Assumptions'!F$101</f>
        <v>8405</v>
      </c>
      <c r="G20" s="33">
        <f>4*$B20*'Modelling Assumptions'!G$101</f>
        <v>8615.1249999999982</v>
      </c>
      <c r="H20" s="33">
        <f>4*$B20*'Modelling Assumptions'!H$101</f>
        <v>8830.5031249999975</v>
      </c>
      <c r="I20" s="33">
        <f>4*$B20*'Modelling Assumptions'!I$101</f>
        <v>9051.2657031249964</v>
      </c>
      <c r="K20" t="s">
        <v>2793</v>
      </c>
    </row>
    <row r="23" spans="1:11" ht="15" x14ac:dyDescent="0.25">
      <c r="A23" s="8" t="s">
        <v>2798</v>
      </c>
    </row>
    <row r="24" spans="1:11" ht="15" x14ac:dyDescent="0.25">
      <c r="A24" t="s">
        <v>2799</v>
      </c>
      <c r="B24" s="55">
        <v>400</v>
      </c>
      <c r="C24" t="s">
        <v>1908</v>
      </c>
      <c r="E24" s="33">
        <f>12*$B24*'Modelling Assumptions'!E$101</f>
        <v>4920</v>
      </c>
      <c r="F24" s="33">
        <f>12*$B24*'Modelling Assumptions'!F$101</f>
        <v>5043</v>
      </c>
      <c r="G24" s="33">
        <f>12*$B24*'Modelling Assumptions'!G$101</f>
        <v>5169.0749999999998</v>
      </c>
      <c r="H24" s="33">
        <f>12*$B24*'Modelling Assumptions'!H$101</f>
        <v>5298.3018749999992</v>
      </c>
      <c r="I24" s="33">
        <f>12*$B24*'Modelling Assumptions'!I$101</f>
        <v>5430.7594218749982</v>
      </c>
      <c r="K24" t="s">
        <v>2793</v>
      </c>
    </row>
    <row r="25" spans="1:11" ht="15" x14ac:dyDescent="0.25">
      <c r="B25" s="55"/>
      <c r="E25" s="33"/>
      <c r="F25" s="33"/>
      <c r="G25" s="33"/>
      <c r="H25" s="33"/>
      <c r="I25" s="33"/>
    </row>
    <row r="26" spans="1:11" ht="15" x14ac:dyDescent="0.25">
      <c r="B26" s="55"/>
      <c r="E26" s="33"/>
      <c r="F26" s="33"/>
      <c r="G26" s="33"/>
      <c r="H26" s="33"/>
      <c r="I26" s="33"/>
    </row>
    <row r="27" spans="1:11" ht="15" x14ac:dyDescent="0.25">
      <c r="A27" s="8" t="s">
        <v>2802</v>
      </c>
    </row>
    <row r="28" spans="1:11" ht="15" x14ac:dyDescent="0.25">
      <c r="A28" t="s">
        <v>2801</v>
      </c>
      <c r="B28" s="55">
        <v>110</v>
      </c>
      <c r="C28" t="s">
        <v>1908</v>
      </c>
      <c r="E28" s="33">
        <f>12*$B28*'Modelling Assumptions'!E$101</f>
        <v>1352.9999999999998</v>
      </c>
      <c r="F28" s="33">
        <f>12*$B28*'Modelling Assumptions'!F$101</f>
        <v>1386.8249999999998</v>
      </c>
      <c r="G28" s="33">
        <f>12*$B28*'Modelling Assumptions'!G$101</f>
        <v>1421.4956249999998</v>
      </c>
      <c r="H28" s="33">
        <f>12*$B28*'Modelling Assumptions'!H$101</f>
        <v>1457.0330156249997</v>
      </c>
      <c r="I28" s="33">
        <f>12*$B28*'Modelling Assumptions'!I$101</f>
        <v>1493.4588410156246</v>
      </c>
      <c r="K28" t="s">
        <v>2793</v>
      </c>
    </row>
    <row r="29" spans="1:11" ht="15" x14ac:dyDescent="0.25">
      <c r="B29" s="55"/>
      <c r="E29" s="33"/>
      <c r="F29" s="33"/>
      <c r="G29" s="33"/>
      <c r="H29" s="33"/>
      <c r="I29" s="33"/>
    </row>
    <row r="31" spans="1:11" x14ac:dyDescent="0.3">
      <c r="A31" s="8" t="s">
        <v>2755</v>
      </c>
    </row>
    <row r="32" spans="1:11" x14ac:dyDescent="0.3">
      <c r="A32" s="34" t="s">
        <v>2800</v>
      </c>
    </row>
    <row r="33" spans="1:11" x14ac:dyDescent="0.3">
      <c r="A33" t="s">
        <v>1696</v>
      </c>
      <c r="B33" s="55">
        <v>1000</v>
      </c>
      <c r="C33" t="s">
        <v>1908</v>
      </c>
      <c r="E33" s="33">
        <f>12*$B33*'Modelling Assumptions'!E$101</f>
        <v>12299.999999999998</v>
      </c>
      <c r="F33" s="33">
        <f>12*$B33*'Modelling Assumptions'!F$101</f>
        <v>12607.499999999998</v>
      </c>
      <c r="G33" s="33">
        <f>12*$B33*'Modelling Assumptions'!G$101</f>
        <v>12922.687499999998</v>
      </c>
      <c r="H33" s="33">
        <f>12*$B33*'Modelling Assumptions'!H$101</f>
        <v>13245.754687499997</v>
      </c>
      <c r="I33" s="33">
        <f>12*$B33*'Modelling Assumptions'!I$101</f>
        <v>13576.898554687496</v>
      </c>
      <c r="K33" t="s">
        <v>2793</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5" tint="0.79998168889431442"/>
    <pageSetUpPr fitToPage="1"/>
  </sheetPr>
  <dimension ref="A1:I27"/>
  <sheetViews>
    <sheetView workbookViewId="0"/>
  </sheetViews>
  <sheetFormatPr defaultRowHeight="14.4" x14ac:dyDescent="0.3"/>
  <cols>
    <col min="1" max="1" width="52.44140625" customWidth="1"/>
    <col min="4" max="4" width="10.88671875" customWidth="1"/>
    <col min="5" max="5" width="11.109375" bestFit="1" customWidth="1"/>
  </cols>
  <sheetData>
    <row r="1" spans="1:9" x14ac:dyDescent="0.25">
      <c r="A1" t="s">
        <v>1642</v>
      </c>
      <c r="B1" t="str">
        <f ca="1">UPPER(RIGHT(CELL("filename",A1),LEN(CELL("filename",A1))-FIND("]",CELL("filename",A1))))</f>
        <v>OPERATIONS MANAGER</v>
      </c>
    </row>
    <row r="2" spans="1:9"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x14ac:dyDescent="0.25">
      <c r="A3" t="s">
        <v>1648</v>
      </c>
      <c r="B3" s="40"/>
      <c r="C3" s="33"/>
      <c r="D3" s="33">
        <f>SUM(E3:I3)</f>
        <v>737397.8674940631</v>
      </c>
      <c r="E3" s="33">
        <f>$B26*HourlyRateAPAOperationsManager*'Modelling Assumptions'!E$101</f>
        <v>151910.63217</v>
      </c>
      <c r="F3" s="33">
        <f>$B27*HourlyRateAPAOperationsManager*'Modelling Assumptions'!F$101</f>
        <v>140995.79344124999</v>
      </c>
      <c r="G3" s="33">
        <f>$B27*HourlyRateAPAOperationsManager*'Modelling Assumptions'!G$101</f>
        <v>144520.68827728124</v>
      </c>
      <c r="H3" s="33">
        <f>$B27*HourlyRateAPAOperationsManager*'Modelling Assumptions'!H$101</f>
        <v>148133.70548421325</v>
      </c>
      <c r="I3" s="33">
        <f>$B27*HourlyRateAPAOperationsManager*'Modelling Assumptions'!I$101</f>
        <v>151837.04812131857</v>
      </c>
    </row>
    <row r="4" spans="1:9" x14ac:dyDescent="0.25">
      <c r="A4" t="s">
        <v>1643</v>
      </c>
      <c r="B4" s="33"/>
      <c r="C4" s="33"/>
      <c r="D4" s="33">
        <f>SUM(E4:I4)</f>
        <v>0</v>
      </c>
      <c r="E4" s="33">
        <v>0</v>
      </c>
      <c r="F4" s="33">
        <v>0</v>
      </c>
      <c r="G4" s="33">
        <v>0</v>
      </c>
      <c r="H4" s="33">
        <v>0</v>
      </c>
      <c r="I4" s="33">
        <v>0</v>
      </c>
    </row>
    <row r="5" spans="1:9" x14ac:dyDescent="0.25">
      <c r="A5" t="s">
        <v>1649</v>
      </c>
      <c r="B5" s="33"/>
      <c r="C5" s="33"/>
      <c r="D5" s="33">
        <f t="shared" ref="D5:D6" si="0">SUM(E5:I5)</f>
        <v>0</v>
      </c>
      <c r="E5" s="33">
        <v>0</v>
      </c>
      <c r="F5" s="33">
        <v>0</v>
      </c>
      <c r="G5" s="33">
        <v>0</v>
      </c>
      <c r="H5" s="33">
        <v>0</v>
      </c>
      <c r="I5" s="33">
        <v>0</v>
      </c>
    </row>
    <row r="6" spans="1:9" x14ac:dyDescent="0.25">
      <c r="A6" t="s">
        <v>1650</v>
      </c>
      <c r="B6" s="33"/>
      <c r="C6" s="33"/>
      <c r="D6" s="33">
        <f t="shared" si="0"/>
        <v>0</v>
      </c>
      <c r="E6" s="33">
        <v>0</v>
      </c>
      <c r="F6" s="33">
        <v>0</v>
      </c>
      <c r="G6" s="33">
        <v>0</v>
      </c>
      <c r="H6" s="33">
        <v>0</v>
      </c>
      <c r="I6" s="33">
        <v>0</v>
      </c>
    </row>
    <row r="9" spans="1:9" x14ac:dyDescent="0.25">
      <c r="A9" s="12" t="s">
        <v>1992</v>
      </c>
      <c r="B9" s="12"/>
      <c r="C9" s="12"/>
    </row>
    <row r="10" spans="1:9" x14ac:dyDescent="0.25">
      <c r="A10" t="s">
        <v>3162</v>
      </c>
    </row>
    <row r="11" spans="1:9" x14ac:dyDescent="0.25">
      <c r="A11" t="s">
        <v>3163</v>
      </c>
    </row>
    <row r="12" spans="1:9" x14ac:dyDescent="0.25">
      <c r="A12" t="s">
        <v>2374</v>
      </c>
    </row>
    <row r="13" spans="1:9" s="301" customFormat="1" x14ac:dyDescent="0.25">
      <c r="A13" s="301" t="s">
        <v>3420</v>
      </c>
    </row>
    <row r="15" spans="1:9" x14ac:dyDescent="0.25">
      <c r="A15" s="103" t="s">
        <v>2375</v>
      </c>
      <c r="B15" s="103"/>
      <c r="C15" s="103"/>
    </row>
    <row r="16" spans="1:9" s="301" customFormat="1" x14ac:dyDescent="0.25">
      <c r="A16" s="301" t="s">
        <v>3164</v>
      </c>
      <c r="B16" s="93">
        <v>0.5</v>
      </c>
    </row>
    <row r="17" spans="1:4" s="301" customFormat="1" x14ac:dyDescent="0.25"/>
    <row r="18" spans="1:4" s="301" customFormat="1" x14ac:dyDescent="0.25">
      <c r="A18" s="16" t="s">
        <v>3514</v>
      </c>
      <c r="B18" s="16"/>
      <c r="C18" s="16"/>
      <c r="D18" s="16"/>
    </row>
    <row r="19" spans="1:4" x14ac:dyDescent="0.25">
      <c r="A19" t="s">
        <v>3165</v>
      </c>
    </row>
    <row r="20" spans="1:4" x14ac:dyDescent="0.25">
      <c r="A20" t="s">
        <v>3166</v>
      </c>
      <c r="B20">
        <f>8*(38*4/5)</f>
        <v>243.2</v>
      </c>
      <c r="C20" t="s">
        <v>3168</v>
      </c>
    </row>
    <row r="21" spans="1:4" x14ac:dyDescent="0.25">
      <c r="A21" t="s">
        <v>3167</v>
      </c>
      <c r="B21" s="301">
        <f>8*(38*B16)</f>
        <v>152</v>
      </c>
      <c r="C21" t="s">
        <v>3169</v>
      </c>
    </row>
    <row r="22" spans="1:4" s="301" customFormat="1" x14ac:dyDescent="0.25">
      <c r="A22" s="301" t="s">
        <v>3170</v>
      </c>
      <c r="B22" s="301">
        <f>B20-B21</f>
        <v>91.199999999999989</v>
      </c>
    </row>
    <row r="23" spans="1:4" s="301" customFormat="1" x14ac:dyDescent="0.25"/>
    <row r="25" spans="1:4" x14ac:dyDescent="0.25">
      <c r="A25" s="10" t="s">
        <v>3172</v>
      </c>
      <c r="B25" s="170" t="s">
        <v>2125</v>
      </c>
      <c r="C25" s="10"/>
      <c r="D25" s="10"/>
    </row>
    <row r="26" spans="1:4" x14ac:dyDescent="0.25">
      <c r="A26" t="s">
        <v>3171</v>
      </c>
      <c r="B26">
        <f>FullTimeHoursPerYear*B16+B22</f>
        <v>965.2</v>
      </c>
    </row>
    <row r="27" spans="1:4" x14ac:dyDescent="0.25">
      <c r="A27" t="s">
        <v>2376</v>
      </c>
      <c r="B27" s="301">
        <f>FullTimeHoursPerYear*B16</f>
        <v>874</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tint="0.79998168889431442"/>
    <pageSetUpPr fitToPage="1"/>
  </sheetPr>
  <dimension ref="A1:K17"/>
  <sheetViews>
    <sheetView workbookViewId="0"/>
  </sheetViews>
  <sheetFormatPr defaultColWidth="9.109375" defaultRowHeight="14.4" x14ac:dyDescent="0.3"/>
  <cols>
    <col min="1" max="1" width="52.44140625" style="301" customWidth="1"/>
    <col min="2" max="3" width="9.109375" style="301"/>
    <col min="4" max="4" width="10.88671875" style="301" customWidth="1"/>
    <col min="5" max="5" width="11.109375" style="301" bestFit="1" customWidth="1"/>
    <col min="6" max="16384" width="9.109375" style="301"/>
  </cols>
  <sheetData>
    <row r="1" spans="1:11" x14ac:dyDescent="0.25">
      <c r="A1" s="301" t="s">
        <v>1642</v>
      </c>
      <c r="B1" s="301" t="str">
        <f ca="1">UPPER(RIGHT(CELL("filename",A1),LEN(CELL("filename",A1))-FIND("]",CELL("filename",A1))))</f>
        <v>SENIOR RELIABILITY ENGINEER</v>
      </c>
    </row>
    <row r="2" spans="1:11"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11" x14ac:dyDescent="0.25">
      <c r="A3" s="301" t="s">
        <v>1648</v>
      </c>
      <c r="B3" s="40"/>
      <c r="C3" s="33"/>
      <c r="D3" s="33">
        <f>SUM(E3:I3)</f>
        <v>663288.39565389254</v>
      </c>
      <c r="E3" s="33">
        <f>$B$16*HourlyRateSeniorReliabilityEng*'Modelling Assumptions'!E$101</f>
        <v>126188.53515</v>
      </c>
      <c r="F3" s="33">
        <f>$B$16*HourlyRateSeniorReliabilityEng*'Modelling Assumptions'!F$101</f>
        <v>129343.24852874999</v>
      </c>
      <c r="G3" s="33">
        <f>$B$16*HourlyRateSeniorReliabilityEng*'Modelling Assumptions'!G$101</f>
        <v>132576.82974196874</v>
      </c>
      <c r="H3" s="33">
        <f>$B$16*HourlyRateSeniorReliabilityEng*'Modelling Assumptions'!H$101</f>
        <v>135891.25048551796</v>
      </c>
      <c r="I3" s="33">
        <f>$B$16*HourlyRateSeniorReliabilityEng*'Modelling Assumptions'!I$101</f>
        <v>139288.53174765588</v>
      </c>
    </row>
    <row r="4" spans="1:11" x14ac:dyDescent="0.25">
      <c r="A4" s="301" t="s">
        <v>1643</v>
      </c>
      <c r="B4" s="33"/>
      <c r="C4" s="33"/>
      <c r="D4" s="33">
        <f>SUM(E4:I4)</f>
        <v>0</v>
      </c>
      <c r="E4" s="33">
        <v>0</v>
      </c>
      <c r="F4" s="33">
        <v>0</v>
      </c>
      <c r="G4" s="33">
        <v>0</v>
      </c>
      <c r="H4" s="33">
        <v>0</v>
      </c>
      <c r="I4" s="33">
        <v>0</v>
      </c>
    </row>
    <row r="5" spans="1:11" x14ac:dyDescent="0.25">
      <c r="A5" s="301" t="s">
        <v>1649</v>
      </c>
      <c r="B5" s="33"/>
      <c r="C5" s="33"/>
      <c r="D5" s="33">
        <f t="shared" ref="D5:D6" si="0">SUM(E5:I5)</f>
        <v>0</v>
      </c>
      <c r="E5" s="33">
        <v>0</v>
      </c>
      <c r="F5" s="33">
        <v>0</v>
      </c>
      <c r="G5" s="33">
        <v>0</v>
      </c>
      <c r="H5" s="33">
        <v>0</v>
      </c>
      <c r="I5" s="33">
        <v>0</v>
      </c>
    </row>
    <row r="6" spans="1:11" x14ac:dyDescent="0.25">
      <c r="A6" s="301" t="s">
        <v>1650</v>
      </c>
      <c r="B6" s="33"/>
      <c r="C6" s="33"/>
      <c r="D6" s="33">
        <f t="shared" si="0"/>
        <v>0</v>
      </c>
      <c r="E6" s="33">
        <v>0</v>
      </c>
      <c r="F6" s="33">
        <v>0</v>
      </c>
      <c r="G6" s="33">
        <v>0</v>
      </c>
      <c r="H6" s="33">
        <v>0</v>
      </c>
      <c r="I6" s="33">
        <v>0</v>
      </c>
    </row>
    <row r="9" spans="1:11" x14ac:dyDescent="0.25">
      <c r="A9" s="12" t="s">
        <v>1992</v>
      </c>
      <c r="B9" s="12"/>
      <c r="C9" s="12"/>
    </row>
    <row r="10" spans="1:11" x14ac:dyDescent="0.25">
      <c r="A10" s="301" t="s">
        <v>3421</v>
      </c>
    </row>
    <row r="11" spans="1:11" x14ac:dyDescent="0.25">
      <c r="A11" s="301" t="s">
        <v>3420</v>
      </c>
    </row>
    <row r="14" spans="1:11" x14ac:dyDescent="0.25">
      <c r="A14" s="10" t="s">
        <v>2126</v>
      </c>
      <c r="B14" s="10" t="s">
        <v>2125</v>
      </c>
      <c r="C14" s="10"/>
      <c r="D14" s="10"/>
      <c r="J14"/>
      <c r="K14"/>
    </row>
    <row r="15" spans="1:11" x14ac:dyDescent="0.25">
      <c r="A15" s="301" t="s">
        <v>3361</v>
      </c>
      <c r="B15" s="93">
        <v>0.5</v>
      </c>
      <c r="J15"/>
      <c r="K15"/>
    </row>
    <row r="16" spans="1:11" x14ac:dyDescent="0.25">
      <c r="A16" s="301" t="s">
        <v>2125</v>
      </c>
      <c r="B16" s="301">
        <f>FullTimeHoursPerYear*B15</f>
        <v>874</v>
      </c>
      <c r="C16" s="301" t="s">
        <v>1736</v>
      </c>
      <c r="J16"/>
      <c r="K16"/>
    </row>
    <row r="17" spans="10:11" x14ac:dyDescent="0.25">
      <c r="J17"/>
      <c r="K17"/>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tint="0.79998168889431442"/>
    <pageSetUpPr fitToPage="1"/>
  </sheetPr>
  <dimension ref="A1:I52"/>
  <sheetViews>
    <sheetView workbookViewId="0"/>
  </sheetViews>
  <sheetFormatPr defaultRowHeight="14.4" x14ac:dyDescent="0.3"/>
  <cols>
    <col min="1" max="1" width="52.44140625" customWidth="1"/>
    <col min="4" max="4" width="10.88671875" customWidth="1"/>
    <col min="5" max="5" width="11.109375" bestFit="1" customWidth="1"/>
  </cols>
  <sheetData>
    <row r="1" spans="1:9" ht="15" x14ac:dyDescent="0.25">
      <c r="A1" t="s">
        <v>1642</v>
      </c>
      <c r="B1" t="str">
        <f ca="1">UPPER(RIGHT(CELL("filename",A1),LEN(CELL("filename",A1))-FIND("]",CELL("filename",A1))))</f>
        <v>RELIABILITY ENGINEER</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597557.11320170504</v>
      </c>
      <c r="E3" s="33">
        <f>$B47*HourlyRateAPAReliabilityEng*'Modelling Assumptions'!E$101</f>
        <v>113683.36499999999</v>
      </c>
      <c r="F3" s="33">
        <f>$B47*HourlyRateAPAReliabilityEng*'Modelling Assumptions'!F$101</f>
        <v>116525.449125</v>
      </c>
      <c r="G3" s="33">
        <f>$B47*HourlyRateAPAReliabilityEng*'Modelling Assumptions'!G$101</f>
        <v>119438.58535312499</v>
      </c>
      <c r="H3" s="33">
        <f>$B47*HourlyRateAPAReliabilityEng*'Modelling Assumptions'!H$101</f>
        <v>122424.5499869531</v>
      </c>
      <c r="I3" s="33">
        <f>$B47*HourlyRateAPAReliabilityEng*'Modelling Assumptions'!I$101</f>
        <v>125485.16373662693</v>
      </c>
    </row>
    <row r="4" spans="1:9" ht="15" x14ac:dyDescent="0.25">
      <c r="A4" t="s">
        <v>1643</v>
      </c>
      <c r="B4" s="33"/>
      <c r="C4" s="33"/>
      <c r="D4" s="33">
        <f>SUM(E4:I4)</f>
        <v>37796.5494215</v>
      </c>
      <c r="E4" s="33">
        <f>$B51*'Modelling Assumptions'!E$102</f>
        <v>10300</v>
      </c>
      <c r="F4" s="33">
        <f>$B51*'Modelling Assumptions'!F$102</f>
        <v>10609</v>
      </c>
      <c r="G4" s="33">
        <f>$B52*'Modelling Assumptions'!G$102</f>
        <v>5463.6350000000002</v>
      </c>
      <c r="H4" s="33">
        <f>$B52*'Modelling Assumptions'!H$102</f>
        <v>5627.5440499999995</v>
      </c>
      <c r="I4" s="33">
        <f>$B52*'Modelling Assumptions'!I$102</f>
        <v>5796.3703714999992</v>
      </c>
    </row>
    <row r="5" spans="1:9" ht="15" x14ac:dyDescent="0.25">
      <c r="A5" t="s">
        <v>1649</v>
      </c>
      <c r="B5" s="33"/>
      <c r="C5" s="33"/>
      <c r="D5" s="33">
        <f t="shared" ref="D5:D6" si="0">SUM(E5:I5)</f>
        <v>0</v>
      </c>
      <c r="E5" s="33">
        <v>0</v>
      </c>
      <c r="F5" s="33">
        <v>0</v>
      </c>
      <c r="G5" s="33">
        <v>0</v>
      </c>
      <c r="H5" s="33">
        <v>0</v>
      </c>
      <c r="I5" s="33">
        <v>0</v>
      </c>
    </row>
    <row r="6" spans="1:9" ht="15" x14ac:dyDescent="0.25">
      <c r="A6" t="s">
        <v>1650</v>
      </c>
      <c r="B6" s="33"/>
      <c r="C6" s="33"/>
      <c r="D6" s="33">
        <f t="shared" si="0"/>
        <v>0</v>
      </c>
      <c r="E6" s="33">
        <v>0</v>
      </c>
      <c r="F6" s="33">
        <v>0</v>
      </c>
      <c r="G6" s="33">
        <v>0</v>
      </c>
      <c r="H6" s="33">
        <v>0</v>
      </c>
      <c r="I6" s="33">
        <v>0</v>
      </c>
    </row>
    <row r="9" spans="1:9" ht="15" x14ac:dyDescent="0.25">
      <c r="A9" s="12" t="s">
        <v>1992</v>
      </c>
      <c r="B9" s="12"/>
      <c r="C9" s="12"/>
    </row>
    <row r="10" spans="1:9" ht="15" x14ac:dyDescent="0.25">
      <c r="A10" t="s">
        <v>2100</v>
      </c>
    </row>
    <row r="11" spans="1:9" ht="15" x14ac:dyDescent="0.25">
      <c r="A11" t="s">
        <v>2101</v>
      </c>
    </row>
    <row r="12" spans="1:9" ht="15" x14ac:dyDescent="0.25">
      <c r="A12" t="s">
        <v>2102</v>
      </c>
    </row>
    <row r="13" spans="1:9" ht="15" x14ac:dyDescent="0.25">
      <c r="A13" t="s">
        <v>2103</v>
      </c>
    </row>
    <row r="14" spans="1:9" ht="15" x14ac:dyDescent="0.25">
      <c r="A14" t="s">
        <v>2104</v>
      </c>
    </row>
    <row r="15" spans="1:9" ht="15" x14ac:dyDescent="0.25">
      <c r="A15" t="s">
        <v>2105</v>
      </c>
    </row>
    <row r="16" spans="1:9" ht="15" x14ac:dyDescent="0.25">
      <c r="A16" t="s">
        <v>2110</v>
      </c>
    </row>
    <row r="17" spans="1:1" ht="15" x14ac:dyDescent="0.25">
      <c r="A17" t="s">
        <v>2111</v>
      </c>
    </row>
    <row r="18" spans="1:1" ht="15" x14ac:dyDescent="0.25">
      <c r="A18" t="s">
        <v>2106</v>
      </c>
    </row>
    <row r="19" spans="1:1" ht="15" x14ac:dyDescent="0.25">
      <c r="A19" t="s">
        <v>2107</v>
      </c>
    </row>
    <row r="20" spans="1:1" ht="15" x14ac:dyDescent="0.25">
      <c r="A20" t="s">
        <v>2108</v>
      </c>
    </row>
    <row r="21" spans="1:1" ht="15" x14ac:dyDescent="0.25">
      <c r="A21" t="s">
        <v>2109</v>
      </c>
    </row>
    <row r="22" spans="1:1" ht="15" x14ac:dyDescent="0.25">
      <c r="A22" t="s">
        <v>2112</v>
      </c>
    </row>
    <row r="23" spans="1:1" ht="15" x14ac:dyDescent="0.25">
      <c r="A23" t="s">
        <v>2113</v>
      </c>
    </row>
    <row r="24" spans="1:1" ht="15" x14ac:dyDescent="0.25">
      <c r="A24" t="s">
        <v>2109</v>
      </c>
    </row>
    <row r="25" spans="1:1" ht="15" x14ac:dyDescent="0.25">
      <c r="A25" t="s">
        <v>2731</v>
      </c>
    </row>
    <row r="27" spans="1:1" ht="15" x14ac:dyDescent="0.25">
      <c r="A27" t="s">
        <v>2118</v>
      </c>
    </row>
    <row r="28" spans="1:1" ht="15" x14ac:dyDescent="0.25">
      <c r="A28" t="s">
        <v>2114</v>
      </c>
    </row>
    <row r="29" spans="1:1" ht="15" x14ac:dyDescent="0.25">
      <c r="A29" t="s">
        <v>2115</v>
      </c>
    </row>
    <row r="30" spans="1:1" ht="15" x14ac:dyDescent="0.25">
      <c r="A30" t="s">
        <v>2116</v>
      </c>
    </row>
    <row r="31" spans="1:1" x14ac:dyDescent="0.3">
      <c r="A31" t="s">
        <v>2117</v>
      </c>
    </row>
    <row r="32" spans="1:1" x14ac:dyDescent="0.3">
      <c r="A32" t="s">
        <v>2122</v>
      </c>
    </row>
    <row r="33" spans="1:4" x14ac:dyDescent="0.3">
      <c r="A33" t="s">
        <v>2123</v>
      </c>
    </row>
    <row r="34" spans="1:4" x14ac:dyDescent="0.3">
      <c r="A34" t="s">
        <v>2124</v>
      </c>
    </row>
    <row r="36" spans="1:4" x14ac:dyDescent="0.3">
      <c r="A36" t="s">
        <v>2119</v>
      </c>
    </row>
    <row r="37" spans="1:4" x14ac:dyDescent="0.3">
      <c r="A37" t="s">
        <v>2120</v>
      </c>
    </row>
    <row r="38" spans="1:4" x14ac:dyDescent="0.3">
      <c r="A38" t="s">
        <v>2121</v>
      </c>
    </row>
    <row r="39" spans="1:4" x14ac:dyDescent="0.3">
      <c r="A39" t="s">
        <v>2122</v>
      </c>
    </row>
    <row r="40" spans="1:4" x14ac:dyDescent="0.3">
      <c r="A40" t="s">
        <v>2123</v>
      </c>
    </row>
    <row r="41" spans="1:4" x14ac:dyDescent="0.3">
      <c r="A41" t="s">
        <v>2124</v>
      </c>
    </row>
    <row r="42" spans="1:4" s="301" customFormat="1" x14ac:dyDescent="0.3"/>
    <row r="43" spans="1:4" s="301" customFormat="1" x14ac:dyDescent="0.3">
      <c r="A43" s="301" t="s">
        <v>3420</v>
      </c>
    </row>
    <row r="45" spans="1:4" x14ac:dyDescent="0.3">
      <c r="A45" s="10" t="s">
        <v>2126</v>
      </c>
      <c r="B45" s="10" t="s">
        <v>2125</v>
      </c>
      <c r="C45" s="10"/>
      <c r="D45" s="10"/>
    </row>
    <row r="46" spans="1:4" x14ac:dyDescent="0.3">
      <c r="A46" t="s">
        <v>3361</v>
      </c>
      <c r="B46" s="114">
        <v>0.5</v>
      </c>
    </row>
    <row r="47" spans="1:4" x14ac:dyDescent="0.3">
      <c r="A47" t="s">
        <v>3362</v>
      </c>
      <c r="B47">
        <f>FullTimeHoursPerYear*B46</f>
        <v>874</v>
      </c>
      <c r="C47" t="s">
        <v>1736</v>
      </c>
    </row>
    <row r="49" spans="1:4" x14ac:dyDescent="0.3">
      <c r="A49" s="10" t="s">
        <v>2127</v>
      </c>
      <c r="B49" s="10"/>
      <c r="C49" s="10"/>
      <c r="D49" s="10"/>
    </row>
    <row r="50" spans="1:4" x14ac:dyDescent="0.3">
      <c r="A50" t="s">
        <v>2128</v>
      </c>
    </row>
    <row r="51" spans="1:4" ht="28.8" x14ac:dyDescent="0.3">
      <c r="A51" s="52" t="s">
        <v>2129</v>
      </c>
      <c r="B51" s="33">
        <v>10000</v>
      </c>
      <c r="C51" t="s">
        <v>2725</v>
      </c>
    </row>
    <row r="52" spans="1:4" x14ac:dyDescent="0.3">
      <c r="A52" s="52" t="s">
        <v>2130</v>
      </c>
      <c r="B52" s="33">
        <v>5000</v>
      </c>
      <c r="C52" t="s">
        <v>3360</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tint="0.79998168889431442"/>
    <pageSetUpPr fitToPage="1"/>
  </sheetPr>
  <dimension ref="A1:I15"/>
  <sheetViews>
    <sheetView workbookViewId="0"/>
  </sheetViews>
  <sheetFormatPr defaultColWidth="9.109375" defaultRowHeight="14.4" x14ac:dyDescent="0.3"/>
  <cols>
    <col min="1" max="1" width="52.44140625" style="301" customWidth="1"/>
    <col min="2" max="3" width="9.109375" style="301"/>
    <col min="4" max="4" width="10.88671875" style="301" customWidth="1"/>
    <col min="5" max="5" width="11.109375" style="301" bestFit="1" customWidth="1"/>
    <col min="6" max="16384" width="9.109375" style="301"/>
  </cols>
  <sheetData>
    <row r="1" spans="1:9" x14ac:dyDescent="0.25">
      <c r="A1" s="301" t="s">
        <v>1642</v>
      </c>
      <c r="B1" s="301" t="str">
        <f ca="1">UPPER(RIGHT(CELL("filename",A1),LEN(CELL("filename",A1))-FIND("]",CELL("filename",A1))))</f>
        <v>WORKS PLANNER</v>
      </c>
    </row>
    <row r="2" spans="1:9"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x14ac:dyDescent="0.25">
      <c r="A3" s="301" t="s">
        <v>1648</v>
      </c>
      <c r="B3" s="40"/>
      <c r="C3" s="33"/>
      <c r="D3" s="33">
        <f>SUM(E3:I3)</f>
        <v>513899.11735346628</v>
      </c>
      <c r="E3" s="33">
        <f>$B15*HourlyRateAPAWorksPlanner*'Modelling Assumptions'!E$101</f>
        <v>97767.693899999998</v>
      </c>
      <c r="F3" s="33">
        <f>$B15*HourlyRateAPAWorksPlanner*'Modelling Assumptions'!F$101</f>
        <v>100211.88624750001</v>
      </c>
      <c r="G3" s="33">
        <f>$B15*HourlyRateAPAWorksPlanner*'Modelling Assumptions'!G$101</f>
        <v>102717.18340368749</v>
      </c>
      <c r="H3" s="33">
        <f>$B15*HourlyRateAPAWorksPlanner*'Modelling Assumptions'!H$101</f>
        <v>105285.11298877967</v>
      </c>
      <c r="I3" s="33">
        <f>$B15*HourlyRateAPAWorksPlanner*'Modelling Assumptions'!I$101</f>
        <v>107917.24081349916</v>
      </c>
    </row>
    <row r="4" spans="1:9" x14ac:dyDescent="0.25">
      <c r="A4" s="301" t="s">
        <v>1643</v>
      </c>
      <c r="B4" s="33"/>
      <c r="C4" s="33"/>
      <c r="D4" s="33">
        <f>SUM(E4:I4)</f>
        <v>0</v>
      </c>
      <c r="E4" s="33">
        <v>0</v>
      </c>
      <c r="F4" s="33">
        <v>0</v>
      </c>
      <c r="G4" s="33">
        <v>0</v>
      </c>
      <c r="H4" s="33">
        <v>0</v>
      </c>
      <c r="I4" s="33">
        <v>0</v>
      </c>
    </row>
    <row r="5" spans="1:9" x14ac:dyDescent="0.25">
      <c r="A5" s="301" t="s">
        <v>1649</v>
      </c>
      <c r="B5" s="33"/>
      <c r="C5" s="33"/>
      <c r="D5" s="33">
        <f t="shared" ref="D5:D6" si="0">SUM(E5:I5)</f>
        <v>0</v>
      </c>
      <c r="E5" s="33">
        <v>0</v>
      </c>
      <c r="F5" s="33">
        <v>0</v>
      </c>
      <c r="G5" s="33">
        <v>0</v>
      </c>
      <c r="H5" s="33">
        <v>0</v>
      </c>
      <c r="I5" s="33">
        <v>0</v>
      </c>
    </row>
    <row r="6" spans="1:9" x14ac:dyDescent="0.25">
      <c r="A6" s="301" t="s">
        <v>1650</v>
      </c>
      <c r="B6" s="33"/>
      <c r="C6" s="33"/>
      <c r="D6" s="33">
        <f t="shared" si="0"/>
        <v>0</v>
      </c>
      <c r="E6" s="33">
        <v>0</v>
      </c>
      <c r="F6" s="33">
        <v>0</v>
      </c>
      <c r="G6" s="33">
        <v>0</v>
      </c>
      <c r="H6" s="33">
        <v>0</v>
      </c>
      <c r="I6" s="33">
        <v>0</v>
      </c>
    </row>
    <row r="9" spans="1:9" x14ac:dyDescent="0.25">
      <c r="A9" s="12" t="s">
        <v>1992</v>
      </c>
      <c r="B9" s="12"/>
      <c r="C9" s="12"/>
    </row>
    <row r="10" spans="1:9" x14ac:dyDescent="0.25">
      <c r="A10" s="301" t="s">
        <v>3420</v>
      </c>
    </row>
    <row r="13" spans="1:9" x14ac:dyDescent="0.25">
      <c r="A13" s="10" t="s">
        <v>2126</v>
      </c>
      <c r="B13" s="170" t="s">
        <v>2125</v>
      </c>
      <c r="C13" s="10"/>
    </row>
    <row r="14" spans="1:9" x14ac:dyDescent="0.25">
      <c r="A14" s="301" t="s">
        <v>3361</v>
      </c>
      <c r="B14" s="114">
        <v>0.5</v>
      </c>
    </row>
    <row r="15" spans="1:9" x14ac:dyDescent="0.25">
      <c r="A15" s="301" t="s">
        <v>3368</v>
      </c>
      <c r="B15" s="301">
        <f>FullTimeHoursPerYear*B14</f>
        <v>874</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8C800"/>
    <pageSetUpPr fitToPage="1"/>
  </sheetPr>
  <dimension ref="A1:M242"/>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1436</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SUM(E3:I3)</f>
        <v>24489.134588192963</v>
      </c>
      <c r="E3" s="33">
        <f>E48+E49+E81+E101+E121</f>
        <v>4606.9678384615381</v>
      </c>
      <c r="F3" s="33">
        <f t="shared" ref="F3:I3" si="0">F48+F49+F81+F101+F121</f>
        <v>4855.4663469230763</v>
      </c>
      <c r="G3" s="33">
        <f t="shared" si="0"/>
        <v>4840.1955852836545</v>
      </c>
      <c r="H3" s="33">
        <f t="shared" si="0"/>
        <v>5101.2743307360561</v>
      </c>
      <c r="I3" s="33">
        <f t="shared" si="0"/>
        <v>5085.2304867886378</v>
      </c>
    </row>
    <row r="4" spans="1:9" ht="15" x14ac:dyDescent="0.25">
      <c r="A4" t="s">
        <v>1643</v>
      </c>
      <c r="B4" s="33"/>
      <c r="C4" s="33"/>
      <c r="D4" s="33">
        <f t="shared" ref="D4:D6" si="1">SUM(E4:I4)</f>
        <v>0</v>
      </c>
      <c r="E4" s="33">
        <f t="shared" ref="E4:I4" si="2">E50+E82+E102+E122</f>
        <v>0</v>
      </c>
      <c r="F4" s="33">
        <f t="shared" si="2"/>
        <v>0</v>
      </c>
      <c r="G4" s="33">
        <f t="shared" si="2"/>
        <v>0</v>
      </c>
      <c r="H4" s="33">
        <f t="shared" si="2"/>
        <v>0</v>
      </c>
      <c r="I4" s="33">
        <f t="shared" si="2"/>
        <v>0</v>
      </c>
    </row>
    <row r="5" spans="1:9" ht="15" x14ac:dyDescent="0.25">
      <c r="A5" t="s">
        <v>1649</v>
      </c>
      <c r="B5" s="33"/>
      <c r="C5" s="33"/>
      <c r="D5" s="33">
        <f t="shared" si="1"/>
        <v>39395.130958906244</v>
      </c>
      <c r="E5" s="33">
        <f t="shared" ref="E5:I5" si="3">E51+E83+E103+E123</f>
        <v>7494.7999999999993</v>
      </c>
      <c r="F5" s="33">
        <f t="shared" si="3"/>
        <v>7682.1699999999992</v>
      </c>
      <c r="G5" s="33">
        <f t="shared" si="3"/>
        <v>7874.2242499999993</v>
      </c>
      <c r="H5" s="33">
        <f t="shared" si="3"/>
        <v>8071.0798562499986</v>
      </c>
      <c r="I5" s="33">
        <f t="shared" si="3"/>
        <v>8272.8568526562467</v>
      </c>
    </row>
    <row r="6" spans="1:9" ht="15" x14ac:dyDescent="0.25">
      <c r="A6" t="s">
        <v>1650</v>
      </c>
      <c r="B6" s="33"/>
      <c r="C6" s="33"/>
      <c r="D6" s="33">
        <f t="shared" si="1"/>
        <v>0</v>
      </c>
      <c r="E6" s="33">
        <f t="shared" ref="E6:I6" si="4">E52+E84+E104+E124</f>
        <v>0</v>
      </c>
      <c r="F6" s="33">
        <f t="shared" si="4"/>
        <v>0</v>
      </c>
      <c r="G6" s="33">
        <f t="shared" si="4"/>
        <v>0</v>
      </c>
      <c r="H6" s="33">
        <f t="shared" si="4"/>
        <v>0</v>
      </c>
      <c r="I6" s="33">
        <f t="shared" si="4"/>
        <v>0</v>
      </c>
    </row>
    <row r="9" spans="1:9" ht="15" x14ac:dyDescent="0.25">
      <c r="A9" t="s">
        <v>1497</v>
      </c>
      <c r="B9" t="s">
        <v>1499</v>
      </c>
    </row>
    <row r="10" spans="1:9" ht="15" x14ac:dyDescent="0.25">
      <c r="A10" t="s">
        <v>1500</v>
      </c>
      <c r="B10" s="14" t="s">
        <v>3098</v>
      </c>
    </row>
    <row r="13" spans="1:9" ht="15" x14ac:dyDescent="0.25">
      <c r="A13" t="s">
        <v>1682</v>
      </c>
    </row>
    <row r="14" spans="1:9" ht="15" x14ac:dyDescent="0.25">
      <c r="B14" s="39" t="s">
        <v>1678</v>
      </c>
      <c r="C14" s="39">
        <v>2</v>
      </c>
    </row>
    <row r="15" spans="1:9" ht="15" x14ac:dyDescent="0.25">
      <c r="A15" s="12" t="s">
        <v>1640</v>
      </c>
      <c r="B15" s="12"/>
      <c r="C15" s="12">
        <f>C14</f>
        <v>2</v>
      </c>
    </row>
    <row r="16" spans="1:9" ht="15" x14ac:dyDescent="0.25">
      <c r="B16" s="39"/>
      <c r="C16" s="39"/>
    </row>
    <row r="17" spans="1:9" s="301" customFormat="1" ht="15" x14ac:dyDescent="0.25">
      <c r="A17" s="301" t="s">
        <v>1992</v>
      </c>
      <c r="B17" s="39"/>
      <c r="C17" s="39"/>
    </row>
    <row r="18" spans="1:9" s="301" customFormat="1" ht="15" x14ac:dyDescent="0.25">
      <c r="A18" s="301" t="s">
        <v>3301</v>
      </c>
      <c r="B18" s="39"/>
      <c r="C18" s="39"/>
    </row>
    <row r="19" spans="1:9" s="301" customFormat="1" ht="15" x14ac:dyDescent="0.25">
      <c r="A19" s="301" t="s">
        <v>3302</v>
      </c>
      <c r="B19" s="39"/>
      <c r="C19" s="39"/>
    </row>
    <row r="20" spans="1:9" ht="15" x14ac:dyDescent="0.25">
      <c r="A20" s="320" t="s">
        <v>3254</v>
      </c>
      <c r="B20" s="39"/>
      <c r="C20" s="39"/>
    </row>
    <row r="21" spans="1:9" ht="15" x14ac:dyDescent="0.25">
      <c r="B21" s="39"/>
      <c r="C21" s="39"/>
      <c r="E21" s="30" t="str">
        <f>Summary!C4</f>
        <v>2015/16</v>
      </c>
      <c r="F21" s="30" t="str">
        <f>Summary!D4</f>
        <v>2016/17</v>
      </c>
      <c r="G21" s="30" t="str">
        <f>Summary!E4</f>
        <v>2017/18</v>
      </c>
      <c r="H21" s="30" t="str">
        <f>Summary!F4</f>
        <v>2018/19</v>
      </c>
      <c r="I21" s="30" t="str">
        <f>Summary!G4</f>
        <v>2019/20</v>
      </c>
    </row>
    <row r="22" spans="1:9" x14ac:dyDescent="0.3">
      <c r="A22" s="45" t="s">
        <v>1377</v>
      </c>
      <c r="B22" s="45" t="s">
        <v>47</v>
      </c>
      <c r="C22" s="45"/>
      <c r="D22" s="45"/>
      <c r="E22" s="45">
        <v>12</v>
      </c>
      <c r="F22" s="45">
        <v>12</v>
      </c>
      <c r="G22" s="45">
        <v>12</v>
      </c>
      <c r="H22" s="45">
        <v>12</v>
      </c>
      <c r="I22" s="45">
        <v>12</v>
      </c>
    </row>
    <row r="23" spans="1:9" ht="15" x14ac:dyDescent="0.25">
      <c r="A23" s="8" t="s">
        <v>1646</v>
      </c>
      <c r="C23" s="39"/>
    </row>
    <row r="24" spans="1:9" ht="15" x14ac:dyDescent="0.25">
      <c r="A24" s="14" t="s">
        <v>1658</v>
      </c>
      <c r="B24" s="67">
        <f>B35</f>
        <v>1.0769230769230769</v>
      </c>
      <c r="C24" s="14" t="s">
        <v>1740</v>
      </c>
    </row>
    <row r="25" spans="1:9" ht="15" x14ac:dyDescent="0.25">
      <c r="A25" s="14" t="s">
        <v>1997</v>
      </c>
      <c r="B25" s="15">
        <v>0.5</v>
      </c>
      <c r="C25" s="14" t="s">
        <v>2000</v>
      </c>
    </row>
    <row r="26" spans="1:9" ht="15" x14ac:dyDescent="0.25">
      <c r="A26" s="14" t="s">
        <v>1643</v>
      </c>
      <c r="B26" s="55">
        <v>0</v>
      </c>
      <c r="C26" s="14"/>
    </row>
    <row r="27" spans="1:9" ht="15" x14ac:dyDescent="0.25">
      <c r="A27" s="14"/>
      <c r="B27" s="41"/>
      <c r="C27" s="14"/>
    </row>
    <row r="28" spans="1:9" ht="15" x14ac:dyDescent="0.25">
      <c r="A28" s="59" t="s">
        <v>1781</v>
      </c>
      <c r="B28" s="60"/>
      <c r="C28" s="59"/>
    </row>
    <row r="29" spans="1:9" ht="15" x14ac:dyDescent="0.25">
      <c r="A29" s="14" t="s">
        <v>1778</v>
      </c>
      <c r="B29" s="15">
        <v>0.5</v>
      </c>
      <c r="C29" t="s">
        <v>1779</v>
      </c>
    </row>
    <row r="30" spans="1:9" ht="15" x14ac:dyDescent="0.25">
      <c r="A30" s="14" t="s">
        <v>1780</v>
      </c>
    </row>
    <row r="31" spans="1:9" x14ac:dyDescent="0.3">
      <c r="A31" s="58" t="s">
        <v>1735</v>
      </c>
      <c r="B31" s="73">
        <v>1.5</v>
      </c>
      <c r="C31" s="14" t="s">
        <v>1736</v>
      </c>
    </row>
    <row r="32" spans="1:9" ht="57.6" x14ac:dyDescent="0.3">
      <c r="A32" s="58" t="s">
        <v>1783</v>
      </c>
      <c r="B32" s="67">
        <f>12*2*4/52</f>
        <v>1.8461538461538463</v>
      </c>
      <c r="C32" s="58" t="s">
        <v>1810</v>
      </c>
    </row>
    <row r="33" spans="1:9" ht="43.2" x14ac:dyDescent="0.3">
      <c r="A33" s="58" t="s">
        <v>1784</v>
      </c>
      <c r="B33" s="67">
        <f>2*12/52*0.5*12</f>
        <v>2.7692307692307692</v>
      </c>
      <c r="C33" s="58" t="s">
        <v>1737</v>
      </c>
    </row>
    <row r="34" spans="1:9" ht="28.8" x14ac:dyDescent="0.3">
      <c r="A34" s="14" t="s">
        <v>1739</v>
      </c>
      <c r="B34" s="67">
        <f>(B32+B33)*B31</f>
        <v>6.9230769230769225</v>
      </c>
      <c r="C34" s="58" t="s">
        <v>1738</v>
      </c>
    </row>
    <row r="35" spans="1:9" x14ac:dyDescent="0.3">
      <c r="A35" s="65" t="s">
        <v>1782</v>
      </c>
      <c r="B35" s="165">
        <f>B29+B34/12</f>
        <v>1.0769230769230769</v>
      </c>
      <c r="C35" s="66"/>
    </row>
    <row r="36" spans="1:9" x14ac:dyDescent="0.3">
      <c r="A36" s="14"/>
      <c r="B36" s="57"/>
      <c r="C36" s="14"/>
    </row>
    <row r="37" spans="1:9" x14ac:dyDescent="0.3">
      <c r="A37" s="42" t="s">
        <v>1647</v>
      </c>
      <c r="B37" s="7"/>
      <c r="C37" s="14"/>
    </row>
    <row r="38" spans="1:9" x14ac:dyDescent="0.3">
      <c r="A38" s="14" t="s">
        <v>1656</v>
      </c>
      <c r="B38" s="7"/>
      <c r="C38" s="14"/>
    </row>
    <row r="39" spans="1:9" x14ac:dyDescent="0.3">
      <c r="A39" s="14" t="s">
        <v>1651</v>
      </c>
      <c r="B39" s="41"/>
      <c r="C39" s="14"/>
    </row>
    <row r="40" spans="1:9" x14ac:dyDescent="0.3">
      <c r="A40" s="14" t="s">
        <v>1649</v>
      </c>
      <c r="B40" s="40">
        <f>(B61+B65)/12/C15</f>
        <v>304.66666666666669</v>
      </c>
      <c r="C40" s="14" t="s">
        <v>3080</v>
      </c>
    </row>
    <row r="41" spans="1:9" x14ac:dyDescent="0.3">
      <c r="A41" s="14" t="s">
        <v>1650</v>
      </c>
      <c r="B41" s="41">
        <v>0</v>
      </c>
      <c r="C41" s="14" t="s">
        <v>3077</v>
      </c>
    </row>
    <row r="42" spans="1:9" x14ac:dyDescent="0.3">
      <c r="A42" s="14"/>
      <c r="B42" s="41"/>
      <c r="C42" s="14"/>
    </row>
    <row r="43" spans="1:9" x14ac:dyDescent="0.3">
      <c r="A43" s="14"/>
      <c r="B43" s="41"/>
      <c r="C43" s="14"/>
    </row>
    <row r="44" spans="1:9" x14ac:dyDescent="0.3">
      <c r="A44" s="14"/>
      <c r="B44" s="41"/>
      <c r="C44" s="14"/>
    </row>
    <row r="45" spans="1:9" x14ac:dyDescent="0.3">
      <c r="A45" s="14"/>
      <c r="B45" s="41"/>
      <c r="C45" s="14"/>
    </row>
    <row r="46" spans="1:9" x14ac:dyDescent="0.3">
      <c r="A46" s="14"/>
      <c r="B46" s="41"/>
      <c r="C46" s="14"/>
    </row>
    <row r="47" spans="1:9" x14ac:dyDescent="0.3">
      <c r="A47" s="14"/>
      <c r="B47" s="46" t="s">
        <v>2712</v>
      </c>
      <c r="C47" s="46" t="s">
        <v>2718</v>
      </c>
      <c r="D47" s="30" t="s">
        <v>1655</v>
      </c>
      <c r="E47" s="30" t="str">
        <f>Summary!C4</f>
        <v>2015/16</v>
      </c>
      <c r="F47" s="30" t="str">
        <f>Summary!D4</f>
        <v>2016/17</v>
      </c>
      <c r="G47" s="30" t="str">
        <f>Summary!E4</f>
        <v>2017/18</v>
      </c>
      <c r="H47" s="30" t="str">
        <f>Summary!F4</f>
        <v>2018/19</v>
      </c>
      <c r="I47" s="30" t="str">
        <f>Summary!G4</f>
        <v>2019/20</v>
      </c>
    </row>
    <row r="48" spans="1:9" s="301" customFormat="1" x14ac:dyDescent="0.3">
      <c r="A48" s="14" t="s">
        <v>3417</v>
      </c>
      <c r="B48" s="40">
        <f>B24*HourlyRateAPAMaintenanceStaff</f>
        <v>107.96261538461539</v>
      </c>
      <c r="C48" s="40">
        <f>B48*$C$15</f>
        <v>215.92523076923078</v>
      </c>
      <c r="D48" s="40">
        <f>C48*SUMPRODUCT(LabourAdjustmentFactor,E$22:I$22)</f>
        <v>13960.179557143159</v>
      </c>
      <c r="E48" s="40">
        <f>$C48*E$22*'Modelling Assumptions'!E$101</f>
        <v>2655.8803384615385</v>
      </c>
      <c r="F48" s="40">
        <f>$C48*F$22*'Modelling Assumptions'!F$101</f>
        <v>2722.2773469230769</v>
      </c>
      <c r="G48" s="40">
        <f>$C48*G$22*'Modelling Assumptions'!G$101</f>
        <v>2790.3342805961538</v>
      </c>
      <c r="H48" s="40">
        <f>$C48*H$22*'Modelling Assumptions'!H$101</f>
        <v>2860.0926376110574</v>
      </c>
      <c r="I48" s="40">
        <f>$C48*I$22*'Modelling Assumptions'!I$101</f>
        <v>2931.5949535513332</v>
      </c>
    </row>
    <row r="49" spans="1:9" x14ac:dyDescent="0.3">
      <c r="A49" s="14" t="s">
        <v>3418</v>
      </c>
      <c r="B49" s="40">
        <f>B25*HourlyRateAPAOMSupervisor</f>
        <v>63.45</v>
      </c>
      <c r="C49" s="40">
        <f>B49*$C$15</f>
        <v>126.9</v>
      </c>
      <c r="D49" s="40">
        <f>C49*SUMPRODUCT(LabourAdjustmentFactor,E$22:I$22)</f>
        <v>8204.4454901835925</v>
      </c>
      <c r="E49" s="40">
        <f>$C49*E$22*'Modelling Assumptions'!E$101</f>
        <v>1560.8700000000001</v>
      </c>
      <c r="F49" s="40">
        <f>$C49*F$22*'Modelling Assumptions'!F$101</f>
        <v>1599.89175</v>
      </c>
      <c r="G49" s="40">
        <f>$C49*G$22*'Modelling Assumptions'!G$101</f>
        <v>1639.8890437499999</v>
      </c>
      <c r="H49" s="40">
        <f>$C49*H$22*'Modelling Assumptions'!H$101</f>
        <v>1680.8862698437499</v>
      </c>
      <c r="I49" s="40">
        <f>$C49*I$22*'Modelling Assumptions'!I$101</f>
        <v>1722.9084265898434</v>
      </c>
    </row>
    <row r="50" spans="1:9" x14ac:dyDescent="0.3">
      <c r="A50" s="14" t="s">
        <v>1643</v>
      </c>
      <c r="B50" s="40">
        <f>B26</f>
        <v>0</v>
      </c>
      <c r="C50" s="40">
        <f>B50*$C$15</f>
        <v>0</v>
      </c>
      <c r="D50" s="40">
        <f>C50*SUMPRODUCT(MaterialsAdjustmentFactor,E$22:I$22)</f>
        <v>0</v>
      </c>
      <c r="E50" s="40">
        <f>$C50*E$22*'Modelling Assumptions'!E$102</f>
        <v>0</v>
      </c>
      <c r="F50" s="40">
        <f>$C50*F$22*'Modelling Assumptions'!F$102</f>
        <v>0</v>
      </c>
      <c r="G50" s="40">
        <f>$C50*G$22*'Modelling Assumptions'!G$102</f>
        <v>0</v>
      </c>
      <c r="H50" s="40">
        <f>$C50*H$22*'Modelling Assumptions'!H$102</f>
        <v>0</v>
      </c>
      <c r="I50" s="40">
        <f>$C50*I$22*'Modelling Assumptions'!I$102</f>
        <v>0</v>
      </c>
    </row>
    <row r="51" spans="1:9" x14ac:dyDescent="0.3">
      <c r="A51" s="14" t="s">
        <v>1649</v>
      </c>
      <c r="B51" s="40">
        <f>B40</f>
        <v>304.66666666666669</v>
      </c>
      <c r="C51" s="40">
        <f>B51*$C$15</f>
        <v>609.33333333333337</v>
      </c>
      <c r="D51" s="47">
        <f>C51*SUMPRODUCT(LabourAdjustmentFactor,E$22:I$22)</f>
        <v>39395.130958906251</v>
      </c>
      <c r="E51" s="40">
        <f>$C51*E$22*'Modelling Assumptions'!E$101</f>
        <v>7494.7999999999993</v>
      </c>
      <c r="F51" s="40">
        <f>$C51*F$22*'Modelling Assumptions'!F$101</f>
        <v>7682.1699999999992</v>
      </c>
      <c r="G51" s="40">
        <f>$C51*G$22*'Modelling Assumptions'!G$101</f>
        <v>7874.2242499999993</v>
      </c>
      <c r="H51" s="40">
        <f>$C51*H$22*'Modelling Assumptions'!H$101</f>
        <v>8071.0798562499986</v>
      </c>
      <c r="I51" s="40">
        <f>$C51*I$22*'Modelling Assumptions'!I$101</f>
        <v>8272.8568526562467</v>
      </c>
    </row>
    <row r="52" spans="1:9" x14ac:dyDescent="0.3">
      <c r="A52" s="14" t="s">
        <v>1650</v>
      </c>
      <c r="B52" s="40">
        <f>B41</f>
        <v>0</v>
      </c>
      <c r="C52" s="40">
        <f>B52*$C$15</f>
        <v>0</v>
      </c>
      <c r="D52" s="40">
        <f>C52*SUMPRODUCT(MaterialsAdjustmentFactor,E$22:I$22)</f>
        <v>0</v>
      </c>
      <c r="E52" s="40">
        <f>$C52*E$22*'Modelling Assumptions'!E$102</f>
        <v>0</v>
      </c>
      <c r="F52" s="40">
        <f>$C52*F$22*'Modelling Assumptions'!F$102</f>
        <v>0</v>
      </c>
      <c r="G52" s="40">
        <f>$C52*G$22*'Modelling Assumptions'!G$102</f>
        <v>0</v>
      </c>
      <c r="H52" s="40">
        <f>$C52*H$22*'Modelling Assumptions'!H$102</f>
        <v>0</v>
      </c>
      <c r="I52" s="40">
        <f>$C52*I$22*'Modelling Assumptions'!I$102</f>
        <v>0</v>
      </c>
    </row>
    <row r="53" spans="1:9" x14ac:dyDescent="0.3">
      <c r="B53" s="39"/>
      <c r="C53" s="39"/>
    </row>
    <row r="54" spans="1:9" x14ac:dyDescent="0.3">
      <c r="B54" s="39"/>
      <c r="C54" s="39"/>
    </row>
    <row r="55" spans="1:9" x14ac:dyDescent="0.3">
      <c r="A55" s="127" t="s">
        <v>1992</v>
      </c>
      <c r="B55" s="293"/>
      <c r="C55" s="293"/>
    </row>
    <row r="56" spans="1:9" x14ac:dyDescent="0.3">
      <c r="A56" t="s">
        <v>3109</v>
      </c>
      <c r="B56" s="39"/>
      <c r="C56" s="39"/>
    </row>
    <row r="57" spans="1:9" x14ac:dyDescent="0.3">
      <c r="A57" t="s">
        <v>3099</v>
      </c>
      <c r="B57" s="39"/>
      <c r="C57" s="39"/>
    </row>
    <row r="58" spans="1:9" x14ac:dyDescent="0.3">
      <c r="A58" t="s">
        <v>3100</v>
      </c>
      <c r="B58" s="39"/>
      <c r="C58" s="39"/>
    </row>
    <row r="59" spans="1:9" x14ac:dyDescent="0.3">
      <c r="B59" s="39"/>
      <c r="C59" s="39"/>
    </row>
    <row r="60" spans="1:9" x14ac:dyDescent="0.3">
      <c r="A60" t="s">
        <v>3078</v>
      </c>
      <c r="B60" s="39"/>
      <c r="C60" s="39"/>
    </row>
    <row r="61" spans="1:9" x14ac:dyDescent="0.3">
      <c r="B61" s="113">
        <v>4960</v>
      </c>
      <c r="C61" s="14" t="s">
        <v>3079</v>
      </c>
    </row>
    <row r="62" spans="1:9" x14ac:dyDescent="0.3">
      <c r="A62" t="s">
        <v>3105</v>
      </c>
      <c r="B62" s="39"/>
      <c r="C62" s="39"/>
    </row>
    <row r="63" spans="1:9" x14ac:dyDescent="0.3">
      <c r="B63" s="55">
        <v>98</v>
      </c>
      <c r="C63" s="14" t="s">
        <v>3107</v>
      </c>
    </row>
    <row r="64" spans="1:9" x14ac:dyDescent="0.3">
      <c r="B64" s="33">
        <f>B63*2</f>
        <v>196</v>
      </c>
      <c r="C64" t="s">
        <v>3106</v>
      </c>
    </row>
    <row r="65" spans="1:9" x14ac:dyDescent="0.3">
      <c r="B65" s="33">
        <f>B64*12</f>
        <v>2352</v>
      </c>
      <c r="C65" t="s">
        <v>3108</v>
      </c>
    </row>
    <row r="66" spans="1:9" x14ac:dyDescent="0.3">
      <c r="B66" s="33"/>
    </row>
    <row r="67" spans="1:9" x14ac:dyDescent="0.3">
      <c r="B67" s="39"/>
      <c r="C67" s="39"/>
      <c r="E67" s="30" t="str">
        <f>Summary!C4</f>
        <v>2015/16</v>
      </c>
      <c r="F67" s="30" t="str">
        <f>Summary!D4</f>
        <v>2016/17</v>
      </c>
      <c r="G67" s="30" t="str">
        <f>Summary!E4</f>
        <v>2017/18</v>
      </c>
      <c r="H67" s="30" t="str">
        <f>Summary!F4</f>
        <v>2018/19</v>
      </c>
      <c r="I67" s="30" t="str">
        <f>Summary!G4</f>
        <v>2019/20</v>
      </c>
    </row>
    <row r="68" spans="1:9" x14ac:dyDescent="0.3">
      <c r="A68" s="45" t="s">
        <v>1378</v>
      </c>
      <c r="B68" s="45" t="s">
        <v>51</v>
      </c>
      <c r="C68" s="45"/>
      <c r="D68" s="45"/>
      <c r="E68" s="45">
        <v>2</v>
      </c>
      <c r="F68" s="45">
        <v>2</v>
      </c>
      <c r="G68" s="45">
        <v>2</v>
      </c>
      <c r="H68" s="45">
        <v>2</v>
      </c>
      <c r="I68" s="45">
        <v>2</v>
      </c>
    </row>
    <row r="69" spans="1:9" x14ac:dyDescent="0.3">
      <c r="A69" s="8" t="s">
        <v>1646</v>
      </c>
      <c r="C69" s="39"/>
    </row>
    <row r="70" spans="1:9" x14ac:dyDescent="0.3">
      <c r="A70" s="14" t="s">
        <v>1658</v>
      </c>
      <c r="B70" s="15">
        <v>0</v>
      </c>
      <c r="C70" s="14" t="s">
        <v>3101</v>
      </c>
    </row>
    <row r="71" spans="1:9" x14ac:dyDescent="0.3">
      <c r="A71" s="14" t="s">
        <v>1997</v>
      </c>
      <c r="B71" s="15">
        <v>0.5</v>
      </c>
      <c r="C71" s="14" t="s">
        <v>3102</v>
      </c>
    </row>
    <row r="72" spans="1:9" x14ac:dyDescent="0.3">
      <c r="A72" s="14" t="s">
        <v>1643</v>
      </c>
      <c r="B72" s="55">
        <v>0</v>
      </c>
      <c r="C72" s="14"/>
    </row>
    <row r="73" spans="1:9" x14ac:dyDescent="0.3">
      <c r="A73" s="14"/>
      <c r="B73" s="55"/>
      <c r="C73" s="14"/>
    </row>
    <row r="74" spans="1:9" x14ac:dyDescent="0.3">
      <c r="A74" s="42" t="s">
        <v>1647</v>
      </c>
      <c r="B74" s="15"/>
      <c r="C74" s="14"/>
    </row>
    <row r="75" spans="1:9" x14ac:dyDescent="0.3">
      <c r="A75" s="14" t="s">
        <v>1656</v>
      </c>
      <c r="B75" s="15"/>
      <c r="C75" s="14"/>
    </row>
    <row r="76" spans="1:9" x14ac:dyDescent="0.3">
      <c r="A76" s="14" t="s">
        <v>1651</v>
      </c>
      <c r="B76" s="55"/>
      <c r="C76" s="14"/>
    </row>
    <row r="77" spans="1:9" x14ac:dyDescent="0.3">
      <c r="A77" s="14" t="s">
        <v>1649</v>
      </c>
      <c r="B77" s="55">
        <v>0</v>
      </c>
      <c r="C77" s="14" t="s">
        <v>3103</v>
      </c>
    </row>
    <row r="78" spans="1:9" x14ac:dyDescent="0.3">
      <c r="A78" s="14" t="s">
        <v>1650</v>
      </c>
      <c r="B78" s="55">
        <v>0</v>
      </c>
      <c r="C78" s="14"/>
    </row>
    <row r="79" spans="1:9" x14ac:dyDescent="0.3">
      <c r="A79" s="14"/>
      <c r="B79" s="41"/>
      <c r="C79" s="14"/>
    </row>
    <row r="80" spans="1:9" x14ac:dyDescent="0.3">
      <c r="A80" s="14"/>
      <c r="B80" s="46" t="s">
        <v>2712</v>
      </c>
      <c r="C80" s="46" t="s">
        <v>2718</v>
      </c>
      <c r="D80" s="30" t="s">
        <v>1655</v>
      </c>
      <c r="E80" s="30" t="str">
        <f>Summary!C4</f>
        <v>2015/16</v>
      </c>
      <c r="F80" s="30" t="str">
        <f>Summary!D4</f>
        <v>2016/17</v>
      </c>
      <c r="G80" s="30" t="str">
        <f>Summary!E4</f>
        <v>2017/18</v>
      </c>
      <c r="H80" s="30" t="str">
        <f>Summary!F4</f>
        <v>2018/19</v>
      </c>
      <c r="I80" s="30" t="str">
        <f>Summary!G4</f>
        <v>2019/20</v>
      </c>
    </row>
    <row r="81" spans="1:9" x14ac:dyDescent="0.3">
      <c r="A81" s="14" t="s">
        <v>1648</v>
      </c>
      <c r="B81" s="40">
        <f>B70*HourlyRateAPAMaintenanceStaff+B71*HourlyRateAPAOMSupervisor</f>
        <v>63.45</v>
      </c>
      <c r="C81" s="40">
        <f>B81*$C$15</f>
        <v>126.9</v>
      </c>
      <c r="D81" s="40">
        <f>C81*SUMPRODUCT(LabourAdjustmentFactor,E$68:I$68)</f>
        <v>1367.4075816972654</v>
      </c>
      <c r="E81" s="40">
        <f>$C81*E$68*'Modelling Assumptions'!E$101</f>
        <v>260.14499999999998</v>
      </c>
      <c r="F81" s="40">
        <f>$C81*F$68*'Modelling Assumptions'!F$101</f>
        <v>266.64862499999998</v>
      </c>
      <c r="G81" s="40">
        <f>$C81*G$68*'Modelling Assumptions'!G$101</f>
        <v>273.31484062499999</v>
      </c>
      <c r="H81" s="40">
        <f>$C81*H$68*'Modelling Assumptions'!H$101</f>
        <v>280.14771164062495</v>
      </c>
      <c r="I81" s="40">
        <f>$C81*I$68*'Modelling Assumptions'!I$101</f>
        <v>287.15140443164057</v>
      </c>
    </row>
    <row r="82" spans="1:9" x14ac:dyDescent="0.3">
      <c r="A82" s="14" t="s">
        <v>1643</v>
      </c>
      <c r="B82" s="40">
        <f>B72</f>
        <v>0</v>
      </c>
      <c r="C82" s="40">
        <f>B82*$C$15</f>
        <v>0</v>
      </c>
      <c r="D82" s="40">
        <f>C82*SUMPRODUCT(MaterialsAdjustmentFactor,E$68:I$68)</f>
        <v>0</v>
      </c>
      <c r="E82" s="40">
        <f>$C82*E$68*'Modelling Assumptions'!E$102</f>
        <v>0</v>
      </c>
      <c r="F82" s="40">
        <f>$C82*F$68*'Modelling Assumptions'!F$102</f>
        <v>0</v>
      </c>
      <c r="G82" s="40">
        <f>$C82*G$68*'Modelling Assumptions'!G$102</f>
        <v>0</v>
      </c>
      <c r="H82" s="40">
        <f>$C82*H$68*'Modelling Assumptions'!H$102</f>
        <v>0</v>
      </c>
      <c r="I82" s="40">
        <f>$C82*I$68*'Modelling Assumptions'!I$102</f>
        <v>0</v>
      </c>
    </row>
    <row r="83" spans="1:9" x14ac:dyDescent="0.3">
      <c r="A83" s="14" t="s">
        <v>1649</v>
      </c>
      <c r="B83" s="40">
        <f>B77</f>
        <v>0</v>
      </c>
      <c r="C83" s="40">
        <f>B83*$C$15</f>
        <v>0</v>
      </c>
      <c r="D83" s="47">
        <f>C83*SUMPRODUCT(LabourAdjustmentFactor,E$68:I$68)</f>
        <v>0</v>
      </c>
      <c r="E83" s="40">
        <f>$C83*E$68*'Modelling Assumptions'!E$101</f>
        <v>0</v>
      </c>
      <c r="F83" s="40">
        <f>$C83*F$68*'Modelling Assumptions'!F$101</f>
        <v>0</v>
      </c>
      <c r="G83" s="40">
        <f>$C83*G$68*'Modelling Assumptions'!G$101</f>
        <v>0</v>
      </c>
      <c r="H83" s="40">
        <f>$C83*H$68*'Modelling Assumptions'!H$101</f>
        <v>0</v>
      </c>
      <c r="I83" s="40">
        <f>$C83*I$68*'Modelling Assumptions'!I$101</f>
        <v>0</v>
      </c>
    </row>
    <row r="84" spans="1:9" x14ac:dyDescent="0.3">
      <c r="A84" s="14" t="s">
        <v>1650</v>
      </c>
      <c r="B84" s="40">
        <f>B78</f>
        <v>0</v>
      </c>
      <c r="C84" s="40">
        <f>B84*$C$15</f>
        <v>0</v>
      </c>
      <c r="D84" s="40">
        <f>C84*SUMPRODUCT(MaterialsAdjustmentFactor,E$68:I$68)</f>
        <v>0</v>
      </c>
      <c r="E84" s="40">
        <f>$C84*E$68*'Modelling Assumptions'!E$102</f>
        <v>0</v>
      </c>
      <c r="F84" s="40">
        <f>$C84*F$68*'Modelling Assumptions'!F$102</f>
        <v>0</v>
      </c>
      <c r="G84" s="40">
        <f>$C84*G$68*'Modelling Assumptions'!G$102</f>
        <v>0</v>
      </c>
      <c r="H84" s="40">
        <f>$C84*H$68*'Modelling Assumptions'!H$102</f>
        <v>0</v>
      </c>
      <c r="I84" s="40">
        <f>$C84*I$68*'Modelling Assumptions'!I$102</f>
        <v>0</v>
      </c>
    </row>
    <row r="85" spans="1:9" x14ac:dyDescent="0.3">
      <c r="B85" s="39"/>
      <c r="C85" s="39"/>
    </row>
    <row r="86" spans="1:9" x14ac:dyDescent="0.3">
      <c r="B86" s="39"/>
      <c r="C86" s="39"/>
    </row>
    <row r="87" spans="1:9" x14ac:dyDescent="0.3">
      <c r="B87" s="39"/>
      <c r="C87" s="39"/>
      <c r="E87" s="30" t="str">
        <f>Summary!C4</f>
        <v>2015/16</v>
      </c>
      <c r="F87" s="30" t="str">
        <f>Summary!D4</f>
        <v>2016/17</v>
      </c>
      <c r="G87" s="30" t="str">
        <f>Summary!E4</f>
        <v>2017/18</v>
      </c>
      <c r="H87" s="30" t="str">
        <f>Summary!F4</f>
        <v>2018/19</v>
      </c>
      <c r="I87" s="30" t="str">
        <f>Summary!G4</f>
        <v>2019/20</v>
      </c>
    </row>
    <row r="88" spans="1:9" x14ac:dyDescent="0.3">
      <c r="A88" s="45" t="s">
        <v>1379</v>
      </c>
      <c r="B88" s="45" t="s">
        <v>56</v>
      </c>
      <c r="C88" s="45"/>
      <c r="D88" s="45"/>
      <c r="E88" s="45">
        <v>1</v>
      </c>
      <c r="F88" s="45">
        <v>1</v>
      </c>
      <c r="G88" s="45">
        <v>1</v>
      </c>
      <c r="H88" s="45">
        <v>1</v>
      </c>
      <c r="I88" s="45">
        <v>1</v>
      </c>
    </row>
    <row r="89" spans="1:9" x14ac:dyDescent="0.3">
      <c r="A89" s="8" t="s">
        <v>1646</v>
      </c>
      <c r="C89" s="39"/>
    </row>
    <row r="90" spans="1:9" x14ac:dyDescent="0.3">
      <c r="A90" s="14" t="s">
        <v>1658</v>
      </c>
      <c r="B90" s="15">
        <v>0</v>
      </c>
      <c r="C90" s="14" t="s">
        <v>3101</v>
      </c>
    </row>
    <row r="91" spans="1:9" x14ac:dyDescent="0.3">
      <c r="A91" s="14" t="s">
        <v>1997</v>
      </c>
      <c r="B91" s="15">
        <v>0.5</v>
      </c>
      <c r="C91" s="14" t="s">
        <v>2311</v>
      </c>
    </row>
    <row r="92" spans="1:9" x14ac:dyDescent="0.3">
      <c r="A92" s="14" t="s">
        <v>1643</v>
      </c>
      <c r="B92" s="55">
        <v>0</v>
      </c>
      <c r="C92" s="14"/>
    </row>
    <row r="93" spans="1:9" x14ac:dyDescent="0.3">
      <c r="A93" s="14"/>
      <c r="B93" s="55"/>
      <c r="C93" s="14"/>
    </row>
    <row r="94" spans="1:9" x14ac:dyDescent="0.3">
      <c r="A94" s="42" t="s">
        <v>1647</v>
      </c>
      <c r="B94" s="15"/>
      <c r="C94" s="14"/>
    </row>
    <row r="95" spans="1:9" x14ac:dyDescent="0.3">
      <c r="A95" s="14" t="s">
        <v>1656</v>
      </c>
      <c r="B95" s="15"/>
      <c r="C95" s="14"/>
    </row>
    <row r="96" spans="1:9" x14ac:dyDescent="0.3">
      <c r="A96" s="14" t="s">
        <v>1651</v>
      </c>
      <c r="B96" s="55"/>
      <c r="C96" s="14"/>
    </row>
    <row r="97" spans="1:9" x14ac:dyDescent="0.3">
      <c r="A97" s="14" t="s">
        <v>1649</v>
      </c>
      <c r="B97" s="55">
        <v>0</v>
      </c>
      <c r="C97" s="14" t="s">
        <v>3103</v>
      </c>
    </row>
    <row r="98" spans="1:9" x14ac:dyDescent="0.3">
      <c r="A98" s="14" t="s">
        <v>1650</v>
      </c>
      <c r="B98" s="55">
        <v>0</v>
      </c>
      <c r="C98" s="14"/>
    </row>
    <row r="99" spans="1:9" x14ac:dyDescent="0.3">
      <c r="A99" s="14"/>
      <c r="B99" s="41"/>
      <c r="C99" s="14"/>
    </row>
    <row r="100" spans="1:9" x14ac:dyDescent="0.3">
      <c r="A100" s="14"/>
      <c r="B100" s="46" t="s">
        <v>2712</v>
      </c>
      <c r="C100" s="46" t="s">
        <v>2718</v>
      </c>
      <c r="D100" s="30" t="s">
        <v>1655</v>
      </c>
      <c r="E100" s="30" t="str">
        <f>Summary!C4</f>
        <v>2015/16</v>
      </c>
      <c r="F100" s="30" t="str">
        <f>Summary!D4</f>
        <v>2016/17</v>
      </c>
      <c r="G100" s="30" t="str">
        <f>Summary!E4</f>
        <v>2017/18</v>
      </c>
      <c r="H100" s="30" t="str">
        <f>Summary!F4</f>
        <v>2018/19</v>
      </c>
      <c r="I100" s="30" t="str">
        <f>Summary!G4</f>
        <v>2019/20</v>
      </c>
    </row>
    <row r="101" spans="1:9" x14ac:dyDescent="0.3">
      <c r="A101" s="14" t="s">
        <v>1648</v>
      </c>
      <c r="B101" s="40">
        <f>B90*HourlyRateAPAMaintenanceStaff+B91*HourlyRateAPAOMSupervisor</f>
        <v>63.45</v>
      </c>
      <c r="C101" s="40">
        <f>B101*$C$15</f>
        <v>126.9</v>
      </c>
      <c r="D101" s="40">
        <f>C101*SUMPRODUCT(LabourAdjustmentFactor,E$88:I$88)</f>
        <v>683.70379084863271</v>
      </c>
      <c r="E101" s="40">
        <f>$C101*E$88*'Modelling Assumptions'!E$101</f>
        <v>130.07249999999999</v>
      </c>
      <c r="F101" s="40">
        <f>$C101*F$88*'Modelling Assumptions'!F$101</f>
        <v>133.32431249999999</v>
      </c>
      <c r="G101" s="40">
        <f>$C101*G$88*'Modelling Assumptions'!G$101</f>
        <v>136.65742031249999</v>
      </c>
      <c r="H101" s="40">
        <f>$C101*H$88*'Modelling Assumptions'!H$101</f>
        <v>140.07385582031247</v>
      </c>
      <c r="I101" s="40">
        <f>$C101*I$88*'Modelling Assumptions'!I$101</f>
        <v>143.57570221582029</v>
      </c>
    </row>
    <row r="102" spans="1:9" x14ac:dyDescent="0.3">
      <c r="A102" s="14" t="s">
        <v>1643</v>
      </c>
      <c r="B102" s="40">
        <f>B92</f>
        <v>0</v>
      </c>
      <c r="C102" s="40">
        <f>B102*$C$15</f>
        <v>0</v>
      </c>
      <c r="D102" s="40">
        <f>C102*SUMPRODUCT(MaterialsAdjustmentFactor,E$88:I$88)</f>
        <v>0</v>
      </c>
      <c r="E102" s="40">
        <f>$C102*E$88*'Modelling Assumptions'!E$102</f>
        <v>0</v>
      </c>
      <c r="F102" s="40">
        <f>$C102*F$88*'Modelling Assumptions'!F$102</f>
        <v>0</v>
      </c>
      <c r="G102" s="40">
        <f>$C102*G$88*'Modelling Assumptions'!G$102</f>
        <v>0</v>
      </c>
      <c r="H102" s="40">
        <f>$C102*H$88*'Modelling Assumptions'!H$102</f>
        <v>0</v>
      </c>
      <c r="I102" s="40">
        <f>$C102*I$88*'Modelling Assumptions'!I$102</f>
        <v>0</v>
      </c>
    </row>
    <row r="103" spans="1:9" x14ac:dyDescent="0.3">
      <c r="A103" s="14" t="s">
        <v>1649</v>
      </c>
      <c r="B103" s="40">
        <f>B97</f>
        <v>0</v>
      </c>
      <c r="C103" s="40">
        <f>B103*$C$15</f>
        <v>0</v>
      </c>
      <c r="D103" s="40">
        <f>C103*SUMPRODUCT(LabourAdjustmentFactor,E$88:I$88)</f>
        <v>0</v>
      </c>
      <c r="E103" s="40">
        <f>$C103*E$88*'Modelling Assumptions'!E$101</f>
        <v>0</v>
      </c>
      <c r="F103" s="40">
        <f>$C103*F$88*'Modelling Assumptions'!F$101</f>
        <v>0</v>
      </c>
      <c r="G103" s="40">
        <f>$C103*G$88*'Modelling Assumptions'!G$101</f>
        <v>0</v>
      </c>
      <c r="H103" s="40">
        <f>$C103*H$88*'Modelling Assumptions'!H$101</f>
        <v>0</v>
      </c>
      <c r="I103" s="40">
        <f>$C103*I$88*'Modelling Assumptions'!I$101</f>
        <v>0</v>
      </c>
    </row>
    <row r="104" spans="1:9" x14ac:dyDescent="0.3">
      <c r="A104" s="14" t="s">
        <v>1650</v>
      </c>
      <c r="B104" s="40">
        <f>B98</f>
        <v>0</v>
      </c>
      <c r="C104" s="40">
        <f>B104*$C$15</f>
        <v>0</v>
      </c>
      <c r="D104" s="40">
        <f>C104*SUMPRODUCT(MaterialsAdjustmentFactor,E$88:I$88)</f>
        <v>0</v>
      </c>
      <c r="E104" s="40">
        <f>$C104*E$88*'Modelling Assumptions'!E$102</f>
        <v>0</v>
      </c>
      <c r="F104" s="40">
        <f>$C104*F$88*'Modelling Assumptions'!F$102</f>
        <v>0</v>
      </c>
      <c r="G104" s="40">
        <f>$C104*G$88*'Modelling Assumptions'!G$102</f>
        <v>0</v>
      </c>
      <c r="H104" s="40">
        <f>$C104*H$88*'Modelling Assumptions'!H$102</f>
        <v>0</v>
      </c>
      <c r="I104" s="40">
        <f>$C104*I$88*'Modelling Assumptions'!I$102</f>
        <v>0</v>
      </c>
    </row>
    <row r="105" spans="1:9" x14ac:dyDescent="0.3">
      <c r="A105" s="14"/>
      <c r="B105" s="41"/>
      <c r="C105" s="14"/>
    </row>
    <row r="106" spans="1:9" x14ac:dyDescent="0.3">
      <c r="A106" s="14"/>
      <c r="B106" s="41"/>
      <c r="C106" s="14"/>
    </row>
    <row r="107" spans="1:9" x14ac:dyDescent="0.3">
      <c r="E107" s="30" t="str">
        <f>Summary!C4</f>
        <v>2015/16</v>
      </c>
      <c r="F107" s="30" t="str">
        <f>Summary!D4</f>
        <v>2016/17</v>
      </c>
      <c r="G107" s="30" t="str">
        <f>Summary!E4</f>
        <v>2017/18</v>
      </c>
      <c r="H107" s="30" t="str">
        <f>Summary!F4</f>
        <v>2018/19</v>
      </c>
      <c r="I107" s="30" t="str">
        <f>Summary!G4</f>
        <v>2019/20</v>
      </c>
    </row>
    <row r="108" spans="1:9" x14ac:dyDescent="0.3">
      <c r="A108" s="45" t="s">
        <v>1380</v>
      </c>
      <c r="B108" s="45" t="s">
        <v>65</v>
      </c>
      <c r="C108" s="45"/>
      <c r="D108" s="45"/>
      <c r="E108" s="45">
        <v>0</v>
      </c>
      <c r="F108" s="45">
        <v>1</v>
      </c>
      <c r="G108" s="45">
        <v>0</v>
      </c>
      <c r="H108" s="45">
        <v>1</v>
      </c>
      <c r="I108" s="45">
        <v>0</v>
      </c>
    </row>
    <row r="109" spans="1:9" x14ac:dyDescent="0.3">
      <c r="A109" s="8" t="s">
        <v>1646</v>
      </c>
      <c r="C109" s="39"/>
    </row>
    <row r="110" spans="1:9" x14ac:dyDescent="0.3">
      <c r="A110" s="14" t="s">
        <v>1658</v>
      </c>
      <c r="B110" s="15">
        <v>0</v>
      </c>
      <c r="C110" s="14" t="s">
        <v>1677</v>
      </c>
    </row>
    <row r="111" spans="1:9" x14ac:dyDescent="0.3">
      <c r="A111" s="14" t="s">
        <v>1997</v>
      </c>
      <c r="B111" s="15">
        <v>0.5</v>
      </c>
      <c r="C111" s="14" t="s">
        <v>2311</v>
      </c>
    </row>
    <row r="112" spans="1:9" x14ac:dyDescent="0.3">
      <c r="A112" s="14" t="s">
        <v>1643</v>
      </c>
      <c r="B112" s="55">
        <v>0</v>
      </c>
      <c r="C112" s="14"/>
    </row>
    <row r="113" spans="1:9" x14ac:dyDescent="0.3">
      <c r="A113" s="14"/>
      <c r="B113" s="55"/>
      <c r="C113" s="14"/>
    </row>
    <row r="114" spans="1:9" x14ac:dyDescent="0.3">
      <c r="A114" s="42" t="s">
        <v>1647</v>
      </c>
      <c r="B114" s="15"/>
      <c r="C114" s="14"/>
    </row>
    <row r="115" spans="1:9" x14ac:dyDescent="0.3">
      <c r="A115" s="14" t="s">
        <v>1656</v>
      </c>
      <c r="B115" s="15"/>
      <c r="C115" s="14"/>
    </row>
    <row r="116" spans="1:9" x14ac:dyDescent="0.3">
      <c r="A116" s="14" t="s">
        <v>1651</v>
      </c>
      <c r="B116" s="55"/>
      <c r="C116" s="14"/>
    </row>
    <row r="117" spans="1:9" x14ac:dyDescent="0.3">
      <c r="A117" s="14" t="s">
        <v>1649</v>
      </c>
      <c r="B117" s="55">
        <v>0</v>
      </c>
      <c r="C117" s="14" t="s">
        <v>3103</v>
      </c>
    </row>
    <row r="118" spans="1:9" x14ac:dyDescent="0.3">
      <c r="A118" s="14" t="s">
        <v>1650</v>
      </c>
      <c r="B118" s="55">
        <v>0</v>
      </c>
      <c r="C118" s="7"/>
    </row>
    <row r="120" spans="1:9" x14ac:dyDescent="0.3">
      <c r="A120" s="14"/>
      <c r="B120" s="46" t="s">
        <v>2712</v>
      </c>
      <c r="C120" s="46" t="s">
        <v>2718</v>
      </c>
      <c r="D120" s="30" t="s">
        <v>1655</v>
      </c>
      <c r="E120" s="30" t="str">
        <f>Summary!C4</f>
        <v>2015/16</v>
      </c>
      <c r="F120" s="30" t="str">
        <f>Summary!D4</f>
        <v>2016/17</v>
      </c>
      <c r="G120" s="30" t="str">
        <f>Summary!E4</f>
        <v>2017/18</v>
      </c>
      <c r="H120" s="30" t="str">
        <f>Summary!F4</f>
        <v>2018/19</v>
      </c>
      <c r="I120" s="30" t="str">
        <f>Summary!G4</f>
        <v>2019/20</v>
      </c>
    </row>
    <row r="121" spans="1:9" x14ac:dyDescent="0.3">
      <c r="A121" s="14" t="s">
        <v>1648</v>
      </c>
      <c r="B121" s="40">
        <f>B110*HourlyRateAPAMaintenanceStaff+B111*HourlyRateAPAOMSupervisor</f>
        <v>63.45</v>
      </c>
      <c r="C121" s="40">
        <f>B121*$C$15</f>
        <v>126.9</v>
      </c>
      <c r="D121" s="40">
        <f>C121*SUMPRODUCT(LabourAdjustmentFactor,E$108:I$108)</f>
        <v>273.39816832031249</v>
      </c>
      <c r="E121" s="40">
        <f>$C121*E$108*'Modelling Assumptions'!E$101</f>
        <v>0</v>
      </c>
      <c r="F121" s="40">
        <f>$C121*F$108*'Modelling Assumptions'!F$101</f>
        <v>133.32431249999999</v>
      </c>
      <c r="G121" s="40">
        <f>$C121*G$108*'Modelling Assumptions'!G$101</f>
        <v>0</v>
      </c>
      <c r="H121" s="40">
        <f>$C121*H$108*'Modelling Assumptions'!H$101</f>
        <v>140.07385582031247</v>
      </c>
      <c r="I121" s="40">
        <f>$C121*I$108*'Modelling Assumptions'!I$101</f>
        <v>0</v>
      </c>
    </row>
    <row r="122" spans="1:9" x14ac:dyDescent="0.3">
      <c r="A122" s="14" t="s">
        <v>1643</v>
      </c>
      <c r="B122" s="40">
        <f>B112</f>
        <v>0</v>
      </c>
      <c r="C122" s="40">
        <f>B122*$C$15</f>
        <v>0</v>
      </c>
      <c r="D122" s="40">
        <f>C122*SUMPRODUCT(MaterialsAdjustmentFactor,E$108:I$108)</f>
        <v>0</v>
      </c>
      <c r="E122" s="40">
        <f>$C122*E$108*'Modelling Assumptions'!E$102</f>
        <v>0</v>
      </c>
      <c r="F122" s="40">
        <f>$C122*F$108*'Modelling Assumptions'!F$102</f>
        <v>0</v>
      </c>
      <c r="G122" s="40">
        <f>$C122*G$108*'Modelling Assumptions'!G$102</f>
        <v>0</v>
      </c>
      <c r="H122" s="40">
        <f>$C122*H$108*'Modelling Assumptions'!H$102</f>
        <v>0</v>
      </c>
      <c r="I122" s="40">
        <f>$C122*I$108*'Modelling Assumptions'!I$102</f>
        <v>0</v>
      </c>
    </row>
    <row r="123" spans="1:9" x14ac:dyDescent="0.3">
      <c r="A123" s="14" t="s">
        <v>1649</v>
      </c>
      <c r="B123" s="40">
        <f>B117</f>
        <v>0</v>
      </c>
      <c r="C123" s="40">
        <f>B123*$C$15</f>
        <v>0</v>
      </c>
      <c r="D123" s="40">
        <f>C123*SUMPRODUCT(LabourAdjustmentFactor,E$108:I$108)</f>
        <v>0</v>
      </c>
      <c r="E123" s="40">
        <f>$C123*E$108*'Modelling Assumptions'!E$101</f>
        <v>0</v>
      </c>
      <c r="F123" s="40">
        <f>$C123*F$108*'Modelling Assumptions'!F$101</f>
        <v>0</v>
      </c>
      <c r="G123" s="40">
        <f>$C123*G$108*'Modelling Assumptions'!G$101</f>
        <v>0</v>
      </c>
      <c r="H123" s="40">
        <f>$C123*H$108*'Modelling Assumptions'!H$101</f>
        <v>0</v>
      </c>
      <c r="I123" s="40">
        <f>$C123*I$108*'Modelling Assumptions'!I$101</f>
        <v>0</v>
      </c>
    </row>
    <row r="124" spans="1:9" x14ac:dyDescent="0.3">
      <c r="A124" s="14" t="s">
        <v>1650</v>
      </c>
      <c r="B124" s="40">
        <f>B118</f>
        <v>0</v>
      </c>
      <c r="C124" s="40">
        <f>B124*$C$15</f>
        <v>0</v>
      </c>
      <c r="D124" s="40">
        <f>C124*SUMPRODUCT(MaterialsAdjustmentFactor,E$108:I$108)</f>
        <v>0</v>
      </c>
      <c r="E124" s="40">
        <f>$C124*E$108*'Modelling Assumptions'!E$102</f>
        <v>0</v>
      </c>
      <c r="F124" s="40">
        <f>$C124*F$108*'Modelling Assumptions'!F$102</f>
        <v>0</v>
      </c>
      <c r="G124" s="40">
        <f>$C124*G$108*'Modelling Assumptions'!G$102</f>
        <v>0</v>
      </c>
      <c r="H124" s="40">
        <f>$C124*H$108*'Modelling Assumptions'!H$102</f>
        <v>0</v>
      </c>
      <c r="I124" s="40">
        <f>$C124*I$108*'Modelling Assumptions'!I$102</f>
        <v>0</v>
      </c>
    </row>
    <row r="130" spans="1:9" x14ac:dyDescent="0.3">
      <c r="A130" s="10" t="s">
        <v>1641</v>
      </c>
      <c r="B130" s="44"/>
      <c r="C130" s="44"/>
      <c r="D130" s="10"/>
      <c r="E130" s="10"/>
      <c r="F130" s="10"/>
      <c r="G130" s="10"/>
      <c r="H130" s="10"/>
      <c r="I130" s="10"/>
    </row>
    <row r="131" spans="1:9" x14ac:dyDescent="0.3">
      <c r="A131" t="s">
        <v>3</v>
      </c>
      <c r="B131" t="s">
        <v>2</v>
      </c>
      <c r="C131" t="s">
        <v>1</v>
      </c>
    </row>
    <row r="132" spans="1:9" x14ac:dyDescent="0.3">
      <c r="A132" t="s">
        <v>1377</v>
      </c>
      <c r="B132" t="s">
        <v>47</v>
      </c>
    </row>
    <row r="133" spans="1:9" x14ac:dyDescent="0.3">
      <c r="A133" t="s">
        <v>154</v>
      </c>
      <c r="B133" t="s">
        <v>153</v>
      </c>
      <c r="C133" t="s">
        <v>152</v>
      </c>
      <c r="D133" t="s">
        <v>151</v>
      </c>
    </row>
    <row r="134" spans="1:9" x14ac:dyDescent="0.3">
      <c r="A134" t="s">
        <v>154</v>
      </c>
      <c r="B134" t="s">
        <v>153</v>
      </c>
      <c r="C134" t="s">
        <v>244</v>
      </c>
      <c r="D134" t="s">
        <v>243</v>
      </c>
    </row>
    <row r="135" spans="1:9" x14ac:dyDescent="0.3">
      <c r="A135" t="s">
        <v>154</v>
      </c>
      <c r="B135" t="s">
        <v>153</v>
      </c>
      <c r="C135" t="s">
        <v>288</v>
      </c>
      <c r="D135" t="s">
        <v>287</v>
      </c>
    </row>
    <row r="136" spans="1:9" x14ac:dyDescent="0.3">
      <c r="A136" t="s">
        <v>154</v>
      </c>
      <c r="B136" t="s">
        <v>153</v>
      </c>
      <c r="C136" t="s">
        <v>388</v>
      </c>
      <c r="D136" t="s">
        <v>387</v>
      </c>
    </row>
    <row r="137" spans="1:9" x14ac:dyDescent="0.3">
      <c r="A137" t="s">
        <v>154</v>
      </c>
      <c r="B137" t="s">
        <v>153</v>
      </c>
      <c r="C137" t="s">
        <v>433</v>
      </c>
      <c r="D137" t="s">
        <v>432</v>
      </c>
    </row>
    <row r="138" spans="1:9" x14ac:dyDescent="0.3">
      <c r="A138" t="s">
        <v>154</v>
      </c>
      <c r="B138" t="s">
        <v>153</v>
      </c>
      <c r="C138" t="s">
        <v>476</v>
      </c>
      <c r="D138" t="s">
        <v>475</v>
      </c>
    </row>
    <row r="140" spans="1:9" x14ac:dyDescent="0.3">
      <c r="A140" t="s">
        <v>1378</v>
      </c>
      <c r="B140" t="s">
        <v>51</v>
      </c>
    </row>
    <row r="141" spans="1:9" x14ac:dyDescent="0.3">
      <c r="A141" t="s">
        <v>156</v>
      </c>
      <c r="B141" t="s">
        <v>155</v>
      </c>
      <c r="C141" t="s">
        <v>152</v>
      </c>
      <c r="D141" t="s">
        <v>151</v>
      </c>
    </row>
    <row r="142" spans="1:9" x14ac:dyDescent="0.3">
      <c r="A142" t="s">
        <v>156</v>
      </c>
      <c r="B142" t="s">
        <v>155</v>
      </c>
      <c r="C142" t="s">
        <v>244</v>
      </c>
      <c r="D142" t="s">
        <v>243</v>
      </c>
    </row>
    <row r="143" spans="1:9" x14ac:dyDescent="0.3">
      <c r="A143" t="s">
        <v>156</v>
      </c>
      <c r="B143" t="s">
        <v>155</v>
      </c>
      <c r="C143" t="s">
        <v>288</v>
      </c>
      <c r="D143" t="s">
        <v>287</v>
      </c>
    </row>
    <row r="144" spans="1:9" x14ac:dyDescent="0.3">
      <c r="A144" t="s">
        <v>156</v>
      </c>
      <c r="B144" t="s">
        <v>155</v>
      </c>
      <c r="C144" t="s">
        <v>388</v>
      </c>
      <c r="D144" t="s">
        <v>387</v>
      </c>
    </row>
    <row r="145" spans="1:4" x14ac:dyDescent="0.3">
      <c r="A145" t="s">
        <v>156</v>
      </c>
      <c r="B145" t="s">
        <v>155</v>
      </c>
      <c r="C145" t="s">
        <v>433</v>
      </c>
      <c r="D145" t="s">
        <v>432</v>
      </c>
    </row>
    <row r="146" spans="1:4" x14ac:dyDescent="0.3">
      <c r="A146" t="s">
        <v>156</v>
      </c>
      <c r="B146" t="s">
        <v>155</v>
      </c>
      <c r="C146" t="s">
        <v>476</v>
      </c>
      <c r="D146" t="s">
        <v>475</v>
      </c>
    </row>
    <row r="148" spans="1:4" x14ac:dyDescent="0.3">
      <c r="A148" t="s">
        <v>1379</v>
      </c>
      <c r="B148" t="s">
        <v>56</v>
      </c>
    </row>
    <row r="149" spans="1:4" x14ac:dyDescent="0.3">
      <c r="A149" t="s">
        <v>159</v>
      </c>
      <c r="B149" t="s">
        <v>158</v>
      </c>
      <c r="C149" t="s">
        <v>152</v>
      </c>
      <c r="D149" t="s">
        <v>151</v>
      </c>
    </row>
    <row r="150" spans="1:4" x14ac:dyDescent="0.3">
      <c r="A150" t="s">
        <v>159</v>
      </c>
      <c r="B150" t="s">
        <v>158</v>
      </c>
      <c r="C150" t="s">
        <v>244</v>
      </c>
      <c r="D150" t="s">
        <v>243</v>
      </c>
    </row>
    <row r="151" spans="1:4" x14ac:dyDescent="0.3">
      <c r="A151" t="s">
        <v>159</v>
      </c>
      <c r="B151" t="s">
        <v>158</v>
      </c>
      <c r="C151" t="s">
        <v>288</v>
      </c>
      <c r="D151" t="s">
        <v>287</v>
      </c>
    </row>
    <row r="152" spans="1:4" x14ac:dyDescent="0.3">
      <c r="A152" t="s">
        <v>159</v>
      </c>
      <c r="B152" t="s">
        <v>158</v>
      </c>
      <c r="C152" t="s">
        <v>388</v>
      </c>
      <c r="D152" t="s">
        <v>387</v>
      </c>
    </row>
    <row r="153" spans="1:4" x14ac:dyDescent="0.3">
      <c r="A153" t="s">
        <v>159</v>
      </c>
      <c r="B153" t="s">
        <v>158</v>
      </c>
      <c r="C153" t="s">
        <v>433</v>
      </c>
      <c r="D153" t="s">
        <v>432</v>
      </c>
    </row>
    <row r="154" spans="1:4" x14ac:dyDescent="0.3">
      <c r="A154" t="s">
        <v>159</v>
      </c>
      <c r="B154" t="s">
        <v>158</v>
      </c>
      <c r="C154" t="s">
        <v>476</v>
      </c>
      <c r="D154" t="s">
        <v>475</v>
      </c>
    </row>
    <row r="156" spans="1:4" x14ac:dyDescent="0.3">
      <c r="A156" t="s">
        <v>1380</v>
      </c>
      <c r="B156" t="s">
        <v>65</v>
      </c>
    </row>
    <row r="157" spans="1:4" x14ac:dyDescent="0.3">
      <c r="A157" t="s">
        <v>161</v>
      </c>
      <c r="B157" t="s">
        <v>160</v>
      </c>
      <c r="C157" t="s">
        <v>152</v>
      </c>
      <c r="D157" t="s">
        <v>151</v>
      </c>
    </row>
    <row r="158" spans="1:4" x14ac:dyDescent="0.3">
      <c r="A158" t="s">
        <v>161</v>
      </c>
      <c r="B158" t="s">
        <v>160</v>
      </c>
      <c r="C158" t="s">
        <v>244</v>
      </c>
      <c r="D158" t="s">
        <v>243</v>
      </c>
    </row>
    <row r="159" spans="1:4" x14ac:dyDescent="0.3">
      <c r="A159" t="s">
        <v>161</v>
      </c>
      <c r="B159" t="s">
        <v>160</v>
      </c>
      <c r="C159" t="s">
        <v>288</v>
      </c>
      <c r="D159" t="s">
        <v>287</v>
      </c>
    </row>
    <row r="160" spans="1:4" x14ac:dyDescent="0.3">
      <c r="A160" t="s">
        <v>161</v>
      </c>
      <c r="B160" t="s">
        <v>160</v>
      </c>
      <c r="C160" t="s">
        <v>388</v>
      </c>
      <c r="D160" t="s">
        <v>387</v>
      </c>
    </row>
    <row r="161" spans="1:5" x14ac:dyDescent="0.3">
      <c r="A161" t="s">
        <v>161</v>
      </c>
      <c r="B161" t="s">
        <v>160</v>
      </c>
      <c r="C161" t="s">
        <v>433</v>
      </c>
      <c r="D161" t="s">
        <v>432</v>
      </c>
    </row>
    <row r="162" spans="1:5" x14ac:dyDescent="0.3">
      <c r="A162" t="s">
        <v>161</v>
      </c>
      <c r="B162" t="s">
        <v>160</v>
      </c>
      <c r="C162" t="s">
        <v>476</v>
      </c>
      <c r="D162" t="s">
        <v>475</v>
      </c>
    </row>
    <row r="168" spans="1:5" x14ac:dyDescent="0.3">
      <c r="A168" t="s">
        <v>1098</v>
      </c>
      <c r="B168" t="s">
        <v>519</v>
      </c>
    </row>
    <row r="169" spans="1:5" x14ac:dyDescent="0.3">
      <c r="A169" t="s">
        <v>1381</v>
      </c>
      <c r="B169" t="s">
        <v>1362</v>
      </c>
      <c r="C169" t="s">
        <v>1101</v>
      </c>
      <c r="D169" s="29">
        <v>41617.429166666669</v>
      </c>
      <c r="E169" t="s">
        <v>1148</v>
      </c>
    </row>
    <row r="170" spans="1:5" x14ac:dyDescent="0.3">
      <c r="A170" t="s">
        <v>1382</v>
      </c>
      <c r="B170" t="s">
        <v>1362</v>
      </c>
      <c r="C170" t="s">
        <v>1101</v>
      </c>
      <c r="D170" s="29">
        <v>41564.738194444442</v>
      </c>
      <c r="E170" t="s">
        <v>1383</v>
      </c>
    </row>
    <row r="171" spans="1:5" x14ac:dyDescent="0.3">
      <c r="A171" t="s">
        <v>1384</v>
      </c>
      <c r="B171" t="s">
        <v>1362</v>
      </c>
      <c r="C171" t="s">
        <v>1101</v>
      </c>
      <c r="D171" s="29">
        <v>41548.6875</v>
      </c>
      <c r="E171" t="s">
        <v>1385</v>
      </c>
    </row>
    <row r="172" spans="1:5" x14ac:dyDescent="0.3">
      <c r="A172" t="s">
        <v>1386</v>
      </c>
      <c r="B172" t="s">
        <v>1362</v>
      </c>
      <c r="C172" t="s">
        <v>1101</v>
      </c>
      <c r="D172" s="29">
        <v>41533.727083333331</v>
      </c>
      <c r="E172" t="s">
        <v>1387</v>
      </c>
    </row>
    <row r="173" spans="1:5" x14ac:dyDescent="0.3">
      <c r="A173" t="s">
        <v>1388</v>
      </c>
      <c r="B173" t="s">
        <v>1362</v>
      </c>
      <c r="C173" t="s">
        <v>1101</v>
      </c>
      <c r="D173" s="29">
        <v>41474.671527777777</v>
      </c>
    </row>
    <row r="174" spans="1:5" x14ac:dyDescent="0.3">
      <c r="A174" t="s">
        <v>1389</v>
      </c>
      <c r="B174" t="s">
        <v>1362</v>
      </c>
      <c r="C174" t="s">
        <v>1101</v>
      </c>
      <c r="D174" s="29">
        <v>41452.427777777775</v>
      </c>
    </row>
    <row r="175" spans="1:5" x14ac:dyDescent="0.3">
      <c r="A175" t="s">
        <v>1390</v>
      </c>
      <c r="B175" t="s">
        <v>1362</v>
      </c>
      <c r="C175" t="s">
        <v>1101</v>
      </c>
      <c r="D175" s="29">
        <v>41617.429166666669</v>
      </c>
      <c r="E175" t="s">
        <v>1148</v>
      </c>
    </row>
    <row r="176" spans="1:5" x14ac:dyDescent="0.3">
      <c r="A176" t="s">
        <v>1391</v>
      </c>
      <c r="B176" t="s">
        <v>1362</v>
      </c>
      <c r="C176" t="s">
        <v>1101</v>
      </c>
      <c r="D176" s="29">
        <v>41564.738194444442</v>
      </c>
      <c r="E176" t="s">
        <v>1383</v>
      </c>
    </row>
    <row r="177" spans="1:5" x14ac:dyDescent="0.3">
      <c r="A177" t="s">
        <v>1392</v>
      </c>
      <c r="B177" t="s">
        <v>1362</v>
      </c>
      <c r="C177" t="s">
        <v>1101</v>
      </c>
      <c r="D177" s="29">
        <v>41548.6875</v>
      </c>
      <c r="E177" t="s">
        <v>1385</v>
      </c>
    </row>
    <row r="178" spans="1:5" x14ac:dyDescent="0.3">
      <c r="A178" t="s">
        <v>1393</v>
      </c>
      <c r="B178" t="s">
        <v>1362</v>
      </c>
      <c r="C178" t="s">
        <v>1101</v>
      </c>
      <c r="D178" s="29">
        <v>41533.727083333331</v>
      </c>
      <c r="E178" t="s">
        <v>1387</v>
      </c>
    </row>
    <row r="179" spans="1:5" x14ac:dyDescent="0.3">
      <c r="A179" t="s">
        <v>1394</v>
      </c>
      <c r="B179" t="s">
        <v>1362</v>
      </c>
      <c r="C179" t="s">
        <v>1101</v>
      </c>
      <c r="D179" s="29">
        <v>41474.671527777777</v>
      </c>
    </row>
    <row r="180" spans="1:5" x14ac:dyDescent="0.3">
      <c r="A180" t="s">
        <v>1395</v>
      </c>
      <c r="B180" t="s">
        <v>1362</v>
      </c>
      <c r="C180" t="s">
        <v>1101</v>
      </c>
      <c r="D180" s="29">
        <v>41452.427777777775</v>
      </c>
    </row>
    <row r="181" spans="1:5" x14ac:dyDescent="0.3">
      <c r="A181" t="s">
        <v>1396</v>
      </c>
      <c r="B181" t="s">
        <v>1362</v>
      </c>
      <c r="C181" t="s">
        <v>1101</v>
      </c>
      <c r="D181" s="29">
        <v>41617.429166666669</v>
      </c>
      <c r="E181" t="s">
        <v>1148</v>
      </c>
    </row>
    <row r="182" spans="1:5" x14ac:dyDescent="0.3">
      <c r="A182" t="s">
        <v>1397</v>
      </c>
      <c r="B182" t="s">
        <v>1362</v>
      </c>
      <c r="C182" t="s">
        <v>1101</v>
      </c>
      <c r="D182" s="29">
        <v>41564.738194444442</v>
      </c>
      <c r="E182" t="s">
        <v>1383</v>
      </c>
    </row>
    <row r="183" spans="1:5" x14ac:dyDescent="0.3">
      <c r="A183" t="s">
        <v>1398</v>
      </c>
      <c r="B183" t="s">
        <v>1362</v>
      </c>
      <c r="C183" t="s">
        <v>1101</v>
      </c>
      <c r="D183" s="29">
        <v>41548.6875</v>
      </c>
      <c r="E183" t="s">
        <v>1385</v>
      </c>
    </row>
    <row r="184" spans="1:5" x14ac:dyDescent="0.3">
      <c r="A184" t="s">
        <v>1399</v>
      </c>
      <c r="B184" t="s">
        <v>1362</v>
      </c>
      <c r="C184" t="s">
        <v>1101</v>
      </c>
      <c r="D184" s="29">
        <v>41533.727083333331</v>
      </c>
      <c r="E184" t="s">
        <v>1387</v>
      </c>
    </row>
    <row r="185" spans="1:5" x14ac:dyDescent="0.3">
      <c r="A185" t="s">
        <v>1400</v>
      </c>
      <c r="B185" t="s">
        <v>1362</v>
      </c>
      <c r="C185" t="s">
        <v>1101</v>
      </c>
      <c r="D185" s="29">
        <v>41474.671527777777</v>
      </c>
    </row>
    <row r="186" spans="1:5" x14ac:dyDescent="0.3">
      <c r="A186" t="s">
        <v>1401</v>
      </c>
      <c r="B186" t="s">
        <v>1362</v>
      </c>
      <c r="C186" t="s">
        <v>1101</v>
      </c>
      <c r="D186" s="29">
        <v>41452.427777777775</v>
      </c>
    </row>
    <row r="187" spans="1:5" x14ac:dyDescent="0.3">
      <c r="A187" t="s">
        <v>1402</v>
      </c>
      <c r="B187" t="s">
        <v>1362</v>
      </c>
      <c r="C187" t="s">
        <v>1101</v>
      </c>
      <c r="D187" s="29">
        <v>41617.429166666669</v>
      </c>
      <c r="E187" t="s">
        <v>1148</v>
      </c>
    </row>
    <row r="188" spans="1:5" x14ac:dyDescent="0.3">
      <c r="A188" t="s">
        <v>1403</v>
      </c>
      <c r="B188" t="s">
        <v>1362</v>
      </c>
      <c r="C188" t="s">
        <v>1101</v>
      </c>
      <c r="D188" s="29">
        <v>41564.738194444442</v>
      </c>
      <c r="E188" t="s">
        <v>1383</v>
      </c>
    </row>
    <row r="189" spans="1:5" x14ac:dyDescent="0.3">
      <c r="A189" t="s">
        <v>1404</v>
      </c>
      <c r="B189" t="s">
        <v>1362</v>
      </c>
      <c r="C189" t="s">
        <v>1101</v>
      </c>
      <c r="D189" s="29">
        <v>41548.6875</v>
      </c>
      <c r="E189" t="s">
        <v>1385</v>
      </c>
    </row>
    <row r="190" spans="1:5" x14ac:dyDescent="0.3">
      <c r="A190" t="s">
        <v>1405</v>
      </c>
      <c r="B190" t="s">
        <v>1362</v>
      </c>
      <c r="C190" t="s">
        <v>1101</v>
      </c>
      <c r="D190" s="29">
        <v>41533.727083333331</v>
      </c>
      <c r="E190" t="s">
        <v>1387</v>
      </c>
    </row>
    <row r="191" spans="1:5" x14ac:dyDescent="0.3">
      <c r="A191" t="s">
        <v>1406</v>
      </c>
      <c r="B191" t="s">
        <v>1362</v>
      </c>
      <c r="C191" t="s">
        <v>1101</v>
      </c>
      <c r="D191" s="29">
        <v>41474.671527777777</v>
      </c>
    </row>
    <row r="192" spans="1:5" x14ac:dyDescent="0.3">
      <c r="A192" t="s">
        <v>1407</v>
      </c>
      <c r="B192" t="s">
        <v>1362</v>
      </c>
      <c r="C192" t="s">
        <v>1101</v>
      </c>
      <c r="D192" s="29">
        <v>41452.427777777775</v>
      </c>
    </row>
    <row r="193" spans="1:5" x14ac:dyDescent="0.3">
      <c r="A193" t="s">
        <v>1408</v>
      </c>
      <c r="B193" t="s">
        <v>1362</v>
      </c>
      <c r="C193" t="s">
        <v>1101</v>
      </c>
      <c r="D193" s="29">
        <v>41617.429166666669</v>
      </c>
      <c r="E193" t="s">
        <v>1148</v>
      </c>
    </row>
    <row r="194" spans="1:5" x14ac:dyDescent="0.3">
      <c r="A194" t="s">
        <v>1409</v>
      </c>
      <c r="B194" t="s">
        <v>1362</v>
      </c>
      <c r="C194" t="s">
        <v>1101</v>
      </c>
      <c r="D194" s="29">
        <v>41564.738194444442</v>
      </c>
      <c r="E194" t="s">
        <v>1383</v>
      </c>
    </row>
    <row r="195" spans="1:5" x14ac:dyDescent="0.3">
      <c r="A195" t="s">
        <v>1410</v>
      </c>
      <c r="B195" t="s">
        <v>1362</v>
      </c>
      <c r="C195" t="s">
        <v>1101</v>
      </c>
      <c r="D195" s="29">
        <v>41548.6875</v>
      </c>
      <c r="E195" t="s">
        <v>1385</v>
      </c>
    </row>
    <row r="196" spans="1:5" x14ac:dyDescent="0.3">
      <c r="A196" t="s">
        <v>1411</v>
      </c>
      <c r="B196" t="s">
        <v>1362</v>
      </c>
      <c r="C196" t="s">
        <v>1101</v>
      </c>
      <c r="D196" s="29">
        <v>41533.727083333331</v>
      </c>
      <c r="E196" t="s">
        <v>1387</v>
      </c>
    </row>
    <row r="197" spans="1:5" x14ac:dyDescent="0.3">
      <c r="A197" t="s">
        <v>1412</v>
      </c>
      <c r="B197" t="s">
        <v>1362</v>
      </c>
      <c r="C197" t="s">
        <v>1101</v>
      </c>
      <c r="D197" s="29">
        <v>41474.671527777777</v>
      </c>
    </row>
    <row r="198" spans="1:5" x14ac:dyDescent="0.3">
      <c r="A198" t="s">
        <v>1413</v>
      </c>
      <c r="B198" t="s">
        <v>1362</v>
      </c>
      <c r="C198" t="s">
        <v>1101</v>
      </c>
      <c r="D198" s="29">
        <v>41452.427777777775</v>
      </c>
    </row>
    <row r="199" spans="1:5" x14ac:dyDescent="0.3">
      <c r="A199" t="s">
        <v>1414</v>
      </c>
      <c r="B199" t="s">
        <v>1362</v>
      </c>
      <c r="C199" t="s">
        <v>1101</v>
      </c>
      <c r="D199" s="29">
        <v>41617.429166666669</v>
      </c>
      <c r="E199" t="s">
        <v>1148</v>
      </c>
    </row>
    <row r="200" spans="1:5" x14ac:dyDescent="0.3">
      <c r="A200" t="s">
        <v>1415</v>
      </c>
      <c r="B200" t="s">
        <v>1362</v>
      </c>
      <c r="C200" t="s">
        <v>1101</v>
      </c>
      <c r="D200" s="29">
        <v>41564.738194444442</v>
      </c>
      <c r="E200" t="s">
        <v>1383</v>
      </c>
    </row>
    <row r="201" spans="1:5" x14ac:dyDescent="0.3">
      <c r="A201" t="s">
        <v>1416</v>
      </c>
      <c r="B201" t="s">
        <v>1362</v>
      </c>
      <c r="C201" t="s">
        <v>1101</v>
      </c>
      <c r="D201" s="29">
        <v>41548.6875</v>
      </c>
      <c r="E201" t="s">
        <v>1385</v>
      </c>
    </row>
    <row r="202" spans="1:5" x14ac:dyDescent="0.3">
      <c r="A202" t="s">
        <v>1417</v>
      </c>
      <c r="B202" t="s">
        <v>1362</v>
      </c>
      <c r="C202" t="s">
        <v>1101</v>
      </c>
      <c r="D202" s="29">
        <v>41533.727083333331</v>
      </c>
      <c r="E202" t="s">
        <v>1387</v>
      </c>
    </row>
    <row r="203" spans="1:5" x14ac:dyDescent="0.3">
      <c r="A203" t="s">
        <v>1418</v>
      </c>
      <c r="B203" t="s">
        <v>1362</v>
      </c>
      <c r="C203" t="s">
        <v>1101</v>
      </c>
      <c r="D203" s="29">
        <v>41474.671527777777</v>
      </c>
    </row>
    <row r="204" spans="1:5" x14ac:dyDescent="0.3">
      <c r="A204" t="s">
        <v>1419</v>
      </c>
      <c r="B204" t="s">
        <v>1362</v>
      </c>
      <c r="C204" t="s">
        <v>1101</v>
      </c>
      <c r="D204" s="29">
        <v>41452.427777777775</v>
      </c>
    </row>
    <row r="205" spans="1:5" x14ac:dyDescent="0.3">
      <c r="D205" s="29"/>
    </row>
    <row r="206" spans="1:5" x14ac:dyDescent="0.3">
      <c r="A206" t="s">
        <v>1098</v>
      </c>
      <c r="B206" t="s">
        <v>521</v>
      </c>
    </row>
    <row r="207" spans="1:5" x14ac:dyDescent="0.3">
      <c r="A207" t="s">
        <v>1420</v>
      </c>
      <c r="B207" t="s">
        <v>1362</v>
      </c>
      <c r="C207" t="s">
        <v>1101</v>
      </c>
      <c r="D207" s="29">
        <v>41507.571527777778</v>
      </c>
    </row>
    <row r="208" spans="1:5" x14ac:dyDescent="0.3">
      <c r="A208" t="s">
        <v>1421</v>
      </c>
      <c r="B208" t="s">
        <v>1362</v>
      </c>
      <c r="C208" t="s">
        <v>1101</v>
      </c>
      <c r="D208" s="29">
        <v>41507.571527777778</v>
      </c>
    </row>
    <row r="209" spans="1:13" x14ac:dyDescent="0.3">
      <c r="A209" t="s">
        <v>1422</v>
      </c>
      <c r="B209" t="s">
        <v>1362</v>
      </c>
      <c r="C209" t="s">
        <v>1101</v>
      </c>
      <c r="D209" s="29">
        <v>41507.571527777778</v>
      </c>
    </row>
    <row r="210" spans="1:13" x14ac:dyDescent="0.3">
      <c r="A210" t="s">
        <v>1423</v>
      </c>
      <c r="B210" t="s">
        <v>1362</v>
      </c>
      <c r="C210" t="s">
        <v>1101</v>
      </c>
      <c r="D210" s="29">
        <v>41507.571527777778</v>
      </c>
    </row>
    <row r="211" spans="1:13" x14ac:dyDescent="0.3">
      <c r="A211" t="s">
        <v>1424</v>
      </c>
      <c r="B211" t="s">
        <v>1362</v>
      </c>
      <c r="C211" t="s">
        <v>1101</v>
      </c>
      <c r="D211" s="29">
        <v>41507.571527777778</v>
      </c>
    </row>
    <row r="212" spans="1:13" x14ac:dyDescent="0.3">
      <c r="A212" t="s">
        <v>1425</v>
      </c>
      <c r="B212" t="s">
        <v>1362</v>
      </c>
      <c r="C212" t="s">
        <v>1101</v>
      </c>
      <c r="D212" s="29">
        <v>41507.571527777778</v>
      </c>
    </row>
    <row r="214" spans="1:13" x14ac:dyDescent="0.3">
      <c r="A214" t="s">
        <v>1098</v>
      </c>
      <c r="B214" t="s">
        <v>520</v>
      </c>
    </row>
    <row r="215" spans="1:13" x14ac:dyDescent="0.3">
      <c r="A215" t="s">
        <v>1426</v>
      </c>
      <c r="B215" t="s">
        <v>1362</v>
      </c>
      <c r="C215" t="s">
        <v>1101</v>
      </c>
      <c r="D215" s="29">
        <v>41507.569444444445</v>
      </c>
    </row>
    <row r="216" spans="1:13" x14ac:dyDescent="0.3">
      <c r="A216" t="s">
        <v>1427</v>
      </c>
      <c r="B216" t="s">
        <v>1362</v>
      </c>
      <c r="C216" t="s">
        <v>1101</v>
      </c>
      <c r="D216" s="29">
        <v>41507.569444444445</v>
      </c>
    </row>
    <row r="217" spans="1:13" x14ac:dyDescent="0.3">
      <c r="A217" t="s">
        <v>1428</v>
      </c>
      <c r="B217" t="s">
        <v>1362</v>
      </c>
      <c r="C217" t="s">
        <v>1101</v>
      </c>
      <c r="D217" s="29">
        <v>41507.569444444445</v>
      </c>
    </row>
    <row r="218" spans="1:13" x14ac:dyDescent="0.3">
      <c r="A218" t="s">
        <v>1429</v>
      </c>
      <c r="B218" t="s">
        <v>1362</v>
      </c>
      <c r="C218" t="s">
        <v>1101</v>
      </c>
      <c r="D218" s="29">
        <v>41507.569444444445</v>
      </c>
    </row>
    <row r="219" spans="1:13" x14ac:dyDescent="0.3">
      <c r="A219" t="s">
        <v>1430</v>
      </c>
      <c r="B219" t="s">
        <v>1362</v>
      </c>
      <c r="C219" t="s">
        <v>1101</v>
      </c>
      <c r="D219" s="29">
        <v>41507.569444444445</v>
      </c>
    </row>
    <row r="220" spans="1:13" x14ac:dyDescent="0.3">
      <c r="A220" t="s">
        <v>1431</v>
      </c>
      <c r="B220" t="s">
        <v>1362</v>
      </c>
      <c r="C220" t="s">
        <v>1101</v>
      </c>
      <c r="D220" s="29">
        <v>41507.569444444445</v>
      </c>
    </row>
    <row r="221" spans="1:13" x14ac:dyDescent="0.3">
      <c r="D221" s="29"/>
    </row>
    <row r="222" spans="1:13" x14ac:dyDescent="0.3">
      <c r="D222" s="29"/>
    </row>
    <row r="224" spans="1:13" ht="41.4" thickBot="1" x14ac:dyDescent="0.35">
      <c r="A224" s="19" t="s">
        <v>539</v>
      </c>
      <c r="B224" s="20" t="s">
        <v>541</v>
      </c>
      <c r="C224" s="20" t="s">
        <v>542</v>
      </c>
      <c r="D224" s="20" t="s">
        <v>543</v>
      </c>
      <c r="E224" s="20" t="s">
        <v>545</v>
      </c>
      <c r="F224" s="20" t="s">
        <v>546</v>
      </c>
      <c r="G224" s="20" t="s">
        <v>547</v>
      </c>
      <c r="H224" s="20" t="s">
        <v>548</v>
      </c>
      <c r="I224" s="20" t="s">
        <v>549</v>
      </c>
      <c r="J224" s="20" t="s">
        <v>551</v>
      </c>
      <c r="K224" s="20" t="s">
        <v>552</v>
      </c>
      <c r="L224" s="20" t="s">
        <v>553</v>
      </c>
      <c r="M224" s="20" t="s">
        <v>556</v>
      </c>
    </row>
    <row r="225" spans="1:13" ht="82.8" x14ac:dyDescent="0.3">
      <c r="A225" s="23">
        <v>41214</v>
      </c>
      <c r="B225" s="24">
        <v>30264</v>
      </c>
      <c r="C225" s="24" t="s">
        <v>585</v>
      </c>
      <c r="D225" s="24" t="s">
        <v>875</v>
      </c>
      <c r="E225" s="24">
        <v>2530566</v>
      </c>
      <c r="F225" s="25">
        <v>584.49</v>
      </c>
      <c r="G225" s="25">
        <v>584.49</v>
      </c>
      <c r="H225" s="24" t="s">
        <v>876</v>
      </c>
      <c r="I225" s="24" t="s">
        <v>877</v>
      </c>
      <c r="J225" s="24" t="s">
        <v>878</v>
      </c>
      <c r="K225" s="24" t="s">
        <v>590</v>
      </c>
      <c r="L225" s="24">
        <v>272223</v>
      </c>
      <c r="M225" s="24" t="s">
        <v>879</v>
      </c>
    </row>
    <row r="226" spans="1:13" ht="82.8" x14ac:dyDescent="0.3">
      <c r="A226" s="23">
        <v>41244</v>
      </c>
      <c r="B226" s="24">
        <v>30264</v>
      </c>
      <c r="C226" s="24" t="s">
        <v>585</v>
      </c>
      <c r="D226" s="24" t="s">
        <v>875</v>
      </c>
      <c r="E226" s="24">
        <v>2663124</v>
      </c>
      <c r="F226" s="25">
        <v>584.49</v>
      </c>
      <c r="G226" s="25">
        <v>584.49</v>
      </c>
      <c r="H226" s="24" t="s">
        <v>876</v>
      </c>
      <c r="I226" s="24" t="s">
        <v>877</v>
      </c>
      <c r="J226" s="24" t="s">
        <v>878</v>
      </c>
      <c r="K226" s="24" t="s">
        <v>590</v>
      </c>
      <c r="L226" s="24">
        <v>272223</v>
      </c>
      <c r="M226" s="24" t="s">
        <v>901</v>
      </c>
    </row>
    <row r="227" spans="1:13" ht="82.8" x14ac:dyDescent="0.3">
      <c r="A227" s="23">
        <v>41306</v>
      </c>
      <c r="B227" s="24">
        <v>30264</v>
      </c>
      <c r="C227" s="24" t="s">
        <v>585</v>
      </c>
      <c r="D227" s="24" t="s">
        <v>875</v>
      </c>
      <c r="E227" s="24">
        <v>2832680</v>
      </c>
      <c r="F227" s="25">
        <v>584.49</v>
      </c>
      <c r="G227" s="25">
        <v>584.49</v>
      </c>
      <c r="H227" s="24" t="s">
        <v>876</v>
      </c>
      <c r="I227" s="24" t="s">
        <v>877</v>
      </c>
      <c r="J227" s="24" t="s">
        <v>878</v>
      </c>
      <c r="K227" s="24" t="s">
        <v>590</v>
      </c>
      <c r="L227" s="24">
        <v>272223</v>
      </c>
      <c r="M227" s="24" t="s">
        <v>920</v>
      </c>
    </row>
    <row r="228" spans="1:13" ht="82.8" x14ac:dyDescent="0.3">
      <c r="A228" s="23">
        <v>41306</v>
      </c>
      <c r="B228" s="24">
        <v>30264</v>
      </c>
      <c r="C228" s="24" t="s">
        <v>585</v>
      </c>
      <c r="D228" s="24" t="s">
        <v>875</v>
      </c>
      <c r="E228" s="24">
        <v>2853064</v>
      </c>
      <c r="F228" s="25">
        <v>584.49</v>
      </c>
      <c r="G228" s="25">
        <v>584.49</v>
      </c>
      <c r="H228" s="24" t="s">
        <v>876</v>
      </c>
      <c r="I228" s="24" t="s">
        <v>877</v>
      </c>
      <c r="J228" s="24" t="s">
        <v>878</v>
      </c>
      <c r="K228" s="24" t="s">
        <v>590</v>
      </c>
      <c r="L228" s="24">
        <v>272223</v>
      </c>
      <c r="M228" s="24" t="s">
        <v>921</v>
      </c>
    </row>
    <row r="229" spans="1:13" ht="82.8" x14ac:dyDescent="0.3">
      <c r="A229" s="23">
        <v>41306</v>
      </c>
      <c r="B229" s="24">
        <v>30264</v>
      </c>
      <c r="C229" s="24" t="s">
        <v>585</v>
      </c>
      <c r="D229" s="24" t="s">
        <v>875</v>
      </c>
      <c r="E229" s="24">
        <v>2853064</v>
      </c>
      <c r="F229" s="25">
        <v>584.49</v>
      </c>
      <c r="G229" s="25">
        <v>584.49</v>
      </c>
      <c r="H229" s="24" t="s">
        <v>876</v>
      </c>
      <c r="I229" s="24" t="s">
        <v>877</v>
      </c>
      <c r="J229" s="24" t="s">
        <v>878</v>
      </c>
      <c r="K229" s="24" t="s">
        <v>590</v>
      </c>
      <c r="L229" s="24">
        <v>272223</v>
      </c>
      <c r="M229" s="24" t="s">
        <v>923</v>
      </c>
    </row>
    <row r="230" spans="1:13" ht="82.8" x14ac:dyDescent="0.3">
      <c r="A230" s="23">
        <v>41306</v>
      </c>
      <c r="B230" s="24">
        <v>30264</v>
      </c>
      <c r="C230" s="24" t="s">
        <v>585</v>
      </c>
      <c r="D230" s="24" t="s">
        <v>875</v>
      </c>
      <c r="E230" s="24">
        <v>2853064</v>
      </c>
      <c r="F230" s="25">
        <v>584.49</v>
      </c>
      <c r="G230" s="25">
        <v>584.49</v>
      </c>
      <c r="H230" s="24" t="s">
        <v>876</v>
      </c>
      <c r="I230" s="24" t="s">
        <v>877</v>
      </c>
      <c r="J230" s="24" t="s">
        <v>878</v>
      </c>
      <c r="K230" s="24" t="s">
        <v>590</v>
      </c>
      <c r="L230" s="24">
        <v>272223</v>
      </c>
      <c r="M230" s="24" t="s">
        <v>924</v>
      </c>
    </row>
    <row r="231" spans="1:13" ht="82.8" x14ac:dyDescent="0.3">
      <c r="A231" s="23">
        <v>41306</v>
      </c>
      <c r="B231" s="24">
        <v>30264</v>
      </c>
      <c r="C231" s="24" t="s">
        <v>585</v>
      </c>
      <c r="D231" s="24" t="s">
        <v>875</v>
      </c>
      <c r="E231" s="24">
        <v>2853064</v>
      </c>
      <c r="F231" s="25">
        <v>584.49</v>
      </c>
      <c r="G231" s="25">
        <v>584.49</v>
      </c>
      <c r="H231" s="24" t="s">
        <v>876</v>
      </c>
      <c r="I231" s="24" t="s">
        <v>877</v>
      </c>
      <c r="J231" s="24" t="s">
        <v>878</v>
      </c>
      <c r="K231" s="24" t="s">
        <v>590</v>
      </c>
      <c r="L231" s="24">
        <v>272223</v>
      </c>
      <c r="M231" s="24" t="s">
        <v>879</v>
      </c>
    </row>
    <row r="232" spans="1:13" ht="82.8" x14ac:dyDescent="0.3">
      <c r="A232" s="23">
        <v>41306</v>
      </c>
      <c r="B232" s="24">
        <v>30264</v>
      </c>
      <c r="C232" s="24" t="s">
        <v>585</v>
      </c>
      <c r="D232" s="24" t="s">
        <v>875</v>
      </c>
      <c r="E232" s="24">
        <v>2853064</v>
      </c>
      <c r="F232" s="25">
        <v>584.49</v>
      </c>
      <c r="G232" s="25">
        <v>584.49</v>
      </c>
      <c r="H232" s="24" t="s">
        <v>876</v>
      </c>
      <c r="I232" s="24" t="s">
        <v>877</v>
      </c>
      <c r="J232" s="24" t="s">
        <v>878</v>
      </c>
      <c r="K232" s="24" t="s">
        <v>590</v>
      </c>
      <c r="L232" s="24">
        <v>272223</v>
      </c>
      <c r="M232" s="24" t="s">
        <v>925</v>
      </c>
    </row>
    <row r="233" spans="1:13" ht="82.8" x14ac:dyDescent="0.3">
      <c r="A233" s="23">
        <v>41306</v>
      </c>
      <c r="B233" s="24">
        <v>30264</v>
      </c>
      <c r="C233" s="24" t="s">
        <v>585</v>
      </c>
      <c r="D233" s="24" t="s">
        <v>875</v>
      </c>
      <c r="E233" s="24">
        <v>2884553</v>
      </c>
      <c r="F233" s="25">
        <v>584.49</v>
      </c>
      <c r="G233" s="25">
        <v>584.49</v>
      </c>
      <c r="H233" s="24" t="s">
        <v>876</v>
      </c>
      <c r="I233" s="24" t="s">
        <v>877</v>
      </c>
      <c r="J233" s="24" t="s">
        <v>878</v>
      </c>
      <c r="K233" s="24" t="s">
        <v>590</v>
      </c>
      <c r="L233" s="24">
        <v>272223</v>
      </c>
      <c r="M233" s="24" t="s">
        <v>926</v>
      </c>
    </row>
    <row r="234" spans="1:13" ht="82.8" x14ac:dyDescent="0.3">
      <c r="A234" s="23">
        <v>41334</v>
      </c>
      <c r="B234" s="24">
        <v>30264</v>
      </c>
      <c r="C234" s="24" t="s">
        <v>585</v>
      </c>
      <c r="D234" s="24" t="s">
        <v>875</v>
      </c>
      <c r="E234" s="24">
        <v>2948842</v>
      </c>
      <c r="F234" s="25">
        <v>824</v>
      </c>
      <c r="G234" s="25">
        <v>824</v>
      </c>
      <c r="H234" s="24" t="s">
        <v>876</v>
      </c>
      <c r="I234" s="24" t="s">
        <v>877</v>
      </c>
      <c r="J234" s="24" t="s">
        <v>878</v>
      </c>
      <c r="K234" s="24" t="s">
        <v>590</v>
      </c>
      <c r="L234" s="24">
        <v>272223</v>
      </c>
      <c r="M234" s="24" t="s">
        <v>939</v>
      </c>
    </row>
    <row r="235" spans="1:13" ht="82.8" x14ac:dyDescent="0.3">
      <c r="A235" s="23">
        <v>41395</v>
      </c>
      <c r="B235" s="24">
        <v>30264</v>
      </c>
      <c r="C235" s="24" t="s">
        <v>585</v>
      </c>
      <c r="D235" s="24" t="s">
        <v>875</v>
      </c>
      <c r="E235" s="24">
        <v>3168661</v>
      </c>
      <c r="F235" s="25">
        <v>584.49</v>
      </c>
      <c r="G235" s="25">
        <v>584.49</v>
      </c>
      <c r="H235" s="24" t="s">
        <v>876</v>
      </c>
      <c r="I235" s="24" t="s">
        <v>877</v>
      </c>
      <c r="J235" s="24" t="s">
        <v>878</v>
      </c>
      <c r="K235" s="24" t="s">
        <v>590</v>
      </c>
      <c r="L235" s="24">
        <v>272223</v>
      </c>
      <c r="M235" s="24" t="s">
        <v>974</v>
      </c>
    </row>
    <row r="236" spans="1:13" ht="82.8" x14ac:dyDescent="0.3">
      <c r="A236" s="23">
        <v>41426</v>
      </c>
      <c r="B236" s="24">
        <v>30264</v>
      </c>
      <c r="C236" s="24" t="s">
        <v>585</v>
      </c>
      <c r="D236" s="24" t="s">
        <v>875</v>
      </c>
      <c r="E236" s="24">
        <v>3264219</v>
      </c>
      <c r="F236" s="25">
        <v>584.49</v>
      </c>
      <c r="G236" s="25">
        <v>584.49</v>
      </c>
      <c r="H236" s="24" t="s">
        <v>876</v>
      </c>
      <c r="I236" s="24" t="s">
        <v>877</v>
      </c>
      <c r="J236" s="24" t="s">
        <v>878</v>
      </c>
      <c r="K236" s="24" t="s">
        <v>590</v>
      </c>
      <c r="L236" s="24">
        <v>272223</v>
      </c>
      <c r="M236" s="24" t="s">
        <v>981</v>
      </c>
    </row>
    <row r="237" spans="1:13" ht="82.8" x14ac:dyDescent="0.3">
      <c r="A237" s="23">
        <v>41426</v>
      </c>
      <c r="B237" s="24">
        <v>30264</v>
      </c>
      <c r="C237" s="24" t="s">
        <v>585</v>
      </c>
      <c r="D237" s="24" t="s">
        <v>875</v>
      </c>
      <c r="E237" s="24">
        <v>3264219</v>
      </c>
      <c r="F237" s="25">
        <v>584.49</v>
      </c>
      <c r="G237" s="25">
        <v>584.49</v>
      </c>
      <c r="H237" s="24" t="s">
        <v>876</v>
      </c>
      <c r="I237" s="24" t="s">
        <v>877</v>
      </c>
      <c r="J237" s="24" t="s">
        <v>878</v>
      </c>
      <c r="K237" s="24" t="s">
        <v>590</v>
      </c>
      <c r="L237" s="24">
        <v>272223</v>
      </c>
      <c r="M237" s="24" t="s">
        <v>982</v>
      </c>
    </row>
    <row r="238" spans="1:13" ht="82.8" x14ac:dyDescent="0.3">
      <c r="A238" s="23">
        <v>41426</v>
      </c>
      <c r="B238" s="24">
        <v>30264</v>
      </c>
      <c r="C238" s="24" t="s">
        <v>585</v>
      </c>
      <c r="D238" s="24" t="s">
        <v>875</v>
      </c>
      <c r="E238" s="24">
        <v>3268374</v>
      </c>
      <c r="F238" s="25">
        <v>584.49</v>
      </c>
      <c r="G238" s="25">
        <v>584.49</v>
      </c>
      <c r="H238" s="24" t="s">
        <v>876</v>
      </c>
      <c r="I238" s="24" t="s">
        <v>877</v>
      </c>
      <c r="J238" s="24" t="s">
        <v>878</v>
      </c>
      <c r="K238" s="24" t="s">
        <v>590</v>
      </c>
      <c r="L238" s="24">
        <v>272223</v>
      </c>
      <c r="M238" s="24" t="s">
        <v>983</v>
      </c>
    </row>
    <row r="239" spans="1:13" ht="82.8" x14ac:dyDescent="0.3">
      <c r="A239" s="23">
        <v>41456</v>
      </c>
      <c r="B239" s="24">
        <v>30264</v>
      </c>
      <c r="C239" s="24" t="s">
        <v>585</v>
      </c>
      <c r="D239" s="24" t="s">
        <v>875</v>
      </c>
      <c r="E239" s="24">
        <v>3357512</v>
      </c>
      <c r="F239" s="25">
        <v>596.94000000000005</v>
      </c>
      <c r="G239" s="25">
        <v>596.94000000000005</v>
      </c>
      <c r="H239" s="24" t="s">
        <v>996</v>
      </c>
      <c r="I239" s="24" t="s">
        <v>877</v>
      </c>
      <c r="J239" s="24" t="s">
        <v>878</v>
      </c>
      <c r="K239" s="24" t="s">
        <v>590</v>
      </c>
      <c r="L239" s="24">
        <v>293833</v>
      </c>
      <c r="M239" s="24" t="s">
        <v>997</v>
      </c>
    </row>
    <row r="240" spans="1:13" ht="82.8" x14ac:dyDescent="0.3">
      <c r="A240" s="23">
        <v>41487</v>
      </c>
      <c r="B240" s="24">
        <v>30264</v>
      </c>
      <c r="C240" s="24" t="s">
        <v>585</v>
      </c>
      <c r="D240" s="24" t="s">
        <v>875</v>
      </c>
      <c r="E240" s="24">
        <v>3461865</v>
      </c>
      <c r="F240" s="25">
        <v>596.94000000000005</v>
      </c>
      <c r="G240" s="25">
        <v>596.94000000000005</v>
      </c>
      <c r="H240" s="24" t="s">
        <v>996</v>
      </c>
      <c r="I240" s="24" t="s">
        <v>877</v>
      </c>
      <c r="J240" s="24" t="s">
        <v>878</v>
      </c>
      <c r="K240" s="24" t="s">
        <v>590</v>
      </c>
      <c r="L240" s="24">
        <v>293833</v>
      </c>
      <c r="M240" s="24" t="s">
        <v>1016</v>
      </c>
    </row>
    <row r="241" spans="1:13" ht="82.8" x14ac:dyDescent="0.3">
      <c r="A241" s="23">
        <v>41518</v>
      </c>
      <c r="B241" s="24">
        <v>30264</v>
      </c>
      <c r="C241" s="24" t="s">
        <v>585</v>
      </c>
      <c r="D241" s="24" t="s">
        <v>875</v>
      </c>
      <c r="E241" s="24">
        <v>3594102</v>
      </c>
      <c r="F241" s="25">
        <v>596.94000000000005</v>
      </c>
      <c r="G241" s="25">
        <v>596.94000000000005</v>
      </c>
      <c r="H241" s="24" t="s">
        <v>996</v>
      </c>
      <c r="I241" s="24" t="s">
        <v>877</v>
      </c>
      <c r="J241" s="24" t="s">
        <v>878</v>
      </c>
      <c r="K241" s="24" t="s">
        <v>590</v>
      </c>
      <c r="L241" s="24">
        <v>293833</v>
      </c>
      <c r="M241" s="24" t="s">
        <v>1021</v>
      </c>
    </row>
    <row r="242" spans="1:13" ht="82.8" x14ac:dyDescent="0.3">
      <c r="A242" s="23">
        <v>41548</v>
      </c>
      <c r="B242" s="24">
        <v>30264</v>
      </c>
      <c r="C242" s="24" t="s">
        <v>585</v>
      </c>
      <c r="D242" s="24" t="s">
        <v>875</v>
      </c>
      <c r="E242" s="24">
        <v>3676531</v>
      </c>
      <c r="F242" s="25">
        <v>596.94000000000005</v>
      </c>
      <c r="G242" s="25">
        <v>596.94000000000005</v>
      </c>
      <c r="H242" s="24" t="s">
        <v>996</v>
      </c>
      <c r="I242" s="24" t="s">
        <v>877</v>
      </c>
      <c r="J242" s="24" t="s">
        <v>878</v>
      </c>
      <c r="K242" s="24" t="s">
        <v>590</v>
      </c>
      <c r="L242" s="24">
        <v>293833</v>
      </c>
      <c r="M242" s="24" t="s">
        <v>1039</v>
      </c>
    </row>
  </sheetData>
  <hyperlinks>
    <hyperlink ref="A2" location="INDEX!A8" display="Return to Index"/>
  </hyperlinks>
  <pageMargins left="0.7" right="0.7" top="0.75" bottom="0.75" header="0.3" footer="0.3"/>
  <pageSetup paperSize="9" scale="50" fitToHeight="100" orientation="landscape" r:id="rId1"/>
  <headerFooter>
    <oddHeader>&amp;C&amp;A</oddHeader>
    <oddFooter>&amp;L&amp;F&amp;C&amp;P of &amp;N&amp;R&amp;D &amp;T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5" tint="0.79998168889431442"/>
    <pageSetUpPr fitToPage="1"/>
  </sheetPr>
  <dimension ref="A1:I14"/>
  <sheetViews>
    <sheetView workbookViewId="0"/>
  </sheetViews>
  <sheetFormatPr defaultRowHeight="14.4" x14ac:dyDescent="0.3"/>
  <cols>
    <col min="1" max="1" width="52.44140625" customWidth="1"/>
    <col min="4" max="4" width="10.88671875" customWidth="1"/>
    <col min="5" max="5" width="11.109375" bestFit="1" customWidth="1"/>
  </cols>
  <sheetData>
    <row r="1" spans="1:9" x14ac:dyDescent="0.25">
      <c r="A1" t="s">
        <v>1642</v>
      </c>
      <c r="B1" t="str">
        <f ca="1">UPPER(RIGHT(CELL("filename",A1),LEN(CELL("filename",A1))-FIND("]",CELL("filename",A1))))</f>
        <v>WORK PRACTICES SPECIALIST</v>
      </c>
    </row>
    <row r="2" spans="1:9"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x14ac:dyDescent="0.25">
      <c r="A3" t="s">
        <v>1648</v>
      </c>
      <c r="B3" s="40"/>
      <c r="C3" s="33"/>
      <c r="D3" s="33">
        <f>SUM(E3:I3)</f>
        <v>513899.11735346628</v>
      </c>
      <c r="E3" s="33">
        <f>$B14*HourlyRateAPAWorkPracticesSpecialist*'Modelling Assumptions'!E$101</f>
        <v>97767.693899999998</v>
      </c>
      <c r="F3" s="33">
        <f>$B14*HourlyRateAPAWorkPracticesSpecialist*'Modelling Assumptions'!F$101</f>
        <v>100211.88624750001</v>
      </c>
      <c r="G3" s="33">
        <f>$B14*HourlyRateAPAWorkPracticesSpecialist*'Modelling Assumptions'!G$101</f>
        <v>102717.18340368749</v>
      </c>
      <c r="H3" s="33">
        <f>$B14*HourlyRateAPAWorkPracticesSpecialist*'Modelling Assumptions'!H$101</f>
        <v>105285.11298877967</v>
      </c>
      <c r="I3" s="33">
        <f>$B14*HourlyRateAPAWorkPracticesSpecialist*'Modelling Assumptions'!I$101</f>
        <v>107917.24081349916</v>
      </c>
    </row>
    <row r="4" spans="1:9" x14ac:dyDescent="0.25">
      <c r="A4" t="s">
        <v>1643</v>
      </c>
      <c r="B4" s="33"/>
      <c r="C4" s="33"/>
      <c r="D4" s="33">
        <f>SUM(E4:I4)</f>
        <v>0</v>
      </c>
      <c r="E4" s="33">
        <v>0</v>
      </c>
      <c r="F4" s="33">
        <v>0</v>
      </c>
      <c r="G4" s="33">
        <v>0</v>
      </c>
      <c r="H4" s="33">
        <v>0</v>
      </c>
      <c r="I4" s="33">
        <v>0</v>
      </c>
    </row>
    <row r="5" spans="1:9" x14ac:dyDescent="0.25">
      <c r="A5" t="s">
        <v>1649</v>
      </c>
      <c r="B5" s="33"/>
      <c r="C5" s="33"/>
      <c r="D5" s="33">
        <f t="shared" ref="D5:D6" si="0">SUM(E5:I5)</f>
        <v>0</v>
      </c>
      <c r="E5" s="33">
        <v>0</v>
      </c>
      <c r="F5" s="33">
        <v>0</v>
      </c>
      <c r="G5" s="33">
        <v>0</v>
      </c>
      <c r="H5" s="33">
        <v>0</v>
      </c>
      <c r="I5" s="33">
        <v>0</v>
      </c>
    </row>
    <row r="6" spans="1:9" x14ac:dyDescent="0.25">
      <c r="A6" t="s">
        <v>1650</v>
      </c>
      <c r="B6" s="33"/>
      <c r="C6" s="33"/>
      <c r="D6" s="33">
        <f t="shared" si="0"/>
        <v>0</v>
      </c>
      <c r="E6" s="33">
        <v>0</v>
      </c>
      <c r="F6" s="33">
        <v>0</v>
      </c>
      <c r="G6" s="33">
        <v>0</v>
      </c>
      <c r="H6" s="33">
        <v>0</v>
      </c>
      <c r="I6" s="33">
        <v>0</v>
      </c>
    </row>
    <row r="9" spans="1:9" x14ac:dyDescent="0.25">
      <c r="A9" s="12" t="s">
        <v>1992</v>
      </c>
      <c r="B9" s="12"/>
      <c r="C9" s="12"/>
    </row>
    <row r="10" spans="1:9" x14ac:dyDescent="0.25">
      <c r="A10" s="301" t="s">
        <v>3420</v>
      </c>
    </row>
    <row r="12" spans="1:9" x14ac:dyDescent="0.25">
      <c r="A12" s="10" t="s">
        <v>2126</v>
      </c>
      <c r="B12" s="170" t="s">
        <v>2125</v>
      </c>
      <c r="C12" s="10"/>
    </row>
    <row r="13" spans="1:9" x14ac:dyDescent="0.25">
      <c r="A13" s="301" t="s">
        <v>3361</v>
      </c>
      <c r="B13" s="114">
        <v>0.5</v>
      </c>
    </row>
    <row r="14" spans="1:9" x14ac:dyDescent="0.25">
      <c r="A14" t="s">
        <v>3368</v>
      </c>
      <c r="B14">
        <f>FullTimeHoursPerYear*B13</f>
        <v>874</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6" tint="0.59999389629810485"/>
    <pageSetUpPr fitToPage="1"/>
  </sheetPr>
  <dimension ref="A1:I22"/>
  <sheetViews>
    <sheetView workbookViewId="0"/>
  </sheetViews>
  <sheetFormatPr defaultRowHeight="14.4" x14ac:dyDescent="0.3"/>
  <cols>
    <col min="1" max="1" width="52.44140625" customWidth="1"/>
    <col min="4" max="4" width="10.88671875" customWidth="1"/>
    <col min="5" max="5" width="11.109375" bestFit="1" customWidth="1"/>
  </cols>
  <sheetData>
    <row r="1" spans="1:9" x14ac:dyDescent="0.25">
      <c r="B1" t="str">
        <f ca="1">UPPER(RIGHT(CELL("filename",A1),LEN(CELL("filename",A1))-FIND("]",CELL("filename",A1))))</f>
        <v>BLANK</v>
      </c>
    </row>
    <row r="2" spans="1:9" x14ac:dyDescent="0.25">
      <c r="A2" s="167" t="s">
        <v>3454</v>
      </c>
      <c r="B2" s="30"/>
      <c r="C2" s="30"/>
      <c r="D2" s="30"/>
    </row>
    <row r="3" spans="1:9" x14ac:dyDescent="0.25">
      <c r="B3" s="40"/>
      <c r="C3" s="33"/>
      <c r="D3" s="33"/>
      <c r="E3" s="33"/>
      <c r="F3" s="33"/>
      <c r="G3" s="33"/>
      <c r="H3" s="33"/>
      <c r="I3" s="33"/>
    </row>
    <row r="4" spans="1:9" x14ac:dyDescent="0.25">
      <c r="B4" s="33"/>
      <c r="C4" s="33"/>
      <c r="D4" s="33"/>
      <c r="E4" s="33"/>
      <c r="F4" s="33"/>
      <c r="G4" s="33"/>
      <c r="H4" s="33"/>
      <c r="I4" s="33"/>
    </row>
    <row r="5" spans="1:9" x14ac:dyDescent="0.25">
      <c r="B5" s="33"/>
      <c r="C5" s="33"/>
      <c r="D5" s="33"/>
      <c r="E5" s="33"/>
      <c r="F5" s="33"/>
      <c r="G5" s="33"/>
      <c r="H5" s="33"/>
      <c r="I5" s="33"/>
    </row>
    <row r="6" spans="1:9" x14ac:dyDescent="0.25">
      <c r="B6" s="33"/>
      <c r="C6" s="33"/>
      <c r="D6" s="33"/>
      <c r="E6" s="33"/>
      <c r="F6" s="33"/>
      <c r="G6" s="33"/>
      <c r="H6" s="33"/>
      <c r="I6" s="33"/>
    </row>
    <row r="7" spans="1:9" x14ac:dyDescent="0.25">
      <c r="B7" s="33"/>
      <c r="C7" s="33"/>
      <c r="D7" s="33"/>
      <c r="E7" s="33"/>
      <c r="F7" s="33"/>
      <c r="G7" s="33"/>
      <c r="H7" s="33"/>
      <c r="I7" s="33"/>
    </row>
    <row r="8" spans="1:9" x14ac:dyDescent="0.25">
      <c r="B8" s="33"/>
      <c r="C8" s="33"/>
      <c r="D8" s="33"/>
      <c r="E8" s="33"/>
      <c r="F8" s="33"/>
      <c r="G8" s="33"/>
      <c r="H8" s="33"/>
      <c r="I8" s="33"/>
    </row>
    <row r="11" spans="1:9" x14ac:dyDescent="0.25">
      <c r="B11" s="55"/>
      <c r="E11" s="30" t="str">
        <f>Summary!C4</f>
        <v>2015/16</v>
      </c>
      <c r="F11" s="30" t="str">
        <f>Summary!D4</f>
        <v>2016/17</v>
      </c>
      <c r="G11" s="30" t="str">
        <f>Summary!E4</f>
        <v>2017/18</v>
      </c>
      <c r="H11" s="30" t="str">
        <f>Summary!F4</f>
        <v>2018/19</v>
      </c>
      <c r="I11" s="30" t="str">
        <f>Summary!G4</f>
        <v>2019/20</v>
      </c>
    </row>
    <row r="12" spans="1:9" x14ac:dyDescent="0.25">
      <c r="A12" s="10" t="s">
        <v>2689</v>
      </c>
      <c r="B12" s="60"/>
      <c r="C12" s="10"/>
      <c r="D12" s="10"/>
      <c r="E12" s="80"/>
      <c r="F12" s="80"/>
      <c r="G12" s="80"/>
      <c r="H12" s="80"/>
      <c r="I12" s="80"/>
    </row>
    <row r="13" spans="1:9" x14ac:dyDescent="0.25">
      <c r="A13" t="s">
        <v>2691</v>
      </c>
      <c r="B13" s="41"/>
      <c r="D13">
        <f>COUNT('0000 (1):Blank'!D3)</f>
        <v>64</v>
      </c>
      <c r="E13">
        <f>COUNT('0000 (1):Blank'!E3)</f>
        <v>64</v>
      </c>
      <c r="F13">
        <f>COUNT('0000 (1):Blank'!F3)</f>
        <v>64</v>
      </c>
      <c r="G13">
        <f>COUNT('0000 (1):Blank'!G3)</f>
        <v>64</v>
      </c>
      <c r="H13">
        <f>COUNT('0000 (1):Blank'!H3)</f>
        <v>64</v>
      </c>
      <c r="I13">
        <f>COUNT('0000 (1):Blank'!I3)</f>
        <v>64</v>
      </c>
    </row>
    <row r="14" spans="1:9" x14ac:dyDescent="0.25">
      <c r="B14" s="41"/>
      <c r="D14">
        <f>COUNT('0000 (1):Blank'!D4)</f>
        <v>64</v>
      </c>
      <c r="E14">
        <f>COUNT('0000 (1):Blank'!E4)</f>
        <v>64</v>
      </c>
      <c r="F14">
        <f>COUNT('0000 (1):Blank'!F4)</f>
        <v>64</v>
      </c>
      <c r="G14">
        <f>COUNT('0000 (1):Blank'!G4)</f>
        <v>64</v>
      </c>
      <c r="H14">
        <f>COUNT('0000 (1):Blank'!H4)</f>
        <v>64</v>
      </c>
      <c r="I14">
        <f>COUNT('0000 (1):Blank'!I4)</f>
        <v>64</v>
      </c>
    </row>
    <row r="15" spans="1:9" x14ac:dyDescent="0.25">
      <c r="B15" s="41"/>
      <c r="D15">
        <f>COUNT('0000 (1):Blank'!D5)</f>
        <v>64</v>
      </c>
      <c r="E15">
        <f>COUNT('0000 (1):Blank'!E5)</f>
        <v>64</v>
      </c>
      <c r="F15">
        <f>COUNT('0000 (1):Blank'!F5)</f>
        <v>64</v>
      </c>
      <c r="G15">
        <f>COUNT('0000 (1):Blank'!G5)</f>
        <v>64</v>
      </c>
      <c r="H15">
        <f>COUNT('0000 (1):Blank'!H5)</f>
        <v>64</v>
      </c>
      <c r="I15">
        <f>COUNT('0000 (1):Blank'!I5)</f>
        <v>64</v>
      </c>
    </row>
    <row r="16" spans="1:9" x14ac:dyDescent="0.25">
      <c r="D16">
        <f>COUNT('0000 (1):Blank'!D6)</f>
        <v>64</v>
      </c>
      <c r="E16">
        <f>COUNT('0000 (1):Blank'!E6)</f>
        <v>64</v>
      </c>
      <c r="F16">
        <f>COUNT('0000 (1):Blank'!F6)</f>
        <v>64</v>
      </c>
      <c r="G16">
        <f>COUNT('0000 (1):Blank'!G6)</f>
        <v>64</v>
      </c>
      <c r="H16">
        <f>COUNT('0000 (1):Blank'!H6)</f>
        <v>64</v>
      </c>
      <c r="I16">
        <f>COUNT('0000 (1):Blank'!I6)</f>
        <v>64</v>
      </c>
    </row>
    <row r="19" spans="1:9" x14ac:dyDescent="0.25">
      <c r="A19" t="s">
        <v>2690</v>
      </c>
      <c r="D19">
        <f>COUNTA('0000 (1):Blank'!D3)</f>
        <v>64</v>
      </c>
      <c r="E19">
        <f>COUNTA('0000 (1):Blank'!E3)</f>
        <v>64</v>
      </c>
      <c r="F19">
        <f>COUNTA('0000 (1):Blank'!F3)</f>
        <v>64</v>
      </c>
      <c r="G19">
        <f>COUNTA('0000 (1):Blank'!G3)</f>
        <v>64</v>
      </c>
      <c r="H19">
        <f>COUNTA('0000 (1):Blank'!H3)</f>
        <v>64</v>
      </c>
      <c r="I19">
        <f>COUNTA('0000 (1):Blank'!I3)</f>
        <v>64</v>
      </c>
    </row>
    <row r="20" spans="1:9" x14ac:dyDescent="0.25">
      <c r="D20">
        <f>COUNTA('0000 (1):Blank'!D4)</f>
        <v>64</v>
      </c>
      <c r="E20">
        <f>COUNTA('0000 (1):Blank'!E4)</f>
        <v>64</v>
      </c>
      <c r="F20">
        <f>COUNTA('0000 (1):Blank'!F4)</f>
        <v>64</v>
      </c>
      <c r="G20">
        <f>COUNTA('0000 (1):Blank'!G4)</f>
        <v>64</v>
      </c>
      <c r="H20">
        <f>COUNTA('0000 (1):Blank'!H4)</f>
        <v>64</v>
      </c>
      <c r="I20">
        <f>COUNTA('0000 (1):Blank'!I4)</f>
        <v>64</v>
      </c>
    </row>
    <row r="21" spans="1:9" x14ac:dyDescent="0.25">
      <c r="D21">
        <f>COUNTA('0000 (1):Blank'!D5)</f>
        <v>64</v>
      </c>
      <c r="E21">
        <f>COUNTA('0000 (1):Blank'!E5)</f>
        <v>64</v>
      </c>
      <c r="F21">
        <f>COUNTA('0000 (1):Blank'!F5)</f>
        <v>64</v>
      </c>
      <c r="G21">
        <f>COUNTA('0000 (1):Blank'!G5)</f>
        <v>64</v>
      </c>
      <c r="H21">
        <f>COUNTA('0000 (1):Blank'!H5)</f>
        <v>64</v>
      </c>
      <c r="I21">
        <f>COUNTA('0000 (1):Blank'!I5)</f>
        <v>64</v>
      </c>
    </row>
    <row r="22" spans="1:9" x14ac:dyDescent="0.25">
      <c r="D22">
        <f>COUNTA('0000 (1):Blank'!D6)</f>
        <v>64</v>
      </c>
      <c r="E22">
        <f>COUNTA('0000 (1):Blank'!E6)</f>
        <v>64</v>
      </c>
      <c r="F22">
        <f>COUNTA('0000 (1):Blank'!F6)</f>
        <v>64</v>
      </c>
      <c r="G22">
        <f>COUNTA('0000 (1):Blank'!G6)</f>
        <v>64</v>
      </c>
      <c r="H22">
        <f>COUNTA('0000 (1):Blank'!H6)</f>
        <v>64</v>
      </c>
      <c r="I22">
        <f>COUNTA('0000 (1):Blank'!I6)</f>
        <v>64</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pageSetUpPr fitToPage="1"/>
  </sheetPr>
  <dimension ref="A1:I394"/>
  <sheetViews>
    <sheetView showGridLines="0" zoomScale="110" zoomScaleNormal="110" workbookViewId="0">
      <pane ySplit="1" topLeftCell="A2" activePane="bottomLeft" state="frozen"/>
      <selection pane="bottomLeft"/>
    </sheetView>
  </sheetViews>
  <sheetFormatPr defaultColWidth="9.109375" defaultRowHeight="14.4" x14ac:dyDescent="0.3"/>
  <cols>
    <col min="1" max="1" width="59.6640625" style="1" customWidth="1"/>
    <col min="2" max="2" width="36.5546875" style="1" bestFit="1" customWidth="1"/>
    <col min="3" max="3" width="40.6640625" style="1" customWidth="1"/>
    <col min="4" max="4" width="29.6640625" style="1" bestFit="1" customWidth="1"/>
    <col min="5" max="5" width="30.109375" style="1" bestFit="1" customWidth="1"/>
    <col min="6" max="6" width="20.5546875" style="1" bestFit="1" customWidth="1"/>
    <col min="7" max="7" width="21.109375" style="1" bestFit="1" customWidth="1"/>
    <col min="8" max="8" width="9.6640625" style="1" bestFit="1" customWidth="1"/>
    <col min="9" max="16384" width="9.109375" style="1"/>
  </cols>
  <sheetData>
    <row r="1" spans="1:9" ht="30.75" thickBot="1" x14ac:dyDescent="0.3">
      <c r="A1" s="3" t="s">
        <v>0</v>
      </c>
      <c r="B1" s="3" t="s">
        <v>1</v>
      </c>
      <c r="C1" s="3" t="s">
        <v>2</v>
      </c>
      <c r="D1" s="3" t="s">
        <v>3</v>
      </c>
      <c r="E1" s="3" t="s">
        <v>4</v>
      </c>
      <c r="F1" s="3" t="s">
        <v>5</v>
      </c>
      <c r="G1" s="3" t="s">
        <v>6</v>
      </c>
      <c r="H1" s="3" t="s">
        <v>1505</v>
      </c>
      <c r="I1" s="3" t="s">
        <v>1506</v>
      </c>
    </row>
    <row r="2" spans="1:9" ht="28.8" x14ac:dyDescent="0.3">
      <c r="A2" s="37" t="s">
        <v>151</v>
      </c>
      <c r="B2" s="37" t="s">
        <v>152</v>
      </c>
      <c r="C2" s="37" t="s">
        <v>153</v>
      </c>
      <c r="D2" s="37" t="s">
        <v>154</v>
      </c>
      <c r="E2" s="37" t="s">
        <v>47</v>
      </c>
      <c r="F2" s="37" t="s">
        <v>41</v>
      </c>
      <c r="G2" s="37" t="s">
        <v>48</v>
      </c>
      <c r="H2" s="36" t="str">
        <f t="shared" ref="H2:H65" si="0">IF(LEN(D2)&gt;19,MID(D2,17,4),"")</f>
        <v>0000</v>
      </c>
      <c r="I2" s="36" t="str">
        <f t="shared" ref="I2:I65" si="1">IF(LEN(D2)&gt;19,MID(D2,13,3),"")</f>
        <v>001</v>
      </c>
    </row>
    <row r="3" spans="1:9" ht="28.8" x14ac:dyDescent="0.3">
      <c r="A3" s="2" t="s">
        <v>151</v>
      </c>
      <c r="B3" s="2" t="s">
        <v>152</v>
      </c>
      <c r="C3" s="2" t="s">
        <v>155</v>
      </c>
      <c r="D3" s="2" t="s">
        <v>156</v>
      </c>
      <c r="E3" s="2" t="s">
        <v>51</v>
      </c>
      <c r="F3" s="2" t="s">
        <v>57</v>
      </c>
      <c r="G3" s="2" t="s">
        <v>157</v>
      </c>
      <c r="H3" s="1" t="str">
        <f t="shared" si="0"/>
        <v>0000</v>
      </c>
      <c r="I3" s="1" t="str">
        <f t="shared" si="1"/>
        <v>006</v>
      </c>
    </row>
    <row r="4" spans="1:9" ht="28.8" x14ac:dyDescent="0.3">
      <c r="A4" s="2" t="s">
        <v>151</v>
      </c>
      <c r="B4" s="2" t="s">
        <v>152</v>
      </c>
      <c r="C4" s="2" t="s">
        <v>158</v>
      </c>
      <c r="D4" s="2" t="s">
        <v>159</v>
      </c>
      <c r="E4" s="2" t="s">
        <v>56</v>
      </c>
      <c r="F4" s="2" t="s">
        <v>57</v>
      </c>
      <c r="G4" s="2" t="s">
        <v>58</v>
      </c>
      <c r="H4" s="1" t="str">
        <f t="shared" si="0"/>
        <v>0000</v>
      </c>
      <c r="I4" s="1" t="str">
        <f t="shared" si="1"/>
        <v>012</v>
      </c>
    </row>
    <row r="5" spans="1:9" ht="28.8" x14ac:dyDescent="0.3">
      <c r="A5" s="2" t="s">
        <v>151</v>
      </c>
      <c r="B5" s="2" t="s">
        <v>152</v>
      </c>
      <c r="C5" s="2" t="s">
        <v>160</v>
      </c>
      <c r="D5" s="2" t="s">
        <v>161</v>
      </c>
      <c r="E5" s="2" t="s">
        <v>65</v>
      </c>
      <c r="F5" s="2" t="s">
        <v>162</v>
      </c>
      <c r="G5" s="2" t="s">
        <v>58</v>
      </c>
      <c r="H5" s="1" t="str">
        <f t="shared" si="0"/>
        <v>0000</v>
      </c>
      <c r="I5" s="1" t="str">
        <f t="shared" si="1"/>
        <v>024</v>
      </c>
    </row>
    <row r="6" spans="1:9" ht="28.8" x14ac:dyDescent="0.3">
      <c r="A6" s="2" t="s">
        <v>243</v>
      </c>
      <c r="B6" s="2" t="s">
        <v>244</v>
      </c>
      <c r="C6" s="2" t="s">
        <v>153</v>
      </c>
      <c r="D6" s="2" t="s">
        <v>154</v>
      </c>
      <c r="E6" s="2" t="s">
        <v>47</v>
      </c>
      <c r="F6" s="2" t="s">
        <v>41</v>
      </c>
      <c r="G6" s="2" t="s">
        <v>48</v>
      </c>
      <c r="H6" s="1" t="str">
        <f t="shared" si="0"/>
        <v>0000</v>
      </c>
      <c r="I6" s="1" t="str">
        <f t="shared" si="1"/>
        <v>001</v>
      </c>
    </row>
    <row r="7" spans="1:9" ht="28.8" x14ac:dyDescent="0.3">
      <c r="A7" s="2" t="s">
        <v>243</v>
      </c>
      <c r="B7" s="2" t="s">
        <v>244</v>
      </c>
      <c r="C7" s="2" t="s">
        <v>155</v>
      </c>
      <c r="D7" s="2" t="s">
        <v>156</v>
      </c>
      <c r="E7" s="2" t="s">
        <v>51</v>
      </c>
      <c r="F7" s="2" t="s">
        <v>57</v>
      </c>
      <c r="G7" s="2" t="s">
        <v>157</v>
      </c>
      <c r="H7" s="1" t="str">
        <f t="shared" si="0"/>
        <v>0000</v>
      </c>
      <c r="I7" s="1" t="str">
        <f t="shared" si="1"/>
        <v>006</v>
      </c>
    </row>
    <row r="8" spans="1:9" ht="28.8" x14ac:dyDescent="0.3">
      <c r="A8" s="2" t="s">
        <v>243</v>
      </c>
      <c r="B8" s="2" t="s">
        <v>244</v>
      </c>
      <c r="C8" s="2" t="s">
        <v>158</v>
      </c>
      <c r="D8" s="2" t="s">
        <v>159</v>
      </c>
      <c r="E8" s="2" t="s">
        <v>56</v>
      </c>
      <c r="F8" s="2" t="s">
        <v>57</v>
      </c>
      <c r="G8" s="2" t="s">
        <v>58</v>
      </c>
      <c r="H8" s="1" t="str">
        <f t="shared" si="0"/>
        <v>0000</v>
      </c>
      <c r="I8" s="1" t="str">
        <f t="shared" si="1"/>
        <v>012</v>
      </c>
    </row>
    <row r="9" spans="1:9" ht="28.8" x14ac:dyDescent="0.3">
      <c r="A9" s="2" t="s">
        <v>243</v>
      </c>
      <c r="B9" s="2" t="s">
        <v>244</v>
      </c>
      <c r="C9" s="2" t="s">
        <v>160</v>
      </c>
      <c r="D9" s="2" t="s">
        <v>161</v>
      </c>
      <c r="E9" s="2" t="s">
        <v>65</v>
      </c>
      <c r="F9" s="2" t="s">
        <v>162</v>
      </c>
      <c r="G9" s="2" t="s">
        <v>58</v>
      </c>
      <c r="H9" s="1" t="str">
        <f t="shared" si="0"/>
        <v>0000</v>
      </c>
      <c r="I9" s="1" t="str">
        <f t="shared" si="1"/>
        <v>024</v>
      </c>
    </row>
    <row r="10" spans="1:9" ht="28.8" x14ac:dyDescent="0.3">
      <c r="A10" s="2" t="s">
        <v>287</v>
      </c>
      <c r="B10" s="2" t="s">
        <v>288</v>
      </c>
      <c r="C10" s="2" t="s">
        <v>153</v>
      </c>
      <c r="D10" s="2" t="s">
        <v>154</v>
      </c>
      <c r="E10" s="2" t="s">
        <v>47</v>
      </c>
      <c r="F10" s="2" t="s">
        <v>41</v>
      </c>
      <c r="G10" s="2" t="s">
        <v>48</v>
      </c>
      <c r="H10" s="1" t="str">
        <f t="shared" si="0"/>
        <v>0000</v>
      </c>
      <c r="I10" s="1" t="str">
        <f t="shared" si="1"/>
        <v>001</v>
      </c>
    </row>
    <row r="11" spans="1:9" ht="28.8" x14ac:dyDescent="0.3">
      <c r="A11" s="2" t="s">
        <v>287</v>
      </c>
      <c r="B11" s="2" t="s">
        <v>288</v>
      </c>
      <c r="C11" s="2" t="s">
        <v>155</v>
      </c>
      <c r="D11" s="2" t="s">
        <v>156</v>
      </c>
      <c r="E11" s="2" t="s">
        <v>51</v>
      </c>
      <c r="F11" s="2" t="s">
        <v>57</v>
      </c>
      <c r="G11" s="2" t="s">
        <v>157</v>
      </c>
      <c r="H11" s="1" t="str">
        <f t="shared" si="0"/>
        <v>0000</v>
      </c>
      <c r="I11" s="1" t="str">
        <f t="shared" si="1"/>
        <v>006</v>
      </c>
    </row>
    <row r="12" spans="1:9" ht="28.8" x14ac:dyDescent="0.3">
      <c r="A12" s="2" t="s">
        <v>287</v>
      </c>
      <c r="B12" s="2" t="s">
        <v>288</v>
      </c>
      <c r="C12" s="2" t="s">
        <v>158</v>
      </c>
      <c r="D12" s="2" t="s">
        <v>159</v>
      </c>
      <c r="E12" s="2" t="s">
        <v>56</v>
      </c>
      <c r="F12" s="2" t="s">
        <v>57</v>
      </c>
      <c r="G12" s="2" t="s">
        <v>58</v>
      </c>
      <c r="H12" s="1" t="str">
        <f t="shared" si="0"/>
        <v>0000</v>
      </c>
      <c r="I12" s="1" t="str">
        <f t="shared" si="1"/>
        <v>012</v>
      </c>
    </row>
    <row r="13" spans="1:9" ht="28.8" x14ac:dyDescent="0.3">
      <c r="A13" s="2" t="s">
        <v>287</v>
      </c>
      <c r="B13" s="2" t="s">
        <v>288</v>
      </c>
      <c r="C13" s="2" t="s">
        <v>160</v>
      </c>
      <c r="D13" s="2" t="s">
        <v>161</v>
      </c>
      <c r="E13" s="2" t="s">
        <v>65</v>
      </c>
      <c r="F13" s="2" t="s">
        <v>162</v>
      </c>
      <c r="G13" s="2" t="s">
        <v>58</v>
      </c>
      <c r="H13" s="1" t="str">
        <f t="shared" si="0"/>
        <v>0000</v>
      </c>
      <c r="I13" s="1" t="str">
        <f t="shared" si="1"/>
        <v>024</v>
      </c>
    </row>
    <row r="14" spans="1:9" ht="28.8" x14ac:dyDescent="0.3">
      <c r="A14" s="2" t="s">
        <v>387</v>
      </c>
      <c r="B14" s="2" t="s">
        <v>388</v>
      </c>
      <c r="C14" s="2" t="s">
        <v>153</v>
      </c>
      <c r="D14" s="2" t="s">
        <v>154</v>
      </c>
      <c r="E14" s="2" t="s">
        <v>47</v>
      </c>
      <c r="F14" s="2" t="s">
        <v>41</v>
      </c>
      <c r="G14" s="2" t="s">
        <v>48</v>
      </c>
      <c r="H14" s="1" t="str">
        <f t="shared" si="0"/>
        <v>0000</v>
      </c>
      <c r="I14" s="1" t="str">
        <f t="shared" si="1"/>
        <v>001</v>
      </c>
    </row>
    <row r="15" spans="1:9" ht="28.8" x14ac:dyDescent="0.3">
      <c r="A15" s="2" t="s">
        <v>387</v>
      </c>
      <c r="B15" s="2" t="s">
        <v>388</v>
      </c>
      <c r="C15" s="2" t="s">
        <v>155</v>
      </c>
      <c r="D15" s="2" t="s">
        <v>156</v>
      </c>
      <c r="E15" s="2" t="s">
        <v>51</v>
      </c>
      <c r="F15" s="2" t="s">
        <v>57</v>
      </c>
      <c r="G15" s="2" t="s">
        <v>157</v>
      </c>
      <c r="H15" s="1" t="str">
        <f t="shared" si="0"/>
        <v>0000</v>
      </c>
      <c r="I15" s="1" t="str">
        <f t="shared" si="1"/>
        <v>006</v>
      </c>
    </row>
    <row r="16" spans="1:9" ht="28.8" x14ac:dyDescent="0.3">
      <c r="A16" s="2" t="s">
        <v>387</v>
      </c>
      <c r="B16" s="2" t="s">
        <v>388</v>
      </c>
      <c r="C16" s="2" t="s">
        <v>158</v>
      </c>
      <c r="D16" s="2" t="s">
        <v>159</v>
      </c>
      <c r="E16" s="2" t="s">
        <v>56</v>
      </c>
      <c r="F16" s="2" t="s">
        <v>57</v>
      </c>
      <c r="G16" s="2" t="s">
        <v>58</v>
      </c>
      <c r="H16" s="1" t="str">
        <f t="shared" si="0"/>
        <v>0000</v>
      </c>
      <c r="I16" s="1" t="str">
        <f t="shared" si="1"/>
        <v>012</v>
      </c>
    </row>
    <row r="17" spans="1:9" ht="28.8" x14ac:dyDescent="0.3">
      <c r="A17" s="2" t="s">
        <v>387</v>
      </c>
      <c r="B17" s="2" t="s">
        <v>388</v>
      </c>
      <c r="C17" s="2" t="s">
        <v>160</v>
      </c>
      <c r="D17" s="2" t="s">
        <v>161</v>
      </c>
      <c r="E17" s="2" t="s">
        <v>65</v>
      </c>
      <c r="F17" s="2" t="s">
        <v>162</v>
      </c>
      <c r="G17" s="2" t="s">
        <v>58</v>
      </c>
      <c r="H17" s="1" t="str">
        <f t="shared" si="0"/>
        <v>0000</v>
      </c>
      <c r="I17" s="1" t="str">
        <f t="shared" si="1"/>
        <v>024</v>
      </c>
    </row>
    <row r="18" spans="1:9" ht="28.8" x14ac:dyDescent="0.3">
      <c r="A18" s="2" t="s">
        <v>432</v>
      </c>
      <c r="B18" s="2" t="s">
        <v>433</v>
      </c>
      <c r="C18" s="2" t="s">
        <v>153</v>
      </c>
      <c r="D18" s="2" t="s">
        <v>154</v>
      </c>
      <c r="E18" s="2" t="s">
        <v>47</v>
      </c>
      <c r="F18" s="2" t="s">
        <v>41</v>
      </c>
      <c r="G18" s="2" t="s">
        <v>48</v>
      </c>
      <c r="H18" s="1" t="str">
        <f t="shared" si="0"/>
        <v>0000</v>
      </c>
      <c r="I18" s="1" t="str">
        <f t="shared" si="1"/>
        <v>001</v>
      </c>
    </row>
    <row r="19" spans="1:9" ht="28.8" x14ac:dyDescent="0.3">
      <c r="A19" s="2" t="s">
        <v>432</v>
      </c>
      <c r="B19" s="2" t="s">
        <v>433</v>
      </c>
      <c r="C19" s="2" t="s">
        <v>155</v>
      </c>
      <c r="D19" s="2" t="s">
        <v>156</v>
      </c>
      <c r="E19" s="2" t="s">
        <v>51</v>
      </c>
      <c r="F19" s="2" t="s">
        <v>57</v>
      </c>
      <c r="G19" s="2" t="s">
        <v>157</v>
      </c>
      <c r="H19" s="1" t="str">
        <f t="shared" si="0"/>
        <v>0000</v>
      </c>
      <c r="I19" s="1" t="str">
        <f t="shared" si="1"/>
        <v>006</v>
      </c>
    </row>
    <row r="20" spans="1:9" ht="28.8" x14ac:dyDescent="0.3">
      <c r="A20" s="2" t="s">
        <v>432</v>
      </c>
      <c r="B20" s="2" t="s">
        <v>433</v>
      </c>
      <c r="C20" s="2" t="s">
        <v>158</v>
      </c>
      <c r="D20" s="2" t="s">
        <v>159</v>
      </c>
      <c r="E20" s="2" t="s">
        <v>56</v>
      </c>
      <c r="F20" s="2" t="s">
        <v>57</v>
      </c>
      <c r="G20" s="2" t="s">
        <v>58</v>
      </c>
      <c r="H20" s="1" t="str">
        <f t="shared" si="0"/>
        <v>0000</v>
      </c>
      <c r="I20" s="1" t="str">
        <f t="shared" si="1"/>
        <v>012</v>
      </c>
    </row>
    <row r="21" spans="1:9" ht="28.8" x14ac:dyDescent="0.3">
      <c r="A21" s="2" t="s">
        <v>432</v>
      </c>
      <c r="B21" s="2" t="s">
        <v>433</v>
      </c>
      <c r="C21" s="2" t="s">
        <v>160</v>
      </c>
      <c r="D21" s="2" t="s">
        <v>161</v>
      </c>
      <c r="E21" s="2" t="s">
        <v>65</v>
      </c>
      <c r="F21" s="2" t="s">
        <v>162</v>
      </c>
      <c r="G21" s="2" t="s">
        <v>58</v>
      </c>
      <c r="H21" s="1" t="str">
        <f t="shared" si="0"/>
        <v>0000</v>
      </c>
      <c r="I21" s="1" t="str">
        <f t="shared" si="1"/>
        <v>024</v>
      </c>
    </row>
    <row r="22" spans="1:9" ht="28.8" x14ac:dyDescent="0.3">
      <c r="A22" s="2" t="s">
        <v>475</v>
      </c>
      <c r="B22" s="2" t="s">
        <v>476</v>
      </c>
      <c r="C22" s="2" t="s">
        <v>153</v>
      </c>
      <c r="D22" s="2" t="s">
        <v>154</v>
      </c>
      <c r="E22" s="2" t="s">
        <v>47</v>
      </c>
      <c r="F22" s="2" t="s">
        <v>41</v>
      </c>
      <c r="G22" s="2" t="s">
        <v>48</v>
      </c>
      <c r="H22" s="1" t="str">
        <f t="shared" si="0"/>
        <v>0000</v>
      </c>
      <c r="I22" s="1" t="str">
        <f t="shared" si="1"/>
        <v>001</v>
      </c>
    </row>
    <row r="23" spans="1:9" ht="28.8" x14ac:dyDescent="0.3">
      <c r="A23" s="2" t="s">
        <v>475</v>
      </c>
      <c r="B23" s="2" t="s">
        <v>476</v>
      </c>
      <c r="C23" s="2" t="s">
        <v>155</v>
      </c>
      <c r="D23" s="2" t="s">
        <v>156</v>
      </c>
      <c r="E23" s="2" t="s">
        <v>51</v>
      </c>
      <c r="F23" s="2" t="s">
        <v>57</v>
      </c>
      <c r="G23" s="2" t="s">
        <v>157</v>
      </c>
      <c r="H23" s="1" t="str">
        <f t="shared" si="0"/>
        <v>0000</v>
      </c>
      <c r="I23" s="1" t="str">
        <f t="shared" si="1"/>
        <v>006</v>
      </c>
    </row>
    <row r="24" spans="1:9" ht="28.8" x14ac:dyDescent="0.3">
      <c r="A24" s="2" t="s">
        <v>475</v>
      </c>
      <c r="B24" s="2" t="s">
        <v>476</v>
      </c>
      <c r="C24" s="2" t="s">
        <v>158</v>
      </c>
      <c r="D24" s="2" t="s">
        <v>159</v>
      </c>
      <c r="E24" s="2" t="s">
        <v>56</v>
      </c>
      <c r="F24" s="2" t="s">
        <v>57</v>
      </c>
      <c r="G24" s="2" t="s">
        <v>58</v>
      </c>
      <c r="H24" s="1" t="str">
        <f t="shared" si="0"/>
        <v>0000</v>
      </c>
      <c r="I24" s="1" t="str">
        <f t="shared" si="1"/>
        <v>012</v>
      </c>
    </row>
    <row r="25" spans="1:9" ht="28.8" x14ac:dyDescent="0.3">
      <c r="A25" s="2" t="s">
        <v>475</v>
      </c>
      <c r="B25" s="2" t="s">
        <v>476</v>
      </c>
      <c r="C25" s="2" t="s">
        <v>160</v>
      </c>
      <c r="D25" s="2" t="s">
        <v>161</v>
      </c>
      <c r="E25" s="2" t="s">
        <v>65</v>
      </c>
      <c r="F25" s="2" t="s">
        <v>162</v>
      </c>
      <c r="G25" s="2" t="s">
        <v>58</v>
      </c>
      <c r="H25" s="1" t="str">
        <f t="shared" si="0"/>
        <v>0000</v>
      </c>
      <c r="I25" s="1" t="str">
        <f t="shared" si="1"/>
        <v>024</v>
      </c>
    </row>
    <row r="26" spans="1:9" ht="28.8" x14ac:dyDescent="0.3">
      <c r="A26" s="2" t="s">
        <v>144</v>
      </c>
      <c r="B26" s="2" t="s">
        <v>145</v>
      </c>
      <c r="C26" s="2" t="s">
        <v>146</v>
      </c>
      <c r="D26" s="2" t="s">
        <v>147</v>
      </c>
      <c r="E26" s="2" t="s">
        <v>148</v>
      </c>
      <c r="F26" s="2" t="s">
        <v>66</v>
      </c>
      <c r="G26" s="2" t="s">
        <v>149</v>
      </c>
      <c r="H26" s="1" t="str">
        <f t="shared" si="0"/>
        <v>0001</v>
      </c>
      <c r="I26" s="1" t="str">
        <f t="shared" si="1"/>
        <v>003</v>
      </c>
    </row>
    <row r="27" spans="1:9" ht="28.8" x14ac:dyDescent="0.3">
      <c r="A27" s="2" t="s">
        <v>384</v>
      </c>
      <c r="B27" s="2" t="s">
        <v>385</v>
      </c>
      <c r="C27" s="2" t="s">
        <v>146</v>
      </c>
      <c r="D27" s="2" t="s">
        <v>147</v>
      </c>
      <c r="E27" s="2" t="s">
        <v>148</v>
      </c>
      <c r="F27" s="2" t="s">
        <v>66</v>
      </c>
      <c r="G27" s="2" t="s">
        <v>149</v>
      </c>
      <c r="H27" s="1" t="str">
        <f t="shared" si="0"/>
        <v>0001</v>
      </c>
      <c r="I27" s="1" t="str">
        <f t="shared" si="1"/>
        <v>003</v>
      </c>
    </row>
    <row r="28" spans="1:9" ht="28.8" x14ac:dyDescent="0.3">
      <c r="A28" s="2" t="s">
        <v>190</v>
      </c>
      <c r="B28" s="2" t="s">
        <v>152</v>
      </c>
      <c r="C28" s="2" t="s">
        <v>191</v>
      </c>
      <c r="D28" s="2" t="s">
        <v>192</v>
      </c>
      <c r="E28" s="2" t="s">
        <v>51</v>
      </c>
      <c r="F28" s="2" t="s">
        <v>57</v>
      </c>
      <c r="G28" s="2" t="s">
        <v>157</v>
      </c>
      <c r="H28" s="1" t="str">
        <f t="shared" si="0"/>
        <v>0003</v>
      </c>
      <c r="I28" s="1" t="str">
        <f t="shared" si="1"/>
        <v>006</v>
      </c>
    </row>
    <row r="29" spans="1:9" ht="28.8" x14ac:dyDescent="0.3">
      <c r="A29" s="2" t="s">
        <v>253</v>
      </c>
      <c r="B29" s="2" t="s">
        <v>244</v>
      </c>
      <c r="C29" s="2" t="s">
        <v>191</v>
      </c>
      <c r="D29" s="2" t="s">
        <v>192</v>
      </c>
      <c r="E29" s="2" t="s">
        <v>51</v>
      </c>
      <c r="F29" s="2" t="s">
        <v>57</v>
      </c>
      <c r="G29" s="2" t="s">
        <v>157</v>
      </c>
      <c r="H29" s="1" t="str">
        <f t="shared" si="0"/>
        <v>0003</v>
      </c>
      <c r="I29" s="1" t="str">
        <f t="shared" si="1"/>
        <v>006</v>
      </c>
    </row>
    <row r="30" spans="1:9" ht="28.8" x14ac:dyDescent="0.3">
      <c r="A30" s="2" t="s">
        <v>297</v>
      </c>
      <c r="B30" s="2" t="s">
        <v>288</v>
      </c>
      <c r="C30" s="2" t="s">
        <v>191</v>
      </c>
      <c r="D30" s="2" t="s">
        <v>192</v>
      </c>
      <c r="E30" s="2" t="s">
        <v>51</v>
      </c>
      <c r="F30" s="2" t="s">
        <v>57</v>
      </c>
      <c r="G30" s="2" t="s">
        <v>157</v>
      </c>
      <c r="H30" s="1" t="str">
        <f t="shared" si="0"/>
        <v>0003</v>
      </c>
      <c r="I30" s="1" t="str">
        <f t="shared" si="1"/>
        <v>006</v>
      </c>
    </row>
    <row r="31" spans="1:9" ht="28.8" x14ac:dyDescent="0.3">
      <c r="A31" s="2" t="s">
        <v>397</v>
      </c>
      <c r="B31" s="2" t="s">
        <v>388</v>
      </c>
      <c r="C31" s="2" t="s">
        <v>191</v>
      </c>
      <c r="D31" s="2" t="s">
        <v>192</v>
      </c>
      <c r="E31" s="2" t="s">
        <v>51</v>
      </c>
      <c r="F31" s="2" t="s">
        <v>57</v>
      </c>
      <c r="G31" s="2" t="s">
        <v>157</v>
      </c>
      <c r="H31" s="1" t="str">
        <f t="shared" si="0"/>
        <v>0003</v>
      </c>
      <c r="I31" s="1" t="str">
        <f t="shared" si="1"/>
        <v>006</v>
      </c>
    </row>
    <row r="32" spans="1:9" ht="28.8" x14ac:dyDescent="0.3">
      <c r="A32" s="2" t="s">
        <v>442</v>
      </c>
      <c r="B32" s="2" t="s">
        <v>433</v>
      </c>
      <c r="C32" s="2" t="s">
        <v>191</v>
      </c>
      <c r="D32" s="2" t="s">
        <v>192</v>
      </c>
      <c r="E32" s="2" t="s">
        <v>51</v>
      </c>
      <c r="F32" s="2" t="s">
        <v>57</v>
      </c>
      <c r="G32" s="2" t="s">
        <v>157</v>
      </c>
      <c r="H32" s="1" t="str">
        <f t="shared" si="0"/>
        <v>0003</v>
      </c>
      <c r="I32" s="1" t="str">
        <f t="shared" si="1"/>
        <v>006</v>
      </c>
    </row>
    <row r="33" spans="1:9" ht="28.8" x14ac:dyDescent="0.3">
      <c r="A33" s="2" t="s">
        <v>485</v>
      </c>
      <c r="B33" s="2" t="s">
        <v>476</v>
      </c>
      <c r="C33" s="2" t="s">
        <v>191</v>
      </c>
      <c r="D33" s="2" t="s">
        <v>192</v>
      </c>
      <c r="E33" s="2" t="s">
        <v>51</v>
      </c>
      <c r="F33" s="2" t="s">
        <v>57</v>
      </c>
      <c r="G33" s="2" t="s">
        <v>157</v>
      </c>
      <c r="H33" s="1" t="str">
        <f t="shared" si="0"/>
        <v>0003</v>
      </c>
      <c r="I33" s="1" t="str">
        <f t="shared" si="1"/>
        <v>006</v>
      </c>
    </row>
    <row r="34" spans="1:9" x14ac:dyDescent="0.3">
      <c r="A34" s="2" t="s">
        <v>44</v>
      </c>
      <c r="B34" s="2" t="s">
        <v>8</v>
      </c>
      <c r="C34" s="2" t="s">
        <v>49</v>
      </c>
      <c r="D34" s="2" t="s">
        <v>50</v>
      </c>
      <c r="E34" s="2" t="s">
        <v>51</v>
      </c>
      <c r="F34" s="2" t="s">
        <v>52</v>
      </c>
      <c r="G34" s="2" t="s">
        <v>53</v>
      </c>
      <c r="H34" s="1" t="str">
        <f t="shared" si="0"/>
        <v>0004</v>
      </c>
      <c r="I34" s="1" t="str">
        <f t="shared" si="1"/>
        <v>006</v>
      </c>
    </row>
    <row r="35" spans="1:9" x14ac:dyDescent="0.3">
      <c r="A35" s="2" t="s">
        <v>93</v>
      </c>
      <c r="B35" s="2" t="s">
        <v>8</v>
      </c>
      <c r="C35" s="2" t="s">
        <v>49</v>
      </c>
      <c r="D35" s="2" t="s">
        <v>50</v>
      </c>
      <c r="E35" s="2" t="s">
        <v>51</v>
      </c>
      <c r="F35" s="2" t="s">
        <v>52</v>
      </c>
      <c r="G35" s="2" t="s">
        <v>53</v>
      </c>
      <c r="H35" s="1" t="str">
        <f t="shared" si="0"/>
        <v>0004</v>
      </c>
      <c r="I35" s="1" t="str">
        <f t="shared" si="1"/>
        <v>006</v>
      </c>
    </row>
    <row r="36" spans="1:9" x14ac:dyDescent="0.3">
      <c r="A36" s="2" t="s">
        <v>108</v>
      </c>
      <c r="B36" s="2" t="s">
        <v>8</v>
      </c>
      <c r="C36" s="2" t="s">
        <v>49</v>
      </c>
      <c r="D36" s="2" t="s">
        <v>50</v>
      </c>
      <c r="E36" s="2" t="s">
        <v>51</v>
      </c>
      <c r="F36" s="2" t="s">
        <v>52</v>
      </c>
      <c r="G36" s="2" t="s">
        <v>53</v>
      </c>
      <c r="H36" s="1" t="str">
        <f t="shared" si="0"/>
        <v>0004</v>
      </c>
      <c r="I36" s="1" t="str">
        <f t="shared" si="1"/>
        <v>006</v>
      </c>
    </row>
    <row r="37" spans="1:9" x14ac:dyDescent="0.3">
      <c r="A37" s="2" t="s">
        <v>335</v>
      </c>
      <c r="B37" s="2" t="s">
        <v>328</v>
      </c>
      <c r="C37" s="2" t="s">
        <v>49</v>
      </c>
      <c r="D37" s="2" t="s">
        <v>50</v>
      </c>
      <c r="E37" s="2" t="s">
        <v>51</v>
      </c>
      <c r="F37" s="2" t="s">
        <v>52</v>
      </c>
      <c r="G37" s="2" t="s">
        <v>53</v>
      </c>
      <c r="H37" s="1" t="str">
        <f t="shared" si="0"/>
        <v>0004</v>
      </c>
      <c r="I37" s="1" t="str">
        <f t="shared" si="1"/>
        <v>006</v>
      </c>
    </row>
    <row r="38" spans="1:9" x14ac:dyDescent="0.3">
      <c r="A38" s="2" t="s">
        <v>346</v>
      </c>
      <c r="B38" s="2" t="s">
        <v>328</v>
      </c>
      <c r="C38" s="2" t="s">
        <v>49</v>
      </c>
      <c r="D38" s="2" t="s">
        <v>50</v>
      </c>
      <c r="E38" s="2" t="s">
        <v>51</v>
      </c>
      <c r="F38" s="2" t="s">
        <v>52</v>
      </c>
      <c r="G38" s="2" t="s">
        <v>53</v>
      </c>
      <c r="H38" s="1" t="str">
        <f t="shared" si="0"/>
        <v>0004</v>
      </c>
      <c r="I38" s="1" t="str">
        <f t="shared" si="1"/>
        <v>006</v>
      </c>
    </row>
    <row r="39" spans="1:9" x14ac:dyDescent="0.3">
      <c r="A39" s="2" t="s">
        <v>358</v>
      </c>
      <c r="B39" s="2" t="s">
        <v>328</v>
      </c>
      <c r="C39" s="2" t="s">
        <v>49</v>
      </c>
      <c r="D39" s="2" t="s">
        <v>50</v>
      </c>
      <c r="E39" s="2" t="s">
        <v>51</v>
      </c>
      <c r="F39" s="2" t="s">
        <v>52</v>
      </c>
      <c r="G39" s="2" t="s">
        <v>53</v>
      </c>
      <c r="H39" s="1" t="str">
        <f t="shared" si="0"/>
        <v>0004</v>
      </c>
      <c r="I39" s="1" t="str">
        <f t="shared" si="1"/>
        <v>006</v>
      </c>
    </row>
    <row r="40" spans="1:9" x14ac:dyDescent="0.3">
      <c r="A40" s="2" t="s">
        <v>44</v>
      </c>
      <c r="B40" s="2" t="s">
        <v>8</v>
      </c>
      <c r="C40" s="2" t="s">
        <v>45</v>
      </c>
      <c r="D40" s="2" t="s">
        <v>46</v>
      </c>
      <c r="E40" s="2" t="s">
        <v>47</v>
      </c>
      <c r="F40" s="2" t="s">
        <v>41</v>
      </c>
      <c r="G40" s="2" t="s">
        <v>48</v>
      </c>
      <c r="H40" s="1" t="str">
        <f t="shared" si="0"/>
        <v>0005</v>
      </c>
      <c r="I40" s="1" t="str">
        <f t="shared" si="1"/>
        <v>001</v>
      </c>
    </row>
    <row r="41" spans="1:9" x14ac:dyDescent="0.3">
      <c r="A41" s="2" t="s">
        <v>93</v>
      </c>
      <c r="B41" s="2" t="s">
        <v>8</v>
      </c>
      <c r="C41" s="2" t="s">
        <v>45</v>
      </c>
      <c r="D41" s="2" t="s">
        <v>46</v>
      </c>
      <c r="E41" s="2" t="s">
        <v>47</v>
      </c>
      <c r="F41" s="2" t="s">
        <v>41</v>
      </c>
      <c r="G41" s="2" t="s">
        <v>48</v>
      </c>
      <c r="H41" s="1" t="str">
        <f t="shared" si="0"/>
        <v>0005</v>
      </c>
      <c r="I41" s="1" t="str">
        <f t="shared" si="1"/>
        <v>001</v>
      </c>
    </row>
    <row r="42" spans="1:9" x14ac:dyDescent="0.3">
      <c r="A42" s="2" t="s">
        <v>108</v>
      </c>
      <c r="B42" s="2" t="s">
        <v>8</v>
      </c>
      <c r="C42" s="2" t="s">
        <v>45</v>
      </c>
      <c r="D42" s="2" t="s">
        <v>46</v>
      </c>
      <c r="E42" s="2" t="s">
        <v>47</v>
      </c>
      <c r="F42" s="2" t="s">
        <v>41</v>
      </c>
      <c r="G42" s="2" t="s">
        <v>48</v>
      </c>
      <c r="H42" s="1" t="str">
        <f t="shared" si="0"/>
        <v>0005</v>
      </c>
      <c r="I42" s="1" t="str">
        <f t="shared" si="1"/>
        <v>001</v>
      </c>
    </row>
    <row r="43" spans="1:9" x14ac:dyDescent="0.3">
      <c r="A43" s="2" t="s">
        <v>335</v>
      </c>
      <c r="B43" s="2" t="s">
        <v>328</v>
      </c>
      <c r="C43" s="2" t="s">
        <v>45</v>
      </c>
      <c r="D43" s="2" t="s">
        <v>46</v>
      </c>
      <c r="E43" s="2" t="s">
        <v>47</v>
      </c>
      <c r="F43" s="2" t="s">
        <v>41</v>
      </c>
      <c r="G43" s="2" t="s">
        <v>48</v>
      </c>
      <c r="H43" s="1" t="str">
        <f t="shared" si="0"/>
        <v>0005</v>
      </c>
      <c r="I43" s="1" t="str">
        <f t="shared" si="1"/>
        <v>001</v>
      </c>
    </row>
    <row r="44" spans="1:9" x14ac:dyDescent="0.3">
      <c r="A44" s="2" t="s">
        <v>346</v>
      </c>
      <c r="B44" s="2" t="s">
        <v>328</v>
      </c>
      <c r="C44" s="2" t="s">
        <v>45</v>
      </c>
      <c r="D44" s="2" t="s">
        <v>46</v>
      </c>
      <c r="E44" s="2" t="s">
        <v>47</v>
      </c>
      <c r="F44" s="2" t="s">
        <v>41</v>
      </c>
      <c r="G44" s="2" t="s">
        <v>48</v>
      </c>
      <c r="H44" s="1" t="str">
        <f t="shared" si="0"/>
        <v>0005</v>
      </c>
      <c r="I44" s="1" t="str">
        <f t="shared" si="1"/>
        <v>001</v>
      </c>
    </row>
    <row r="45" spans="1:9" x14ac:dyDescent="0.3">
      <c r="A45" s="2" t="s">
        <v>358</v>
      </c>
      <c r="B45" s="2" t="s">
        <v>328</v>
      </c>
      <c r="C45" s="2" t="s">
        <v>45</v>
      </c>
      <c r="D45" s="2" t="s">
        <v>46</v>
      </c>
      <c r="E45" s="2" t="s">
        <v>47</v>
      </c>
      <c r="F45" s="2" t="s">
        <v>41</v>
      </c>
      <c r="G45" s="2" t="s">
        <v>48</v>
      </c>
      <c r="H45" s="1" t="str">
        <f t="shared" si="0"/>
        <v>0005</v>
      </c>
      <c r="I45" s="1" t="str">
        <f t="shared" si="1"/>
        <v>001</v>
      </c>
    </row>
    <row r="46" spans="1:9" ht="28.8" x14ac:dyDescent="0.3">
      <c r="A46" s="2" t="s">
        <v>199</v>
      </c>
      <c r="B46" s="2" t="s">
        <v>200</v>
      </c>
      <c r="C46" s="2" t="s">
        <v>201</v>
      </c>
      <c r="D46" s="2" t="s">
        <v>202</v>
      </c>
      <c r="E46" s="2" t="s">
        <v>51</v>
      </c>
      <c r="F46" s="2" t="s">
        <v>57</v>
      </c>
      <c r="G46" s="2" t="s">
        <v>157</v>
      </c>
      <c r="H46" s="1" t="str">
        <f t="shared" si="0"/>
        <v>0006</v>
      </c>
      <c r="I46" s="1" t="str">
        <f t="shared" si="1"/>
        <v>006</v>
      </c>
    </row>
    <row r="47" spans="1:9" ht="28.8" x14ac:dyDescent="0.3">
      <c r="A47" s="2" t="s">
        <v>204</v>
      </c>
      <c r="B47" s="2" t="s">
        <v>200</v>
      </c>
      <c r="C47" s="2" t="s">
        <v>201</v>
      </c>
      <c r="D47" s="2" t="s">
        <v>202</v>
      </c>
      <c r="E47" s="2" t="s">
        <v>51</v>
      </c>
      <c r="F47" s="2" t="s">
        <v>57</v>
      </c>
      <c r="G47" s="2" t="s">
        <v>157</v>
      </c>
      <c r="H47" s="1" t="str">
        <f t="shared" si="0"/>
        <v>0006</v>
      </c>
      <c r="I47" s="1" t="str">
        <f t="shared" si="1"/>
        <v>006</v>
      </c>
    </row>
    <row r="48" spans="1:9" ht="28.8" x14ac:dyDescent="0.3">
      <c r="A48" s="2" t="s">
        <v>259</v>
      </c>
      <c r="B48" s="2" t="s">
        <v>260</v>
      </c>
      <c r="C48" s="2" t="s">
        <v>201</v>
      </c>
      <c r="D48" s="2" t="s">
        <v>202</v>
      </c>
      <c r="E48" s="2" t="s">
        <v>51</v>
      </c>
      <c r="F48" s="2" t="s">
        <v>57</v>
      </c>
      <c r="G48" s="2" t="s">
        <v>157</v>
      </c>
      <c r="H48" s="1" t="str">
        <f t="shared" si="0"/>
        <v>0006</v>
      </c>
      <c r="I48" s="1" t="str">
        <f t="shared" si="1"/>
        <v>006</v>
      </c>
    </row>
    <row r="49" spans="1:9" ht="28.8" x14ac:dyDescent="0.3">
      <c r="A49" s="2" t="s">
        <v>262</v>
      </c>
      <c r="B49" s="2" t="s">
        <v>260</v>
      </c>
      <c r="C49" s="2" t="s">
        <v>201</v>
      </c>
      <c r="D49" s="2" t="s">
        <v>202</v>
      </c>
      <c r="E49" s="2" t="s">
        <v>51</v>
      </c>
      <c r="F49" s="2" t="s">
        <v>57</v>
      </c>
      <c r="G49" s="2" t="s">
        <v>157</v>
      </c>
      <c r="H49" s="1" t="str">
        <f t="shared" si="0"/>
        <v>0006</v>
      </c>
      <c r="I49" s="1" t="str">
        <f t="shared" si="1"/>
        <v>006</v>
      </c>
    </row>
    <row r="50" spans="1:9" ht="28.8" x14ac:dyDescent="0.3">
      <c r="A50" s="2" t="s">
        <v>302</v>
      </c>
      <c r="B50" s="2" t="s">
        <v>303</v>
      </c>
      <c r="C50" s="2" t="s">
        <v>201</v>
      </c>
      <c r="D50" s="2" t="s">
        <v>202</v>
      </c>
      <c r="E50" s="2" t="s">
        <v>51</v>
      </c>
      <c r="F50" s="2" t="s">
        <v>57</v>
      </c>
      <c r="G50" s="2" t="s">
        <v>157</v>
      </c>
      <c r="H50" s="1" t="str">
        <f t="shared" si="0"/>
        <v>0006</v>
      </c>
      <c r="I50" s="1" t="str">
        <f t="shared" si="1"/>
        <v>006</v>
      </c>
    </row>
    <row r="51" spans="1:9" ht="28.8" x14ac:dyDescent="0.3">
      <c r="A51" s="2" t="s">
        <v>305</v>
      </c>
      <c r="B51" s="2" t="s">
        <v>303</v>
      </c>
      <c r="C51" s="2" t="s">
        <v>201</v>
      </c>
      <c r="D51" s="2" t="s">
        <v>202</v>
      </c>
      <c r="E51" s="2" t="s">
        <v>51</v>
      </c>
      <c r="F51" s="2" t="s">
        <v>57</v>
      </c>
      <c r="G51" s="2" t="s">
        <v>157</v>
      </c>
      <c r="H51" s="1" t="str">
        <f t="shared" si="0"/>
        <v>0006</v>
      </c>
      <c r="I51" s="1" t="str">
        <f t="shared" si="1"/>
        <v>006</v>
      </c>
    </row>
    <row r="52" spans="1:9" ht="28.8" x14ac:dyDescent="0.3">
      <c r="A52" s="2" t="s">
        <v>404</v>
      </c>
      <c r="B52" s="2" t="s">
        <v>405</v>
      </c>
      <c r="C52" s="2" t="s">
        <v>201</v>
      </c>
      <c r="D52" s="2" t="s">
        <v>202</v>
      </c>
      <c r="E52" s="2" t="s">
        <v>51</v>
      </c>
      <c r="F52" s="2" t="s">
        <v>57</v>
      </c>
      <c r="G52" s="2" t="s">
        <v>157</v>
      </c>
      <c r="H52" s="1" t="str">
        <f t="shared" si="0"/>
        <v>0006</v>
      </c>
      <c r="I52" s="1" t="str">
        <f t="shared" si="1"/>
        <v>006</v>
      </c>
    </row>
    <row r="53" spans="1:9" ht="28.8" x14ac:dyDescent="0.3">
      <c r="A53" s="2" t="s">
        <v>407</v>
      </c>
      <c r="B53" s="2" t="s">
        <v>405</v>
      </c>
      <c r="C53" s="2" t="s">
        <v>201</v>
      </c>
      <c r="D53" s="2" t="s">
        <v>202</v>
      </c>
      <c r="E53" s="2" t="s">
        <v>51</v>
      </c>
      <c r="F53" s="2" t="s">
        <v>57</v>
      </c>
      <c r="G53" s="2" t="s">
        <v>157</v>
      </c>
      <c r="H53" s="1" t="str">
        <f t="shared" si="0"/>
        <v>0006</v>
      </c>
      <c r="I53" s="1" t="str">
        <f t="shared" si="1"/>
        <v>006</v>
      </c>
    </row>
    <row r="54" spans="1:9" ht="28.8" x14ac:dyDescent="0.3">
      <c r="A54" s="2" t="s">
        <v>447</v>
      </c>
      <c r="B54" s="2" t="s">
        <v>448</v>
      </c>
      <c r="C54" s="2" t="s">
        <v>201</v>
      </c>
      <c r="D54" s="2" t="s">
        <v>202</v>
      </c>
      <c r="E54" s="2" t="s">
        <v>51</v>
      </c>
      <c r="F54" s="2" t="s">
        <v>57</v>
      </c>
      <c r="G54" s="2" t="s">
        <v>157</v>
      </c>
      <c r="H54" s="1" t="str">
        <f t="shared" si="0"/>
        <v>0006</v>
      </c>
      <c r="I54" s="1" t="str">
        <f t="shared" si="1"/>
        <v>006</v>
      </c>
    </row>
    <row r="55" spans="1:9" ht="28.8" x14ac:dyDescent="0.3">
      <c r="A55" s="2" t="s">
        <v>450</v>
      </c>
      <c r="B55" s="2" t="s">
        <v>448</v>
      </c>
      <c r="C55" s="2" t="s">
        <v>201</v>
      </c>
      <c r="D55" s="2" t="s">
        <v>202</v>
      </c>
      <c r="E55" s="2" t="s">
        <v>51</v>
      </c>
      <c r="F55" s="2" t="s">
        <v>57</v>
      </c>
      <c r="G55" s="2" t="s">
        <v>157</v>
      </c>
      <c r="H55" s="1" t="str">
        <f t="shared" si="0"/>
        <v>0006</v>
      </c>
      <c r="I55" s="1" t="str">
        <f t="shared" si="1"/>
        <v>006</v>
      </c>
    </row>
    <row r="56" spans="1:9" ht="28.8" x14ac:dyDescent="0.3">
      <c r="A56" s="2" t="s">
        <v>490</v>
      </c>
      <c r="B56" s="2" t="s">
        <v>491</v>
      </c>
      <c r="C56" s="2" t="s">
        <v>201</v>
      </c>
      <c r="D56" s="2" t="s">
        <v>202</v>
      </c>
      <c r="E56" s="2" t="s">
        <v>51</v>
      </c>
      <c r="F56" s="2" t="s">
        <v>57</v>
      </c>
      <c r="G56" s="2" t="s">
        <v>157</v>
      </c>
      <c r="H56" s="1" t="str">
        <f t="shared" si="0"/>
        <v>0006</v>
      </c>
      <c r="I56" s="1" t="str">
        <f t="shared" si="1"/>
        <v>006</v>
      </c>
    </row>
    <row r="57" spans="1:9" ht="28.8" x14ac:dyDescent="0.3">
      <c r="A57" s="2" t="s">
        <v>493</v>
      </c>
      <c r="B57" s="2" t="s">
        <v>491</v>
      </c>
      <c r="C57" s="2" t="s">
        <v>201</v>
      </c>
      <c r="D57" s="2" t="s">
        <v>202</v>
      </c>
      <c r="E57" s="2" t="s">
        <v>51</v>
      </c>
      <c r="F57" s="2" t="s">
        <v>57</v>
      </c>
      <c r="G57" s="2" t="s">
        <v>157</v>
      </c>
      <c r="H57" s="1" t="str">
        <f t="shared" si="0"/>
        <v>0006</v>
      </c>
      <c r="I57" s="1" t="str">
        <f t="shared" si="1"/>
        <v>006</v>
      </c>
    </row>
    <row r="58" spans="1:9" x14ac:dyDescent="0.3">
      <c r="A58" s="2" t="s">
        <v>29</v>
      </c>
      <c r="B58" s="2" t="s">
        <v>8</v>
      </c>
      <c r="C58" s="2" t="s">
        <v>34</v>
      </c>
      <c r="D58" s="2" t="s">
        <v>35</v>
      </c>
      <c r="E58" s="2" t="s">
        <v>12</v>
      </c>
      <c r="F58" s="2" t="s">
        <v>36</v>
      </c>
      <c r="G58" s="2" t="s">
        <v>37</v>
      </c>
      <c r="H58" s="1" t="str">
        <f t="shared" si="0"/>
        <v>0010</v>
      </c>
      <c r="I58" s="1" t="str">
        <f t="shared" si="1"/>
        <v>036</v>
      </c>
    </row>
    <row r="59" spans="1:9" x14ac:dyDescent="0.3">
      <c r="A59" s="2" t="s">
        <v>29</v>
      </c>
      <c r="B59" s="2" t="s">
        <v>8</v>
      </c>
      <c r="C59" s="2" t="s">
        <v>38</v>
      </c>
      <c r="D59" s="2" t="s">
        <v>39</v>
      </c>
      <c r="E59" s="2" t="s">
        <v>40</v>
      </c>
      <c r="F59" s="2" t="s">
        <v>41</v>
      </c>
      <c r="G59" s="2" t="s">
        <v>42</v>
      </c>
      <c r="H59" s="1" t="str">
        <f t="shared" si="0"/>
        <v>0010</v>
      </c>
      <c r="I59" s="1" t="str">
        <f t="shared" si="1"/>
        <v>001</v>
      </c>
    </row>
    <row r="60" spans="1:9" x14ac:dyDescent="0.3">
      <c r="A60" s="2" t="s">
        <v>44</v>
      </c>
      <c r="B60" s="2" t="s">
        <v>8</v>
      </c>
      <c r="C60" s="2" t="s">
        <v>34</v>
      </c>
      <c r="D60" s="2" t="s">
        <v>68</v>
      </c>
      <c r="E60" s="2" t="s">
        <v>12</v>
      </c>
      <c r="F60" s="2" t="s">
        <v>36</v>
      </c>
      <c r="G60" s="2" t="s">
        <v>37</v>
      </c>
      <c r="H60" s="1" t="str">
        <f t="shared" si="0"/>
        <v>0010</v>
      </c>
      <c r="I60" s="1" t="str">
        <f t="shared" si="1"/>
        <v>036</v>
      </c>
    </row>
    <row r="61" spans="1:9" x14ac:dyDescent="0.3">
      <c r="A61" s="2" t="s">
        <v>93</v>
      </c>
      <c r="B61" s="2" t="s">
        <v>8</v>
      </c>
      <c r="C61" s="2" t="s">
        <v>34</v>
      </c>
      <c r="D61" s="2" t="s">
        <v>100</v>
      </c>
      <c r="E61" s="2" t="s">
        <v>12</v>
      </c>
      <c r="F61" s="2" t="s">
        <v>36</v>
      </c>
      <c r="G61" s="2" t="s">
        <v>37</v>
      </c>
      <c r="H61" s="1" t="str">
        <f t="shared" si="0"/>
        <v>0010</v>
      </c>
      <c r="I61" s="1" t="str">
        <f t="shared" si="1"/>
        <v>036</v>
      </c>
    </row>
    <row r="62" spans="1:9" x14ac:dyDescent="0.3">
      <c r="A62" s="2" t="s">
        <v>108</v>
      </c>
      <c r="B62" s="2" t="s">
        <v>8</v>
      </c>
      <c r="C62" s="2" t="s">
        <v>34</v>
      </c>
      <c r="D62" s="2" t="s">
        <v>114</v>
      </c>
      <c r="E62" s="2" t="s">
        <v>12</v>
      </c>
      <c r="F62" s="2" t="s">
        <v>36</v>
      </c>
      <c r="G62" s="2" t="s">
        <v>37</v>
      </c>
      <c r="H62" s="1" t="str">
        <f t="shared" si="0"/>
        <v>0010</v>
      </c>
      <c r="I62" s="1" t="str">
        <f t="shared" si="1"/>
        <v>036</v>
      </c>
    </row>
    <row r="63" spans="1:9" x14ac:dyDescent="0.3">
      <c r="A63" s="2" t="s">
        <v>331</v>
      </c>
      <c r="B63" s="2" t="s">
        <v>328</v>
      </c>
      <c r="C63" s="2" t="s">
        <v>34</v>
      </c>
      <c r="D63" s="2" t="s">
        <v>333</v>
      </c>
      <c r="E63" s="2" t="s">
        <v>12</v>
      </c>
      <c r="F63" s="2" t="s">
        <v>36</v>
      </c>
      <c r="G63" s="2" t="s">
        <v>37</v>
      </c>
      <c r="H63" s="1" t="str">
        <f t="shared" si="0"/>
        <v>0010</v>
      </c>
      <c r="I63" s="1" t="str">
        <f t="shared" si="1"/>
        <v>036</v>
      </c>
    </row>
    <row r="64" spans="1:9" x14ac:dyDescent="0.3">
      <c r="A64" s="2" t="s">
        <v>331</v>
      </c>
      <c r="B64" s="2" t="s">
        <v>328</v>
      </c>
      <c r="C64" s="2" t="s">
        <v>38</v>
      </c>
      <c r="D64" s="2" t="s">
        <v>39</v>
      </c>
      <c r="E64" s="2" t="s">
        <v>40</v>
      </c>
      <c r="F64" s="2" t="s">
        <v>41</v>
      </c>
      <c r="G64" s="2" t="s">
        <v>42</v>
      </c>
      <c r="H64" s="1" t="str">
        <f t="shared" si="0"/>
        <v>0010</v>
      </c>
      <c r="I64" s="1" t="str">
        <f t="shared" si="1"/>
        <v>001</v>
      </c>
    </row>
    <row r="65" spans="1:9" x14ac:dyDescent="0.3">
      <c r="A65" s="2" t="s">
        <v>335</v>
      </c>
      <c r="B65" s="2" t="s">
        <v>328</v>
      </c>
      <c r="C65" s="2" t="s">
        <v>34</v>
      </c>
      <c r="D65" s="2" t="s">
        <v>341</v>
      </c>
      <c r="E65" s="2" t="s">
        <v>12</v>
      </c>
      <c r="F65" s="2" t="s">
        <v>36</v>
      </c>
      <c r="G65" s="2" t="s">
        <v>37</v>
      </c>
      <c r="H65" s="1" t="str">
        <f t="shared" si="0"/>
        <v>0010</v>
      </c>
      <c r="I65" s="1" t="str">
        <f t="shared" si="1"/>
        <v>036</v>
      </c>
    </row>
    <row r="66" spans="1:9" x14ac:dyDescent="0.3">
      <c r="A66" s="2" t="s">
        <v>346</v>
      </c>
      <c r="B66" s="2" t="s">
        <v>328</v>
      </c>
      <c r="C66" s="2" t="s">
        <v>34</v>
      </c>
      <c r="D66" s="2" t="s">
        <v>352</v>
      </c>
      <c r="E66" s="2" t="s">
        <v>12</v>
      </c>
      <c r="F66" s="2" t="s">
        <v>36</v>
      </c>
      <c r="G66" s="2" t="s">
        <v>37</v>
      </c>
      <c r="H66" s="1" t="str">
        <f t="shared" ref="H66:H129" si="2">IF(LEN(D66)&gt;19,MID(D66,17,4),"")</f>
        <v>0010</v>
      </c>
      <c r="I66" s="1" t="str">
        <f t="shared" ref="I66:I129" si="3">IF(LEN(D66)&gt;19,MID(D66,13,3),"")</f>
        <v>036</v>
      </c>
    </row>
    <row r="67" spans="1:9" x14ac:dyDescent="0.3">
      <c r="A67" s="2" t="s">
        <v>358</v>
      </c>
      <c r="B67" s="2" t="s">
        <v>328</v>
      </c>
      <c r="C67" s="2" t="s">
        <v>34</v>
      </c>
      <c r="D67" s="2" t="s">
        <v>364</v>
      </c>
      <c r="E67" s="2" t="s">
        <v>12</v>
      </c>
      <c r="F67" s="2" t="s">
        <v>36</v>
      </c>
      <c r="G67" s="2" t="s">
        <v>37</v>
      </c>
      <c r="H67" s="1" t="str">
        <f t="shared" si="2"/>
        <v>0010</v>
      </c>
      <c r="I67" s="1" t="str">
        <f t="shared" si="3"/>
        <v>036</v>
      </c>
    </row>
    <row r="68" spans="1:9" ht="28.8" x14ac:dyDescent="0.3">
      <c r="A68" s="2" t="s">
        <v>194</v>
      </c>
      <c r="B68" s="2" t="s">
        <v>145</v>
      </c>
      <c r="C68" s="2" t="s">
        <v>195</v>
      </c>
      <c r="D68" s="2" t="s">
        <v>196</v>
      </c>
      <c r="E68" s="2" t="s">
        <v>51</v>
      </c>
      <c r="F68" s="2" t="s">
        <v>66</v>
      </c>
      <c r="G68" s="2" t="s">
        <v>197</v>
      </c>
      <c r="H68" s="1" t="str">
        <f t="shared" si="2"/>
        <v>0011</v>
      </c>
      <c r="I68" s="1" t="str">
        <f t="shared" si="3"/>
        <v>006</v>
      </c>
    </row>
    <row r="69" spans="1:9" ht="28.8" x14ac:dyDescent="0.3">
      <c r="A69" s="2" t="s">
        <v>402</v>
      </c>
      <c r="B69" s="2" t="s">
        <v>385</v>
      </c>
      <c r="C69" s="2" t="s">
        <v>195</v>
      </c>
      <c r="D69" s="2" t="s">
        <v>196</v>
      </c>
      <c r="E69" s="2" t="s">
        <v>51</v>
      </c>
      <c r="F69" s="2" t="s">
        <v>66</v>
      </c>
      <c r="G69" s="2" t="s">
        <v>197</v>
      </c>
      <c r="H69" s="1" t="str">
        <f t="shared" si="2"/>
        <v>0011</v>
      </c>
      <c r="I69" s="1" t="str">
        <f t="shared" si="3"/>
        <v>006</v>
      </c>
    </row>
    <row r="70" spans="1:9" ht="28.8" x14ac:dyDescent="0.3">
      <c r="A70" s="2" t="s">
        <v>316</v>
      </c>
      <c r="B70" s="2" t="s">
        <v>9</v>
      </c>
      <c r="C70" s="2" t="s">
        <v>317</v>
      </c>
      <c r="D70" s="2" t="s">
        <v>318</v>
      </c>
      <c r="E70" s="2" t="s">
        <v>51</v>
      </c>
      <c r="F70" s="2" t="s">
        <v>319</v>
      </c>
      <c r="G70" s="2" t="s">
        <v>320</v>
      </c>
      <c r="H70" s="1" t="str">
        <f t="shared" si="2"/>
        <v>0013</v>
      </c>
      <c r="I70" s="1" t="str">
        <f t="shared" si="3"/>
        <v>006</v>
      </c>
    </row>
    <row r="71" spans="1:9" ht="28.8" x14ac:dyDescent="0.3">
      <c r="A71" s="2" t="s">
        <v>44</v>
      </c>
      <c r="B71" s="2" t="s">
        <v>8</v>
      </c>
      <c r="C71" s="2" t="s">
        <v>77</v>
      </c>
      <c r="D71" s="2" t="s">
        <v>78</v>
      </c>
      <c r="E71" s="2" t="s">
        <v>56</v>
      </c>
      <c r="F71" s="2" t="s">
        <v>57</v>
      </c>
      <c r="G71" s="2" t="s">
        <v>58</v>
      </c>
      <c r="H71" s="1" t="str">
        <f t="shared" si="2"/>
        <v>0014</v>
      </c>
      <c r="I71" s="1" t="str">
        <f t="shared" si="3"/>
        <v>012</v>
      </c>
    </row>
    <row r="72" spans="1:9" ht="28.8" x14ac:dyDescent="0.3">
      <c r="A72" s="2" t="s">
        <v>93</v>
      </c>
      <c r="B72" s="2" t="s">
        <v>8</v>
      </c>
      <c r="C72" s="2" t="s">
        <v>77</v>
      </c>
      <c r="D72" s="2" t="s">
        <v>95</v>
      </c>
      <c r="E72" s="2" t="s">
        <v>56</v>
      </c>
      <c r="F72" s="2" t="s">
        <v>57</v>
      </c>
      <c r="G72" s="2" t="s">
        <v>58</v>
      </c>
      <c r="H72" s="1" t="str">
        <f t="shared" si="2"/>
        <v>0014</v>
      </c>
      <c r="I72" s="1" t="str">
        <f t="shared" si="3"/>
        <v>012</v>
      </c>
    </row>
    <row r="73" spans="1:9" ht="28.8" x14ac:dyDescent="0.3">
      <c r="A73" s="2" t="s">
        <v>108</v>
      </c>
      <c r="B73" s="2" t="s">
        <v>8</v>
      </c>
      <c r="C73" s="2" t="s">
        <v>77</v>
      </c>
      <c r="D73" s="2" t="s">
        <v>109</v>
      </c>
      <c r="E73" s="2" t="s">
        <v>56</v>
      </c>
      <c r="F73" s="2" t="s">
        <v>57</v>
      </c>
      <c r="G73" s="2" t="s">
        <v>58</v>
      </c>
      <c r="H73" s="1" t="str">
        <f t="shared" si="2"/>
        <v>0014</v>
      </c>
      <c r="I73" s="1" t="str">
        <f t="shared" si="3"/>
        <v>012</v>
      </c>
    </row>
    <row r="74" spans="1:9" ht="28.8" x14ac:dyDescent="0.3">
      <c r="A74" s="2" t="s">
        <v>335</v>
      </c>
      <c r="B74" s="2" t="s">
        <v>328</v>
      </c>
      <c r="C74" s="2" t="s">
        <v>77</v>
      </c>
      <c r="D74" s="2" t="s">
        <v>336</v>
      </c>
      <c r="E74" s="2" t="s">
        <v>56</v>
      </c>
      <c r="F74" s="2" t="s">
        <v>57</v>
      </c>
      <c r="G74" s="2" t="s">
        <v>58</v>
      </c>
      <c r="H74" s="1" t="str">
        <f t="shared" si="2"/>
        <v>0014</v>
      </c>
      <c r="I74" s="1" t="str">
        <f t="shared" si="3"/>
        <v>012</v>
      </c>
    </row>
    <row r="75" spans="1:9" ht="28.8" x14ac:dyDescent="0.3">
      <c r="A75" s="2" t="s">
        <v>346</v>
      </c>
      <c r="B75" s="2" t="s">
        <v>328</v>
      </c>
      <c r="C75" s="2" t="s">
        <v>77</v>
      </c>
      <c r="D75" s="2" t="s">
        <v>347</v>
      </c>
      <c r="E75" s="2" t="s">
        <v>56</v>
      </c>
      <c r="F75" s="2" t="s">
        <v>57</v>
      </c>
      <c r="G75" s="2" t="s">
        <v>58</v>
      </c>
      <c r="H75" s="1" t="str">
        <f t="shared" si="2"/>
        <v>0014</v>
      </c>
      <c r="I75" s="1" t="str">
        <f t="shared" si="3"/>
        <v>012</v>
      </c>
    </row>
    <row r="76" spans="1:9" ht="28.8" x14ac:dyDescent="0.3">
      <c r="A76" s="2" t="s">
        <v>358</v>
      </c>
      <c r="B76" s="2" t="s">
        <v>328</v>
      </c>
      <c r="C76" s="2" t="s">
        <v>77</v>
      </c>
      <c r="D76" s="2" t="s">
        <v>359</v>
      </c>
      <c r="E76" s="2" t="s">
        <v>56</v>
      </c>
      <c r="F76" s="2" t="s">
        <v>57</v>
      </c>
      <c r="G76" s="2" t="s">
        <v>58</v>
      </c>
      <c r="H76" s="1" t="str">
        <f t="shared" si="2"/>
        <v>0014</v>
      </c>
      <c r="I76" s="1" t="str">
        <f t="shared" si="3"/>
        <v>012</v>
      </c>
    </row>
    <row r="77" spans="1:9" ht="28.8" x14ac:dyDescent="0.3">
      <c r="A77" s="2" t="s">
        <v>172</v>
      </c>
      <c r="B77" s="2" t="s">
        <v>44</v>
      </c>
      <c r="C77" s="2" t="s">
        <v>173</v>
      </c>
      <c r="D77" s="2" t="s">
        <v>174</v>
      </c>
      <c r="E77" s="2" t="s">
        <v>56</v>
      </c>
      <c r="F77" s="2" t="s">
        <v>57</v>
      </c>
      <c r="G77" s="2" t="s">
        <v>58</v>
      </c>
      <c r="H77" s="1" t="str">
        <f t="shared" si="2"/>
        <v>0016</v>
      </c>
      <c r="I77" s="1" t="str">
        <f t="shared" si="3"/>
        <v>012</v>
      </c>
    </row>
    <row r="78" spans="1:9" ht="28.8" x14ac:dyDescent="0.3">
      <c r="A78" s="2" t="s">
        <v>248</v>
      </c>
      <c r="B78" s="2" t="s">
        <v>93</v>
      </c>
      <c r="C78" s="2" t="s">
        <v>173</v>
      </c>
      <c r="D78" s="2" t="s">
        <v>174</v>
      </c>
      <c r="E78" s="2" t="s">
        <v>56</v>
      </c>
      <c r="F78" s="2" t="s">
        <v>57</v>
      </c>
      <c r="G78" s="2" t="s">
        <v>58</v>
      </c>
      <c r="H78" s="1" t="str">
        <f t="shared" si="2"/>
        <v>0016</v>
      </c>
      <c r="I78" s="1" t="str">
        <f t="shared" si="3"/>
        <v>012</v>
      </c>
    </row>
    <row r="79" spans="1:9" ht="28.8" x14ac:dyDescent="0.3">
      <c r="A79" s="2" t="s">
        <v>292</v>
      </c>
      <c r="B79" s="2" t="s">
        <v>108</v>
      </c>
      <c r="C79" s="2" t="s">
        <v>173</v>
      </c>
      <c r="D79" s="2" t="s">
        <v>174</v>
      </c>
      <c r="E79" s="2" t="s">
        <v>56</v>
      </c>
      <c r="F79" s="2" t="s">
        <v>57</v>
      </c>
      <c r="G79" s="2" t="s">
        <v>58</v>
      </c>
      <c r="H79" s="1" t="str">
        <f t="shared" si="2"/>
        <v>0016</v>
      </c>
      <c r="I79" s="1" t="str">
        <f t="shared" si="3"/>
        <v>012</v>
      </c>
    </row>
    <row r="80" spans="1:9" ht="28.8" x14ac:dyDescent="0.3">
      <c r="A80" s="2" t="s">
        <v>392</v>
      </c>
      <c r="B80" s="2" t="s">
        <v>335</v>
      </c>
      <c r="C80" s="2" t="s">
        <v>173</v>
      </c>
      <c r="D80" s="2" t="s">
        <v>174</v>
      </c>
      <c r="E80" s="2" t="s">
        <v>56</v>
      </c>
      <c r="F80" s="2" t="s">
        <v>57</v>
      </c>
      <c r="G80" s="2" t="s">
        <v>58</v>
      </c>
      <c r="H80" s="1" t="str">
        <f t="shared" si="2"/>
        <v>0016</v>
      </c>
      <c r="I80" s="1" t="str">
        <f t="shared" si="3"/>
        <v>012</v>
      </c>
    </row>
    <row r="81" spans="1:9" ht="28.8" x14ac:dyDescent="0.3">
      <c r="A81" s="2" t="s">
        <v>437</v>
      </c>
      <c r="B81" s="2" t="s">
        <v>346</v>
      </c>
      <c r="C81" s="2" t="s">
        <v>173</v>
      </c>
      <c r="D81" s="2" t="s">
        <v>174</v>
      </c>
      <c r="E81" s="2" t="s">
        <v>56</v>
      </c>
      <c r="F81" s="2" t="s">
        <v>57</v>
      </c>
      <c r="G81" s="2" t="s">
        <v>58</v>
      </c>
      <c r="H81" s="1" t="str">
        <f t="shared" si="2"/>
        <v>0016</v>
      </c>
      <c r="I81" s="1" t="str">
        <f t="shared" si="3"/>
        <v>012</v>
      </c>
    </row>
    <row r="82" spans="1:9" ht="28.8" x14ac:dyDescent="0.3">
      <c r="A82" s="2" t="s">
        <v>480</v>
      </c>
      <c r="B82" s="2" t="s">
        <v>358</v>
      </c>
      <c r="C82" s="2" t="s">
        <v>173</v>
      </c>
      <c r="D82" s="2" t="s">
        <v>174</v>
      </c>
      <c r="E82" s="2" t="s">
        <v>56</v>
      </c>
      <c r="F82" s="2" t="s">
        <v>57</v>
      </c>
      <c r="G82" s="2" t="s">
        <v>58</v>
      </c>
      <c r="H82" s="1" t="str">
        <f t="shared" si="2"/>
        <v>0016</v>
      </c>
      <c r="I82" s="1" t="str">
        <f t="shared" si="3"/>
        <v>012</v>
      </c>
    </row>
    <row r="83" spans="1:9" x14ac:dyDescent="0.3">
      <c r="A83" s="2" t="s">
        <v>316</v>
      </c>
      <c r="B83" s="2" t="s">
        <v>9</v>
      </c>
      <c r="C83" s="2" t="s">
        <v>321</v>
      </c>
      <c r="D83" s="2" t="s">
        <v>322</v>
      </c>
      <c r="E83" s="2" t="s">
        <v>47</v>
      </c>
      <c r="F83" s="2" t="s">
        <v>323</v>
      </c>
      <c r="G83" s="2" t="s">
        <v>324</v>
      </c>
      <c r="H83" s="1" t="str">
        <f t="shared" si="2"/>
        <v>0017</v>
      </c>
      <c r="I83" s="1" t="str">
        <f t="shared" si="3"/>
        <v>001</v>
      </c>
    </row>
    <row r="84" spans="1:9" x14ac:dyDescent="0.3">
      <c r="A84" s="2" t="s">
        <v>316</v>
      </c>
      <c r="B84" s="2" t="s">
        <v>9</v>
      </c>
      <c r="C84" s="2" t="s">
        <v>325</v>
      </c>
      <c r="D84" s="2" t="s">
        <v>326</v>
      </c>
      <c r="E84" s="2" t="s">
        <v>47</v>
      </c>
      <c r="F84" s="2" t="s">
        <v>323</v>
      </c>
      <c r="G84" s="2" t="s">
        <v>324</v>
      </c>
      <c r="H84" s="1" t="str">
        <f t="shared" si="2"/>
        <v>0019</v>
      </c>
      <c r="I84" s="1" t="str">
        <f t="shared" si="3"/>
        <v>001</v>
      </c>
    </row>
    <row r="85" spans="1:9" ht="28.8" x14ac:dyDescent="0.3">
      <c r="A85" s="2" t="s">
        <v>44</v>
      </c>
      <c r="B85" s="2" t="s">
        <v>8</v>
      </c>
      <c r="C85" s="2" t="s">
        <v>69</v>
      </c>
      <c r="D85" s="2" t="s">
        <v>70</v>
      </c>
      <c r="E85" s="2" t="s">
        <v>32</v>
      </c>
      <c r="F85" s="2" t="s">
        <v>71</v>
      </c>
      <c r="G85" s="2" t="s">
        <v>72</v>
      </c>
      <c r="H85" s="1" t="str">
        <f t="shared" si="2"/>
        <v>0022</v>
      </c>
      <c r="I85" s="1" t="str">
        <f t="shared" si="3"/>
        <v>060</v>
      </c>
    </row>
    <row r="86" spans="1:9" ht="28.8" x14ac:dyDescent="0.3">
      <c r="A86" s="2" t="s">
        <v>44</v>
      </c>
      <c r="B86" s="2" t="s">
        <v>8</v>
      </c>
      <c r="C86" s="2" t="s">
        <v>79</v>
      </c>
      <c r="D86" s="2" t="s">
        <v>80</v>
      </c>
      <c r="E86" s="2" t="s">
        <v>56</v>
      </c>
      <c r="F86" s="2" t="s">
        <v>57</v>
      </c>
      <c r="G86" s="2" t="s">
        <v>58</v>
      </c>
      <c r="H86" s="1" t="str">
        <f t="shared" si="2"/>
        <v>0022</v>
      </c>
      <c r="I86" s="1" t="str">
        <f t="shared" si="3"/>
        <v>012</v>
      </c>
    </row>
    <row r="87" spans="1:9" ht="28.8" x14ac:dyDescent="0.3">
      <c r="A87" s="2" t="s">
        <v>93</v>
      </c>
      <c r="B87" s="2" t="s">
        <v>8</v>
      </c>
      <c r="C87" s="2" t="s">
        <v>79</v>
      </c>
      <c r="D87" s="2" t="s">
        <v>96</v>
      </c>
      <c r="E87" s="2" t="s">
        <v>56</v>
      </c>
      <c r="F87" s="2" t="s">
        <v>57</v>
      </c>
      <c r="G87" s="2" t="s">
        <v>58</v>
      </c>
      <c r="H87" s="1" t="str">
        <f t="shared" si="2"/>
        <v>0022</v>
      </c>
      <c r="I87" s="1" t="str">
        <f t="shared" si="3"/>
        <v>012</v>
      </c>
    </row>
    <row r="88" spans="1:9" ht="28.8" x14ac:dyDescent="0.3">
      <c r="A88" s="2" t="s">
        <v>93</v>
      </c>
      <c r="B88" s="2" t="s">
        <v>8</v>
      </c>
      <c r="C88" s="2" t="s">
        <v>69</v>
      </c>
      <c r="D88" s="2" t="s">
        <v>101</v>
      </c>
      <c r="E88" s="2" t="s">
        <v>32</v>
      </c>
      <c r="F88" s="2" t="s">
        <v>71</v>
      </c>
      <c r="G88" s="2" t="s">
        <v>72</v>
      </c>
      <c r="H88" s="1" t="str">
        <f t="shared" si="2"/>
        <v>0022</v>
      </c>
      <c r="I88" s="1" t="str">
        <f t="shared" si="3"/>
        <v>060</v>
      </c>
    </row>
    <row r="89" spans="1:9" ht="28.8" x14ac:dyDescent="0.3">
      <c r="A89" s="2" t="s">
        <v>108</v>
      </c>
      <c r="B89" s="2" t="s">
        <v>8</v>
      </c>
      <c r="C89" s="2" t="s">
        <v>79</v>
      </c>
      <c r="D89" s="2" t="s">
        <v>110</v>
      </c>
      <c r="E89" s="2" t="s">
        <v>56</v>
      </c>
      <c r="F89" s="2" t="s">
        <v>57</v>
      </c>
      <c r="G89" s="2" t="s">
        <v>58</v>
      </c>
      <c r="H89" s="1" t="str">
        <f t="shared" si="2"/>
        <v>0022</v>
      </c>
      <c r="I89" s="1" t="str">
        <f t="shared" si="3"/>
        <v>012</v>
      </c>
    </row>
    <row r="90" spans="1:9" ht="28.8" x14ac:dyDescent="0.3">
      <c r="A90" s="2" t="s">
        <v>108</v>
      </c>
      <c r="B90" s="2" t="s">
        <v>8</v>
      </c>
      <c r="C90" s="2" t="s">
        <v>69</v>
      </c>
      <c r="D90" s="2" t="s">
        <v>115</v>
      </c>
      <c r="E90" s="2" t="s">
        <v>32</v>
      </c>
      <c r="F90" s="2" t="s">
        <v>71</v>
      </c>
      <c r="G90" s="2" t="s">
        <v>72</v>
      </c>
      <c r="H90" s="1" t="str">
        <f t="shared" si="2"/>
        <v>0022</v>
      </c>
      <c r="I90" s="1" t="str">
        <f t="shared" si="3"/>
        <v>060</v>
      </c>
    </row>
    <row r="91" spans="1:9" ht="28.8" x14ac:dyDescent="0.3">
      <c r="A91" s="2" t="s">
        <v>335</v>
      </c>
      <c r="B91" s="2" t="s">
        <v>328</v>
      </c>
      <c r="C91" s="2" t="s">
        <v>79</v>
      </c>
      <c r="D91" s="2" t="s">
        <v>337</v>
      </c>
      <c r="E91" s="2" t="s">
        <v>56</v>
      </c>
      <c r="F91" s="2" t="s">
        <v>57</v>
      </c>
      <c r="G91" s="2" t="s">
        <v>58</v>
      </c>
      <c r="H91" s="1" t="str">
        <f t="shared" si="2"/>
        <v>0022</v>
      </c>
      <c r="I91" s="1" t="str">
        <f t="shared" si="3"/>
        <v>012</v>
      </c>
    </row>
    <row r="92" spans="1:9" ht="28.8" x14ac:dyDescent="0.3">
      <c r="A92" s="2" t="s">
        <v>335</v>
      </c>
      <c r="B92" s="2" t="s">
        <v>328</v>
      </c>
      <c r="C92" s="2" t="s">
        <v>69</v>
      </c>
      <c r="D92" s="2" t="s">
        <v>342</v>
      </c>
      <c r="E92" s="2" t="s">
        <v>32</v>
      </c>
      <c r="F92" s="2" t="s">
        <v>71</v>
      </c>
      <c r="G92" s="2" t="s">
        <v>72</v>
      </c>
      <c r="H92" s="1" t="str">
        <f t="shared" si="2"/>
        <v>0022</v>
      </c>
      <c r="I92" s="1" t="str">
        <f t="shared" si="3"/>
        <v>060</v>
      </c>
    </row>
    <row r="93" spans="1:9" ht="28.8" x14ac:dyDescent="0.3">
      <c r="A93" s="2" t="s">
        <v>346</v>
      </c>
      <c r="B93" s="2" t="s">
        <v>328</v>
      </c>
      <c r="C93" s="2" t="s">
        <v>79</v>
      </c>
      <c r="D93" s="2" t="s">
        <v>348</v>
      </c>
      <c r="E93" s="2" t="s">
        <v>56</v>
      </c>
      <c r="F93" s="2" t="s">
        <v>57</v>
      </c>
      <c r="G93" s="2" t="s">
        <v>58</v>
      </c>
      <c r="H93" s="1" t="str">
        <f t="shared" si="2"/>
        <v>0022</v>
      </c>
      <c r="I93" s="1" t="str">
        <f t="shared" si="3"/>
        <v>012</v>
      </c>
    </row>
    <row r="94" spans="1:9" ht="28.8" x14ac:dyDescent="0.3">
      <c r="A94" s="2" t="s">
        <v>346</v>
      </c>
      <c r="B94" s="2" t="s">
        <v>328</v>
      </c>
      <c r="C94" s="2" t="s">
        <v>69</v>
      </c>
      <c r="D94" s="2" t="s">
        <v>355</v>
      </c>
      <c r="E94" s="2" t="s">
        <v>32</v>
      </c>
      <c r="F94" s="2" t="s">
        <v>71</v>
      </c>
      <c r="G94" s="2" t="s">
        <v>72</v>
      </c>
      <c r="H94" s="1" t="str">
        <f t="shared" si="2"/>
        <v>0022</v>
      </c>
      <c r="I94" s="1" t="str">
        <f t="shared" si="3"/>
        <v>060</v>
      </c>
    </row>
    <row r="95" spans="1:9" ht="28.8" x14ac:dyDescent="0.3">
      <c r="A95" s="2" t="s">
        <v>358</v>
      </c>
      <c r="B95" s="2" t="s">
        <v>328</v>
      </c>
      <c r="C95" s="2" t="s">
        <v>79</v>
      </c>
      <c r="D95" s="2" t="s">
        <v>360</v>
      </c>
      <c r="E95" s="2" t="s">
        <v>56</v>
      </c>
      <c r="F95" s="2" t="s">
        <v>57</v>
      </c>
      <c r="G95" s="2" t="s">
        <v>58</v>
      </c>
      <c r="H95" s="1" t="str">
        <f t="shared" si="2"/>
        <v>0022</v>
      </c>
      <c r="I95" s="1" t="str">
        <f t="shared" si="3"/>
        <v>012</v>
      </c>
    </row>
    <row r="96" spans="1:9" ht="28.8" x14ac:dyDescent="0.3">
      <c r="A96" s="2" t="s">
        <v>358</v>
      </c>
      <c r="B96" s="2" t="s">
        <v>328</v>
      </c>
      <c r="C96" s="2" t="s">
        <v>69</v>
      </c>
      <c r="D96" s="2" t="s">
        <v>365</v>
      </c>
      <c r="E96" s="2" t="s">
        <v>32</v>
      </c>
      <c r="F96" s="2" t="s">
        <v>71</v>
      </c>
      <c r="G96" s="2" t="s">
        <v>72</v>
      </c>
      <c r="H96" s="1" t="str">
        <f t="shared" si="2"/>
        <v>0022</v>
      </c>
      <c r="I96" s="1" t="str">
        <f t="shared" si="3"/>
        <v>060</v>
      </c>
    </row>
    <row r="97" spans="1:9" x14ac:dyDescent="0.3">
      <c r="A97" s="2" t="s">
        <v>140</v>
      </c>
      <c r="B97" s="2" t="s">
        <v>44</v>
      </c>
      <c r="C97" s="2" t="s">
        <v>141</v>
      </c>
      <c r="D97" s="2" t="s">
        <v>142</v>
      </c>
      <c r="E97" s="2" t="s">
        <v>56</v>
      </c>
      <c r="F97" s="2" t="s">
        <v>57</v>
      </c>
      <c r="G97" s="2" t="s">
        <v>58</v>
      </c>
      <c r="H97" s="1" t="str">
        <f t="shared" si="2"/>
        <v>0024</v>
      </c>
      <c r="I97" s="1" t="str">
        <f t="shared" si="3"/>
        <v>012</v>
      </c>
    </row>
    <row r="98" spans="1:9" x14ac:dyDescent="0.3">
      <c r="A98" s="2" t="s">
        <v>240</v>
      </c>
      <c r="B98" s="2" t="s">
        <v>93</v>
      </c>
      <c r="C98" s="2" t="s">
        <v>141</v>
      </c>
      <c r="D98" s="2" t="s">
        <v>241</v>
      </c>
      <c r="E98" s="2" t="s">
        <v>56</v>
      </c>
      <c r="F98" s="2" t="s">
        <v>57</v>
      </c>
      <c r="G98" s="2" t="s">
        <v>58</v>
      </c>
      <c r="H98" s="1" t="str">
        <f t="shared" si="2"/>
        <v>0024</v>
      </c>
      <c r="I98" s="1" t="str">
        <f t="shared" si="3"/>
        <v>012</v>
      </c>
    </row>
    <row r="99" spans="1:9" x14ac:dyDescent="0.3">
      <c r="A99" s="2" t="s">
        <v>284</v>
      </c>
      <c r="B99" s="2" t="s">
        <v>108</v>
      </c>
      <c r="C99" s="2" t="s">
        <v>141</v>
      </c>
      <c r="D99" s="2" t="s">
        <v>285</v>
      </c>
      <c r="E99" s="2" t="s">
        <v>56</v>
      </c>
      <c r="F99" s="2" t="s">
        <v>57</v>
      </c>
      <c r="G99" s="2" t="s">
        <v>58</v>
      </c>
      <c r="H99" s="1" t="str">
        <f t="shared" si="2"/>
        <v>0024</v>
      </c>
      <c r="I99" s="1" t="str">
        <f t="shared" si="3"/>
        <v>012</v>
      </c>
    </row>
    <row r="100" spans="1:9" x14ac:dyDescent="0.3">
      <c r="A100" s="2" t="s">
        <v>381</v>
      </c>
      <c r="B100" s="2" t="s">
        <v>335</v>
      </c>
      <c r="C100" s="2" t="s">
        <v>141</v>
      </c>
      <c r="D100" s="2" t="s">
        <v>382</v>
      </c>
      <c r="E100" s="2" t="s">
        <v>56</v>
      </c>
      <c r="F100" s="2" t="s">
        <v>57</v>
      </c>
      <c r="G100" s="2" t="s">
        <v>58</v>
      </c>
      <c r="H100" s="1" t="str">
        <f t="shared" si="2"/>
        <v>0024</v>
      </c>
      <c r="I100" s="1" t="str">
        <f t="shared" si="3"/>
        <v>012</v>
      </c>
    </row>
    <row r="101" spans="1:9" x14ac:dyDescent="0.3">
      <c r="A101" s="2" t="s">
        <v>429</v>
      </c>
      <c r="B101" s="2" t="s">
        <v>346</v>
      </c>
      <c r="C101" s="2" t="s">
        <v>141</v>
      </c>
      <c r="D101" s="2" t="s">
        <v>430</v>
      </c>
      <c r="E101" s="2" t="s">
        <v>56</v>
      </c>
      <c r="F101" s="2" t="s">
        <v>57</v>
      </c>
      <c r="G101" s="2" t="s">
        <v>58</v>
      </c>
      <c r="H101" s="1" t="str">
        <f t="shared" si="2"/>
        <v>0024</v>
      </c>
      <c r="I101" s="1" t="str">
        <f t="shared" si="3"/>
        <v>012</v>
      </c>
    </row>
    <row r="102" spans="1:9" x14ac:dyDescent="0.3">
      <c r="A102" s="2" t="s">
        <v>472</v>
      </c>
      <c r="B102" s="2" t="s">
        <v>358</v>
      </c>
      <c r="C102" s="2" t="s">
        <v>141</v>
      </c>
      <c r="D102" s="2" t="s">
        <v>473</v>
      </c>
      <c r="E102" s="2" t="s">
        <v>56</v>
      </c>
      <c r="F102" s="2" t="s">
        <v>57</v>
      </c>
      <c r="G102" s="2" t="s">
        <v>58</v>
      </c>
      <c r="H102" s="1" t="str">
        <f t="shared" si="2"/>
        <v>0024</v>
      </c>
      <c r="I102" s="1" t="str">
        <f t="shared" si="3"/>
        <v>012</v>
      </c>
    </row>
    <row r="103" spans="1:9" ht="28.8" x14ac:dyDescent="0.3">
      <c r="A103" s="2" t="s">
        <v>134</v>
      </c>
      <c r="B103" s="2" t="s">
        <v>122</v>
      </c>
      <c r="C103" s="2" t="s">
        <v>135</v>
      </c>
      <c r="D103" s="2" t="s">
        <v>136</v>
      </c>
      <c r="E103" s="2" t="s">
        <v>56</v>
      </c>
      <c r="F103" s="2" t="s">
        <v>57</v>
      </c>
      <c r="G103" s="2" t="s">
        <v>58</v>
      </c>
      <c r="H103" s="1" t="str">
        <f t="shared" si="2"/>
        <v>0026</v>
      </c>
      <c r="I103" s="1" t="str">
        <f t="shared" si="3"/>
        <v>012</v>
      </c>
    </row>
    <row r="104" spans="1:9" ht="28.8" x14ac:dyDescent="0.3">
      <c r="A104" s="2" t="s">
        <v>134</v>
      </c>
      <c r="B104" s="2" t="s">
        <v>122</v>
      </c>
      <c r="C104" s="2" t="s">
        <v>137</v>
      </c>
      <c r="D104" s="2" t="s">
        <v>138</v>
      </c>
      <c r="E104" s="2" t="s">
        <v>75</v>
      </c>
      <c r="F104" s="2" t="s">
        <v>33</v>
      </c>
      <c r="G104" s="2" t="s">
        <v>76</v>
      </c>
      <c r="H104" s="1" t="str">
        <f t="shared" si="2"/>
        <v>0026</v>
      </c>
      <c r="I104" s="1" t="str">
        <f t="shared" si="3"/>
        <v>120</v>
      </c>
    </row>
    <row r="105" spans="1:9" ht="28.8" x14ac:dyDescent="0.3">
      <c r="A105" s="2" t="s">
        <v>181</v>
      </c>
      <c r="B105" s="2" t="s">
        <v>29</v>
      </c>
      <c r="C105" s="2" t="s">
        <v>135</v>
      </c>
      <c r="D105" s="2" t="s">
        <v>136</v>
      </c>
      <c r="E105" s="2" t="s">
        <v>56</v>
      </c>
      <c r="F105" s="2" t="s">
        <v>57</v>
      </c>
      <c r="G105" s="2" t="s">
        <v>58</v>
      </c>
      <c r="H105" s="1" t="str">
        <f t="shared" si="2"/>
        <v>0026</v>
      </c>
      <c r="I105" s="1" t="str">
        <f t="shared" si="3"/>
        <v>012</v>
      </c>
    </row>
    <row r="106" spans="1:9" ht="28.8" x14ac:dyDescent="0.3">
      <c r="A106" s="2" t="s">
        <v>181</v>
      </c>
      <c r="B106" s="2" t="s">
        <v>29</v>
      </c>
      <c r="C106" s="2" t="s">
        <v>137</v>
      </c>
      <c r="D106" s="2" t="s">
        <v>138</v>
      </c>
      <c r="E106" s="2" t="s">
        <v>75</v>
      </c>
      <c r="F106" s="2" t="s">
        <v>33</v>
      </c>
      <c r="G106" s="2" t="s">
        <v>76</v>
      </c>
      <c r="H106" s="1" t="str">
        <f t="shared" si="2"/>
        <v>0026</v>
      </c>
      <c r="I106" s="1" t="str">
        <f t="shared" si="3"/>
        <v>120</v>
      </c>
    </row>
    <row r="107" spans="1:9" ht="28.8" x14ac:dyDescent="0.3">
      <c r="A107" s="2" t="s">
        <v>238</v>
      </c>
      <c r="B107" s="2" t="s">
        <v>229</v>
      </c>
      <c r="C107" s="2" t="s">
        <v>135</v>
      </c>
      <c r="D107" s="2" t="s">
        <v>136</v>
      </c>
      <c r="E107" s="2" t="s">
        <v>56</v>
      </c>
      <c r="F107" s="2" t="s">
        <v>57</v>
      </c>
      <c r="G107" s="2" t="s">
        <v>58</v>
      </c>
      <c r="H107" s="1" t="str">
        <f t="shared" si="2"/>
        <v>0026</v>
      </c>
      <c r="I107" s="1" t="str">
        <f t="shared" si="3"/>
        <v>012</v>
      </c>
    </row>
    <row r="108" spans="1:9" ht="28.8" x14ac:dyDescent="0.3">
      <c r="A108" s="2" t="s">
        <v>238</v>
      </c>
      <c r="B108" s="2" t="s">
        <v>229</v>
      </c>
      <c r="C108" s="2" t="s">
        <v>137</v>
      </c>
      <c r="D108" s="2" t="s">
        <v>138</v>
      </c>
      <c r="E108" s="2" t="s">
        <v>75</v>
      </c>
      <c r="F108" s="2" t="s">
        <v>33</v>
      </c>
      <c r="G108" s="2" t="s">
        <v>76</v>
      </c>
      <c r="H108" s="1" t="str">
        <f t="shared" si="2"/>
        <v>0026</v>
      </c>
      <c r="I108" s="1" t="str">
        <f t="shared" si="3"/>
        <v>120</v>
      </c>
    </row>
    <row r="109" spans="1:9" ht="28.8" x14ac:dyDescent="0.3">
      <c r="A109" s="2" t="s">
        <v>282</v>
      </c>
      <c r="B109" s="2" t="s">
        <v>273</v>
      </c>
      <c r="C109" s="2" t="s">
        <v>135</v>
      </c>
      <c r="D109" s="2" t="s">
        <v>136</v>
      </c>
      <c r="E109" s="2" t="s">
        <v>56</v>
      </c>
      <c r="F109" s="2" t="s">
        <v>57</v>
      </c>
      <c r="G109" s="2" t="s">
        <v>58</v>
      </c>
      <c r="H109" s="1" t="str">
        <f t="shared" si="2"/>
        <v>0026</v>
      </c>
      <c r="I109" s="1" t="str">
        <f t="shared" si="3"/>
        <v>012</v>
      </c>
    </row>
    <row r="110" spans="1:9" ht="28.8" x14ac:dyDescent="0.3">
      <c r="A110" s="2" t="s">
        <v>282</v>
      </c>
      <c r="B110" s="2" t="s">
        <v>273</v>
      </c>
      <c r="C110" s="2" t="s">
        <v>137</v>
      </c>
      <c r="D110" s="2" t="s">
        <v>138</v>
      </c>
      <c r="E110" s="2" t="s">
        <v>75</v>
      </c>
      <c r="F110" s="2" t="s">
        <v>33</v>
      </c>
      <c r="G110" s="2" t="s">
        <v>76</v>
      </c>
      <c r="H110" s="1" t="str">
        <f t="shared" si="2"/>
        <v>0026</v>
      </c>
      <c r="I110" s="1" t="str">
        <f t="shared" si="3"/>
        <v>120</v>
      </c>
    </row>
    <row r="111" spans="1:9" ht="28.8" x14ac:dyDescent="0.3">
      <c r="A111" s="2" t="s">
        <v>379</v>
      </c>
      <c r="B111" s="2" t="s">
        <v>370</v>
      </c>
      <c r="C111" s="2" t="s">
        <v>135</v>
      </c>
      <c r="D111" s="2" t="s">
        <v>136</v>
      </c>
      <c r="E111" s="2" t="s">
        <v>56</v>
      </c>
      <c r="F111" s="2" t="s">
        <v>57</v>
      </c>
      <c r="G111" s="2" t="s">
        <v>58</v>
      </c>
      <c r="H111" s="1" t="str">
        <f t="shared" si="2"/>
        <v>0026</v>
      </c>
      <c r="I111" s="1" t="str">
        <f t="shared" si="3"/>
        <v>012</v>
      </c>
    </row>
    <row r="112" spans="1:9" ht="28.8" x14ac:dyDescent="0.3">
      <c r="A112" s="2" t="s">
        <v>379</v>
      </c>
      <c r="B112" s="2" t="s">
        <v>370</v>
      </c>
      <c r="C112" s="2" t="s">
        <v>137</v>
      </c>
      <c r="D112" s="2" t="s">
        <v>138</v>
      </c>
      <c r="E112" s="2" t="s">
        <v>75</v>
      </c>
      <c r="F112" s="2" t="s">
        <v>33</v>
      </c>
      <c r="G112" s="2" t="s">
        <v>76</v>
      </c>
      <c r="H112" s="1" t="str">
        <f t="shared" si="2"/>
        <v>0026</v>
      </c>
      <c r="I112" s="1" t="str">
        <f t="shared" si="3"/>
        <v>120</v>
      </c>
    </row>
    <row r="113" spans="1:9" ht="28.8" x14ac:dyDescent="0.3">
      <c r="A113" s="2" t="s">
        <v>427</v>
      </c>
      <c r="B113" s="2" t="s">
        <v>418</v>
      </c>
      <c r="C113" s="2" t="s">
        <v>135</v>
      </c>
      <c r="D113" s="2" t="s">
        <v>136</v>
      </c>
      <c r="E113" s="2" t="s">
        <v>56</v>
      </c>
      <c r="F113" s="2" t="s">
        <v>57</v>
      </c>
      <c r="G113" s="2" t="s">
        <v>58</v>
      </c>
      <c r="H113" s="1" t="str">
        <f t="shared" si="2"/>
        <v>0026</v>
      </c>
      <c r="I113" s="1" t="str">
        <f t="shared" si="3"/>
        <v>012</v>
      </c>
    </row>
    <row r="114" spans="1:9" ht="28.8" x14ac:dyDescent="0.3">
      <c r="A114" s="2" t="s">
        <v>427</v>
      </c>
      <c r="B114" s="2" t="s">
        <v>418</v>
      </c>
      <c r="C114" s="2" t="s">
        <v>137</v>
      </c>
      <c r="D114" s="2" t="s">
        <v>138</v>
      </c>
      <c r="E114" s="2" t="s">
        <v>75</v>
      </c>
      <c r="F114" s="2" t="s">
        <v>33</v>
      </c>
      <c r="G114" s="2" t="s">
        <v>76</v>
      </c>
      <c r="H114" s="1" t="str">
        <f t="shared" si="2"/>
        <v>0026</v>
      </c>
      <c r="I114" s="1" t="str">
        <f t="shared" si="3"/>
        <v>120</v>
      </c>
    </row>
    <row r="115" spans="1:9" ht="28.8" x14ac:dyDescent="0.3">
      <c r="A115" s="2" t="s">
        <v>470</v>
      </c>
      <c r="B115" s="2" t="s">
        <v>461</v>
      </c>
      <c r="C115" s="2" t="s">
        <v>135</v>
      </c>
      <c r="D115" s="2" t="s">
        <v>136</v>
      </c>
      <c r="E115" s="2" t="s">
        <v>56</v>
      </c>
      <c r="F115" s="2" t="s">
        <v>57</v>
      </c>
      <c r="G115" s="2" t="s">
        <v>58</v>
      </c>
      <c r="H115" s="1" t="str">
        <f t="shared" si="2"/>
        <v>0026</v>
      </c>
      <c r="I115" s="1" t="str">
        <f t="shared" si="3"/>
        <v>012</v>
      </c>
    </row>
    <row r="116" spans="1:9" ht="28.8" x14ac:dyDescent="0.3">
      <c r="A116" s="2" t="s">
        <v>470</v>
      </c>
      <c r="B116" s="2" t="s">
        <v>461</v>
      </c>
      <c r="C116" s="2" t="s">
        <v>137</v>
      </c>
      <c r="D116" s="2" t="s">
        <v>138</v>
      </c>
      <c r="E116" s="2" t="s">
        <v>75</v>
      </c>
      <c r="F116" s="2" t="s">
        <v>33</v>
      </c>
      <c r="G116" s="2" t="s">
        <v>76</v>
      </c>
      <c r="H116" s="1" t="str">
        <f t="shared" si="2"/>
        <v>0026</v>
      </c>
      <c r="I116" s="1" t="str">
        <f t="shared" si="3"/>
        <v>120</v>
      </c>
    </row>
    <row r="117" spans="1:9" x14ac:dyDescent="0.3">
      <c r="A117" s="2" t="s">
        <v>130</v>
      </c>
      <c r="B117" s="2" t="s">
        <v>44</v>
      </c>
      <c r="C117" s="2" t="s">
        <v>131</v>
      </c>
      <c r="D117" s="2" t="s">
        <v>132</v>
      </c>
      <c r="E117" s="2" t="s">
        <v>56</v>
      </c>
      <c r="F117" s="2" t="s">
        <v>57</v>
      </c>
      <c r="G117" s="2" t="s">
        <v>58</v>
      </c>
      <c r="H117" s="1" t="str">
        <f t="shared" si="2"/>
        <v>0028</v>
      </c>
      <c r="I117" s="1" t="str">
        <f t="shared" si="3"/>
        <v>012</v>
      </c>
    </row>
    <row r="118" spans="1:9" ht="28.8" x14ac:dyDescent="0.3">
      <c r="A118" s="2" t="s">
        <v>255</v>
      </c>
      <c r="B118" s="2" t="s">
        <v>256</v>
      </c>
      <c r="C118" s="2" t="s">
        <v>131</v>
      </c>
      <c r="D118" s="2" t="s">
        <v>257</v>
      </c>
      <c r="E118" s="2" t="s">
        <v>56</v>
      </c>
      <c r="F118" s="2" t="s">
        <v>57</v>
      </c>
      <c r="G118" s="2" t="s">
        <v>58</v>
      </c>
      <c r="H118" s="1" t="str">
        <f t="shared" si="2"/>
        <v>0028</v>
      </c>
      <c r="I118" s="1" t="str">
        <f t="shared" si="3"/>
        <v>012</v>
      </c>
    </row>
    <row r="119" spans="1:9" ht="28.8" x14ac:dyDescent="0.3">
      <c r="A119" s="2" t="s">
        <v>299</v>
      </c>
      <c r="B119" s="2" t="s">
        <v>300</v>
      </c>
      <c r="C119" s="2" t="s">
        <v>131</v>
      </c>
      <c r="D119" s="2" t="s">
        <v>257</v>
      </c>
      <c r="E119" s="2" t="s">
        <v>56</v>
      </c>
      <c r="F119" s="2" t="s">
        <v>57</v>
      </c>
      <c r="G119" s="2" t="s">
        <v>58</v>
      </c>
      <c r="H119" s="1" t="str">
        <f t="shared" si="2"/>
        <v>0028</v>
      </c>
      <c r="I119" s="1" t="str">
        <f t="shared" si="3"/>
        <v>012</v>
      </c>
    </row>
    <row r="120" spans="1:9" ht="28.8" x14ac:dyDescent="0.3">
      <c r="A120" s="2" t="s">
        <v>399</v>
      </c>
      <c r="B120" s="2" t="s">
        <v>400</v>
      </c>
      <c r="C120" s="2" t="s">
        <v>131</v>
      </c>
      <c r="D120" s="2" t="s">
        <v>257</v>
      </c>
      <c r="E120" s="2" t="s">
        <v>56</v>
      </c>
      <c r="F120" s="2" t="s">
        <v>57</v>
      </c>
      <c r="G120" s="2" t="s">
        <v>58</v>
      </c>
      <c r="H120" s="1" t="str">
        <f t="shared" si="2"/>
        <v>0028</v>
      </c>
      <c r="I120" s="1" t="str">
        <f t="shared" si="3"/>
        <v>012</v>
      </c>
    </row>
    <row r="121" spans="1:9" ht="28.8" x14ac:dyDescent="0.3">
      <c r="A121" s="2" t="s">
        <v>444</v>
      </c>
      <c r="B121" s="2" t="s">
        <v>445</v>
      </c>
      <c r="C121" s="2" t="s">
        <v>131</v>
      </c>
      <c r="D121" s="2" t="s">
        <v>257</v>
      </c>
      <c r="E121" s="2" t="s">
        <v>56</v>
      </c>
      <c r="F121" s="2" t="s">
        <v>57</v>
      </c>
      <c r="G121" s="2" t="s">
        <v>58</v>
      </c>
      <c r="H121" s="1" t="str">
        <f t="shared" si="2"/>
        <v>0028</v>
      </c>
      <c r="I121" s="1" t="str">
        <f t="shared" si="3"/>
        <v>012</v>
      </c>
    </row>
    <row r="122" spans="1:9" ht="28.8" x14ac:dyDescent="0.3">
      <c r="A122" s="2" t="s">
        <v>487</v>
      </c>
      <c r="B122" s="2" t="s">
        <v>488</v>
      </c>
      <c r="C122" s="2" t="s">
        <v>131</v>
      </c>
      <c r="D122" s="2" t="s">
        <v>257</v>
      </c>
      <c r="E122" s="2" t="s">
        <v>56</v>
      </c>
      <c r="F122" s="2" t="s">
        <v>57</v>
      </c>
      <c r="G122" s="2" t="s">
        <v>58</v>
      </c>
      <c r="H122" s="1" t="str">
        <f t="shared" si="2"/>
        <v>0028</v>
      </c>
      <c r="I122" s="1" t="str">
        <f t="shared" si="3"/>
        <v>012</v>
      </c>
    </row>
    <row r="123" spans="1:9" ht="28.8" x14ac:dyDescent="0.3">
      <c r="A123" s="2" t="s">
        <v>44</v>
      </c>
      <c r="B123" s="2" t="s">
        <v>8</v>
      </c>
      <c r="C123" s="2" t="s">
        <v>81</v>
      </c>
      <c r="D123" s="2" t="s">
        <v>82</v>
      </c>
      <c r="E123" s="2" t="s">
        <v>56</v>
      </c>
      <c r="F123" s="2" t="s">
        <v>57</v>
      </c>
      <c r="G123" s="2" t="s">
        <v>58</v>
      </c>
      <c r="H123" s="1" t="str">
        <f t="shared" si="2"/>
        <v>0038</v>
      </c>
      <c r="I123" s="1" t="str">
        <f t="shared" si="3"/>
        <v>012</v>
      </c>
    </row>
    <row r="124" spans="1:9" ht="28.8" x14ac:dyDescent="0.3">
      <c r="A124" s="2" t="s">
        <v>93</v>
      </c>
      <c r="B124" s="2" t="s">
        <v>8</v>
      </c>
      <c r="C124" s="2" t="s">
        <v>81</v>
      </c>
      <c r="D124" s="2" t="s">
        <v>97</v>
      </c>
      <c r="E124" s="2" t="s">
        <v>56</v>
      </c>
      <c r="F124" s="2" t="s">
        <v>57</v>
      </c>
      <c r="G124" s="2" t="s">
        <v>58</v>
      </c>
      <c r="H124" s="1" t="str">
        <f t="shared" si="2"/>
        <v>0038</v>
      </c>
      <c r="I124" s="1" t="str">
        <f t="shared" si="3"/>
        <v>012</v>
      </c>
    </row>
    <row r="125" spans="1:9" ht="28.8" x14ac:dyDescent="0.3">
      <c r="A125" s="2" t="s">
        <v>108</v>
      </c>
      <c r="B125" s="2" t="s">
        <v>8</v>
      </c>
      <c r="C125" s="2" t="s">
        <v>81</v>
      </c>
      <c r="D125" s="2" t="s">
        <v>111</v>
      </c>
      <c r="E125" s="2" t="s">
        <v>56</v>
      </c>
      <c r="F125" s="2" t="s">
        <v>57</v>
      </c>
      <c r="G125" s="2" t="s">
        <v>58</v>
      </c>
      <c r="H125" s="1" t="str">
        <f t="shared" si="2"/>
        <v>0038</v>
      </c>
      <c r="I125" s="1" t="str">
        <f t="shared" si="3"/>
        <v>012</v>
      </c>
    </row>
    <row r="126" spans="1:9" ht="28.8" x14ac:dyDescent="0.3">
      <c r="A126" s="2" t="s">
        <v>335</v>
      </c>
      <c r="B126" s="2" t="s">
        <v>328</v>
      </c>
      <c r="C126" s="2" t="s">
        <v>81</v>
      </c>
      <c r="D126" s="2" t="s">
        <v>338</v>
      </c>
      <c r="E126" s="2" t="s">
        <v>56</v>
      </c>
      <c r="F126" s="2" t="s">
        <v>57</v>
      </c>
      <c r="G126" s="2" t="s">
        <v>58</v>
      </c>
      <c r="H126" s="1" t="str">
        <f t="shared" si="2"/>
        <v>0038</v>
      </c>
      <c r="I126" s="1" t="str">
        <f t="shared" si="3"/>
        <v>012</v>
      </c>
    </row>
    <row r="127" spans="1:9" ht="28.8" x14ac:dyDescent="0.3">
      <c r="A127" s="2" t="s">
        <v>346</v>
      </c>
      <c r="B127" s="2" t="s">
        <v>328</v>
      </c>
      <c r="C127" s="2" t="s">
        <v>81</v>
      </c>
      <c r="D127" s="2" t="s">
        <v>349</v>
      </c>
      <c r="E127" s="2" t="s">
        <v>56</v>
      </c>
      <c r="F127" s="2" t="s">
        <v>57</v>
      </c>
      <c r="G127" s="2" t="s">
        <v>58</v>
      </c>
      <c r="H127" s="1" t="str">
        <f t="shared" si="2"/>
        <v>0038</v>
      </c>
      <c r="I127" s="1" t="str">
        <f t="shared" si="3"/>
        <v>012</v>
      </c>
    </row>
    <row r="128" spans="1:9" ht="28.8" x14ac:dyDescent="0.3">
      <c r="A128" s="2" t="s">
        <v>358</v>
      </c>
      <c r="B128" s="2" t="s">
        <v>328</v>
      </c>
      <c r="C128" s="2" t="s">
        <v>81</v>
      </c>
      <c r="D128" s="2" t="s">
        <v>361</v>
      </c>
      <c r="E128" s="2" t="s">
        <v>56</v>
      </c>
      <c r="F128" s="2" t="s">
        <v>57</v>
      </c>
      <c r="G128" s="2" t="s">
        <v>58</v>
      </c>
      <c r="H128" s="1" t="str">
        <f t="shared" si="2"/>
        <v>0038</v>
      </c>
      <c r="I128" s="1" t="str">
        <f t="shared" si="3"/>
        <v>012</v>
      </c>
    </row>
    <row r="129" spans="1:9" x14ac:dyDescent="0.3">
      <c r="A129" s="2" t="s">
        <v>122</v>
      </c>
      <c r="B129" s="2" t="s">
        <v>44</v>
      </c>
      <c r="C129" s="2" t="s">
        <v>123</v>
      </c>
      <c r="D129" s="2" t="s">
        <v>124</v>
      </c>
      <c r="E129" s="2" t="s">
        <v>56</v>
      </c>
      <c r="F129" s="2" t="s">
        <v>57</v>
      </c>
      <c r="G129" s="2" t="s">
        <v>58</v>
      </c>
      <c r="H129" s="1" t="str">
        <f t="shared" si="2"/>
        <v>0042</v>
      </c>
      <c r="I129" s="1" t="str">
        <f t="shared" si="3"/>
        <v>012</v>
      </c>
    </row>
    <row r="130" spans="1:9" x14ac:dyDescent="0.3">
      <c r="A130" s="2" t="s">
        <v>229</v>
      </c>
      <c r="B130" s="2" t="s">
        <v>93</v>
      </c>
      <c r="C130" s="2" t="s">
        <v>123</v>
      </c>
      <c r="D130" s="2" t="s">
        <v>230</v>
      </c>
      <c r="E130" s="2" t="s">
        <v>56</v>
      </c>
      <c r="F130" s="2" t="s">
        <v>57</v>
      </c>
      <c r="G130" s="2" t="s">
        <v>58</v>
      </c>
      <c r="H130" s="1" t="str">
        <f t="shared" ref="H130:H193" si="4">IF(LEN(D130)&gt;19,MID(D130,17,4),"")</f>
        <v>0042</v>
      </c>
      <c r="I130" s="1" t="str">
        <f t="shared" ref="I130:I193" si="5">IF(LEN(D130)&gt;19,MID(D130,13,3),"")</f>
        <v>012</v>
      </c>
    </row>
    <row r="131" spans="1:9" x14ac:dyDescent="0.3">
      <c r="A131" s="2" t="s">
        <v>273</v>
      </c>
      <c r="B131" s="2" t="s">
        <v>108</v>
      </c>
      <c r="C131" s="2" t="s">
        <v>123</v>
      </c>
      <c r="D131" s="2" t="s">
        <v>274</v>
      </c>
      <c r="E131" s="2" t="s">
        <v>56</v>
      </c>
      <c r="F131" s="2" t="s">
        <v>57</v>
      </c>
      <c r="G131" s="2" t="s">
        <v>58</v>
      </c>
      <c r="H131" s="1" t="str">
        <f t="shared" si="4"/>
        <v>0042</v>
      </c>
      <c r="I131" s="1" t="str">
        <f t="shared" si="5"/>
        <v>012</v>
      </c>
    </row>
    <row r="132" spans="1:9" x14ac:dyDescent="0.3">
      <c r="A132" s="2" t="s">
        <v>370</v>
      </c>
      <c r="B132" s="2" t="s">
        <v>335</v>
      </c>
      <c r="C132" s="2" t="s">
        <v>123</v>
      </c>
      <c r="D132" s="2" t="s">
        <v>371</v>
      </c>
      <c r="E132" s="2" t="s">
        <v>56</v>
      </c>
      <c r="F132" s="2" t="s">
        <v>57</v>
      </c>
      <c r="G132" s="2" t="s">
        <v>58</v>
      </c>
      <c r="H132" s="1" t="str">
        <f t="shared" si="4"/>
        <v>0042</v>
      </c>
      <c r="I132" s="1" t="str">
        <f t="shared" si="5"/>
        <v>012</v>
      </c>
    </row>
    <row r="133" spans="1:9" x14ac:dyDescent="0.3">
      <c r="A133" s="2" t="s">
        <v>418</v>
      </c>
      <c r="B133" s="2" t="s">
        <v>346</v>
      </c>
      <c r="C133" s="2" t="s">
        <v>123</v>
      </c>
      <c r="D133" s="2" t="s">
        <v>419</v>
      </c>
      <c r="E133" s="2" t="s">
        <v>56</v>
      </c>
      <c r="F133" s="2" t="s">
        <v>57</v>
      </c>
      <c r="G133" s="2" t="s">
        <v>58</v>
      </c>
      <c r="H133" s="1" t="str">
        <f t="shared" si="4"/>
        <v>0042</v>
      </c>
      <c r="I133" s="1" t="str">
        <f t="shared" si="5"/>
        <v>012</v>
      </c>
    </row>
    <row r="134" spans="1:9" x14ac:dyDescent="0.3">
      <c r="A134" s="2" t="s">
        <v>461</v>
      </c>
      <c r="B134" s="2" t="s">
        <v>358</v>
      </c>
      <c r="C134" s="2" t="s">
        <v>123</v>
      </c>
      <c r="D134" s="2" t="s">
        <v>462</v>
      </c>
      <c r="E134" s="2" t="s">
        <v>56</v>
      </c>
      <c r="F134" s="2" t="s">
        <v>57</v>
      </c>
      <c r="G134" s="2" t="s">
        <v>58</v>
      </c>
      <c r="H134" s="1" t="str">
        <f t="shared" si="4"/>
        <v>0042</v>
      </c>
      <c r="I134" s="1" t="str">
        <f t="shared" si="5"/>
        <v>012</v>
      </c>
    </row>
    <row r="135" spans="1:9" ht="28.8" x14ac:dyDescent="0.3">
      <c r="A135" s="2" t="s">
        <v>184</v>
      </c>
      <c r="B135" s="2" t="s">
        <v>44</v>
      </c>
      <c r="C135" s="2" t="s">
        <v>210</v>
      </c>
      <c r="D135" s="2" t="s">
        <v>211</v>
      </c>
      <c r="E135" s="2" t="s">
        <v>56</v>
      </c>
      <c r="F135" s="2" t="s">
        <v>167</v>
      </c>
      <c r="G135" s="2" t="s">
        <v>168</v>
      </c>
      <c r="H135" s="1" t="str">
        <f t="shared" si="4"/>
        <v>0050</v>
      </c>
      <c r="I135" s="1" t="str">
        <f t="shared" si="5"/>
        <v>012</v>
      </c>
    </row>
    <row r="136" spans="1:9" ht="28.8" x14ac:dyDescent="0.3">
      <c r="A136" s="2" t="s">
        <v>184</v>
      </c>
      <c r="B136" s="2" t="s">
        <v>44</v>
      </c>
      <c r="C136" s="2" t="s">
        <v>212</v>
      </c>
      <c r="D136" s="2" t="s">
        <v>213</v>
      </c>
      <c r="E136" s="2" t="s">
        <v>65</v>
      </c>
      <c r="F136" s="2" t="s">
        <v>66</v>
      </c>
      <c r="G136" s="2" t="s">
        <v>67</v>
      </c>
      <c r="H136" s="1" t="str">
        <f t="shared" si="4"/>
        <v>0050</v>
      </c>
      <c r="I136" s="1" t="str">
        <f t="shared" si="5"/>
        <v>024</v>
      </c>
    </row>
    <row r="137" spans="1:9" ht="28.8" x14ac:dyDescent="0.3">
      <c r="A137" s="2" t="s">
        <v>184</v>
      </c>
      <c r="B137" s="2" t="s">
        <v>44</v>
      </c>
      <c r="C137" s="2" t="s">
        <v>214</v>
      </c>
      <c r="D137" s="2" t="s">
        <v>215</v>
      </c>
      <c r="E137" s="2" t="s">
        <v>32</v>
      </c>
      <c r="F137" s="2" t="s">
        <v>33</v>
      </c>
      <c r="G137" s="2" t="s">
        <v>23</v>
      </c>
      <c r="H137" s="1" t="str">
        <f t="shared" si="4"/>
        <v>0050</v>
      </c>
      <c r="I137" s="1" t="str">
        <f t="shared" si="5"/>
        <v>060</v>
      </c>
    </row>
    <row r="138" spans="1:9" ht="28.8" x14ac:dyDescent="0.3">
      <c r="A138" s="2" t="s">
        <v>251</v>
      </c>
      <c r="B138" s="2" t="s">
        <v>93</v>
      </c>
      <c r="C138" s="2" t="s">
        <v>210</v>
      </c>
      <c r="D138" s="2" t="s">
        <v>211</v>
      </c>
      <c r="E138" s="2" t="s">
        <v>56</v>
      </c>
      <c r="F138" s="2" t="s">
        <v>167</v>
      </c>
      <c r="G138" s="2" t="s">
        <v>168</v>
      </c>
      <c r="H138" s="1" t="str">
        <f t="shared" si="4"/>
        <v>0050</v>
      </c>
      <c r="I138" s="1" t="str">
        <f t="shared" si="5"/>
        <v>012</v>
      </c>
    </row>
    <row r="139" spans="1:9" ht="28.8" x14ac:dyDescent="0.3">
      <c r="A139" s="2" t="s">
        <v>251</v>
      </c>
      <c r="B139" s="2" t="s">
        <v>93</v>
      </c>
      <c r="C139" s="2" t="s">
        <v>212</v>
      </c>
      <c r="D139" s="2" t="s">
        <v>213</v>
      </c>
      <c r="E139" s="2" t="s">
        <v>65</v>
      </c>
      <c r="F139" s="2" t="s">
        <v>66</v>
      </c>
      <c r="G139" s="2" t="s">
        <v>67</v>
      </c>
      <c r="H139" s="1" t="str">
        <f t="shared" si="4"/>
        <v>0050</v>
      </c>
      <c r="I139" s="1" t="str">
        <f t="shared" si="5"/>
        <v>024</v>
      </c>
    </row>
    <row r="140" spans="1:9" ht="28.8" x14ac:dyDescent="0.3">
      <c r="A140" s="2" t="s">
        <v>251</v>
      </c>
      <c r="B140" s="2" t="s">
        <v>93</v>
      </c>
      <c r="C140" s="2" t="s">
        <v>214</v>
      </c>
      <c r="D140" s="2" t="s">
        <v>267</v>
      </c>
      <c r="E140" s="2" t="s">
        <v>32</v>
      </c>
      <c r="F140" s="2" t="s">
        <v>33</v>
      </c>
      <c r="G140" s="2" t="s">
        <v>23</v>
      </c>
      <c r="H140" s="1" t="str">
        <f t="shared" si="4"/>
        <v>0050</v>
      </c>
      <c r="I140" s="1" t="str">
        <f t="shared" si="5"/>
        <v>060</v>
      </c>
    </row>
    <row r="141" spans="1:9" ht="28.8" x14ac:dyDescent="0.3">
      <c r="A141" s="2" t="s">
        <v>295</v>
      </c>
      <c r="B141" s="2" t="s">
        <v>108</v>
      </c>
      <c r="C141" s="2" t="s">
        <v>210</v>
      </c>
      <c r="D141" s="2" t="s">
        <v>211</v>
      </c>
      <c r="E141" s="2" t="s">
        <v>56</v>
      </c>
      <c r="F141" s="2" t="s">
        <v>167</v>
      </c>
      <c r="G141" s="2" t="s">
        <v>168</v>
      </c>
      <c r="H141" s="1" t="str">
        <f t="shared" si="4"/>
        <v>0050</v>
      </c>
      <c r="I141" s="1" t="str">
        <f t="shared" si="5"/>
        <v>012</v>
      </c>
    </row>
    <row r="142" spans="1:9" ht="28.8" x14ac:dyDescent="0.3">
      <c r="A142" s="2" t="s">
        <v>295</v>
      </c>
      <c r="B142" s="2" t="s">
        <v>108</v>
      </c>
      <c r="C142" s="2" t="s">
        <v>212</v>
      </c>
      <c r="D142" s="2" t="s">
        <v>213</v>
      </c>
      <c r="E142" s="2" t="s">
        <v>65</v>
      </c>
      <c r="F142" s="2" t="s">
        <v>66</v>
      </c>
      <c r="G142" s="2" t="s">
        <v>67</v>
      </c>
      <c r="H142" s="1" t="str">
        <f t="shared" si="4"/>
        <v>0050</v>
      </c>
      <c r="I142" s="1" t="str">
        <f t="shared" si="5"/>
        <v>024</v>
      </c>
    </row>
    <row r="143" spans="1:9" ht="28.8" x14ac:dyDescent="0.3">
      <c r="A143" s="2" t="s">
        <v>295</v>
      </c>
      <c r="B143" s="2" t="s">
        <v>108</v>
      </c>
      <c r="C143" s="2" t="s">
        <v>214</v>
      </c>
      <c r="D143" s="2" t="s">
        <v>310</v>
      </c>
      <c r="E143" s="2" t="s">
        <v>32</v>
      </c>
      <c r="F143" s="2" t="s">
        <v>33</v>
      </c>
      <c r="G143" s="2" t="s">
        <v>23</v>
      </c>
      <c r="H143" s="1" t="str">
        <f t="shared" si="4"/>
        <v>0050</v>
      </c>
      <c r="I143" s="1" t="str">
        <f t="shared" si="5"/>
        <v>060</v>
      </c>
    </row>
    <row r="144" spans="1:9" ht="28.8" x14ac:dyDescent="0.3">
      <c r="A144" s="2" t="s">
        <v>395</v>
      </c>
      <c r="B144" s="2" t="s">
        <v>335</v>
      </c>
      <c r="C144" s="2" t="s">
        <v>210</v>
      </c>
      <c r="D144" s="2" t="s">
        <v>211</v>
      </c>
      <c r="E144" s="2" t="s">
        <v>56</v>
      </c>
      <c r="F144" s="2" t="s">
        <v>167</v>
      </c>
      <c r="G144" s="2" t="s">
        <v>168</v>
      </c>
      <c r="H144" s="1" t="str">
        <f t="shared" si="4"/>
        <v>0050</v>
      </c>
      <c r="I144" s="1" t="str">
        <f t="shared" si="5"/>
        <v>012</v>
      </c>
    </row>
    <row r="145" spans="1:9" ht="28.8" x14ac:dyDescent="0.3">
      <c r="A145" s="2" t="s">
        <v>395</v>
      </c>
      <c r="B145" s="2" t="s">
        <v>335</v>
      </c>
      <c r="C145" s="2" t="s">
        <v>212</v>
      </c>
      <c r="D145" s="2" t="s">
        <v>213</v>
      </c>
      <c r="E145" s="2" t="s">
        <v>65</v>
      </c>
      <c r="F145" s="2" t="s">
        <v>66</v>
      </c>
      <c r="G145" s="2" t="s">
        <v>67</v>
      </c>
      <c r="H145" s="1" t="str">
        <f t="shared" si="4"/>
        <v>0050</v>
      </c>
      <c r="I145" s="1" t="str">
        <f t="shared" si="5"/>
        <v>024</v>
      </c>
    </row>
    <row r="146" spans="1:9" ht="28.8" x14ac:dyDescent="0.3">
      <c r="A146" s="2" t="s">
        <v>395</v>
      </c>
      <c r="B146" s="2" t="s">
        <v>335</v>
      </c>
      <c r="C146" s="2" t="s">
        <v>214</v>
      </c>
      <c r="D146" s="2" t="s">
        <v>412</v>
      </c>
      <c r="E146" s="2" t="s">
        <v>32</v>
      </c>
      <c r="F146" s="2" t="s">
        <v>33</v>
      </c>
      <c r="G146" s="2" t="s">
        <v>23</v>
      </c>
      <c r="H146" s="1" t="str">
        <f t="shared" si="4"/>
        <v>0050</v>
      </c>
      <c r="I146" s="1" t="str">
        <f t="shared" si="5"/>
        <v>060</v>
      </c>
    </row>
    <row r="147" spans="1:9" ht="28.8" x14ac:dyDescent="0.3">
      <c r="A147" s="2" t="s">
        <v>440</v>
      </c>
      <c r="B147" s="2" t="s">
        <v>346</v>
      </c>
      <c r="C147" s="2" t="s">
        <v>210</v>
      </c>
      <c r="D147" s="2" t="s">
        <v>211</v>
      </c>
      <c r="E147" s="2" t="s">
        <v>56</v>
      </c>
      <c r="F147" s="2" t="s">
        <v>167</v>
      </c>
      <c r="G147" s="2" t="s">
        <v>168</v>
      </c>
      <c r="H147" s="1" t="str">
        <f t="shared" si="4"/>
        <v>0050</v>
      </c>
      <c r="I147" s="1" t="str">
        <f t="shared" si="5"/>
        <v>012</v>
      </c>
    </row>
    <row r="148" spans="1:9" ht="28.8" x14ac:dyDescent="0.3">
      <c r="A148" s="2" t="s">
        <v>440</v>
      </c>
      <c r="B148" s="2" t="s">
        <v>346</v>
      </c>
      <c r="C148" s="2" t="s">
        <v>212</v>
      </c>
      <c r="D148" s="2" t="s">
        <v>213</v>
      </c>
      <c r="E148" s="2" t="s">
        <v>65</v>
      </c>
      <c r="F148" s="2" t="s">
        <v>66</v>
      </c>
      <c r="G148" s="2" t="s">
        <v>67</v>
      </c>
      <c r="H148" s="1" t="str">
        <f t="shared" si="4"/>
        <v>0050</v>
      </c>
      <c r="I148" s="1" t="str">
        <f t="shared" si="5"/>
        <v>024</v>
      </c>
    </row>
    <row r="149" spans="1:9" ht="28.8" x14ac:dyDescent="0.3">
      <c r="A149" s="2" t="s">
        <v>440</v>
      </c>
      <c r="B149" s="2" t="s">
        <v>346</v>
      </c>
      <c r="C149" s="2" t="s">
        <v>214</v>
      </c>
      <c r="D149" s="2" t="s">
        <v>455</v>
      </c>
      <c r="E149" s="2" t="s">
        <v>32</v>
      </c>
      <c r="F149" s="2" t="s">
        <v>33</v>
      </c>
      <c r="G149" s="2" t="s">
        <v>23</v>
      </c>
      <c r="H149" s="1" t="str">
        <f t="shared" si="4"/>
        <v>0050</v>
      </c>
      <c r="I149" s="1" t="str">
        <f t="shared" si="5"/>
        <v>060</v>
      </c>
    </row>
    <row r="150" spans="1:9" ht="28.8" x14ac:dyDescent="0.3">
      <c r="A150" s="2" t="s">
        <v>483</v>
      </c>
      <c r="B150" s="2" t="s">
        <v>358</v>
      </c>
      <c r="C150" s="2" t="s">
        <v>210</v>
      </c>
      <c r="D150" s="2" t="s">
        <v>211</v>
      </c>
      <c r="E150" s="2" t="s">
        <v>56</v>
      </c>
      <c r="F150" s="2" t="s">
        <v>167</v>
      </c>
      <c r="G150" s="2" t="s">
        <v>168</v>
      </c>
      <c r="H150" s="1" t="str">
        <f t="shared" si="4"/>
        <v>0050</v>
      </c>
      <c r="I150" s="1" t="str">
        <f t="shared" si="5"/>
        <v>012</v>
      </c>
    </row>
    <row r="151" spans="1:9" ht="28.8" x14ac:dyDescent="0.3">
      <c r="A151" s="2" t="s">
        <v>483</v>
      </c>
      <c r="B151" s="2" t="s">
        <v>358</v>
      </c>
      <c r="C151" s="2" t="s">
        <v>212</v>
      </c>
      <c r="D151" s="2" t="s">
        <v>213</v>
      </c>
      <c r="E151" s="2" t="s">
        <v>65</v>
      </c>
      <c r="F151" s="2" t="s">
        <v>66</v>
      </c>
      <c r="G151" s="2" t="s">
        <v>67</v>
      </c>
      <c r="H151" s="1" t="str">
        <f t="shared" si="4"/>
        <v>0050</v>
      </c>
      <c r="I151" s="1" t="str">
        <f t="shared" si="5"/>
        <v>024</v>
      </c>
    </row>
    <row r="152" spans="1:9" ht="28.8" x14ac:dyDescent="0.3">
      <c r="A152" s="2" t="s">
        <v>483</v>
      </c>
      <c r="B152" s="2" t="s">
        <v>358</v>
      </c>
      <c r="C152" s="2" t="s">
        <v>214</v>
      </c>
      <c r="D152" s="2" t="s">
        <v>498</v>
      </c>
      <c r="E152" s="2" t="s">
        <v>32</v>
      </c>
      <c r="F152" s="2" t="s">
        <v>33</v>
      </c>
      <c r="G152" s="2" t="s">
        <v>23</v>
      </c>
      <c r="H152" s="1" t="str">
        <f t="shared" si="4"/>
        <v>0050</v>
      </c>
      <c r="I152" s="1" t="str">
        <f t="shared" si="5"/>
        <v>060</v>
      </c>
    </row>
    <row r="153" spans="1:9" ht="28.8" x14ac:dyDescent="0.3">
      <c r="A153" s="2" t="s">
        <v>184</v>
      </c>
      <c r="B153" s="2" t="s">
        <v>44</v>
      </c>
      <c r="C153" s="2" t="s">
        <v>216</v>
      </c>
      <c r="D153" s="2" t="s">
        <v>217</v>
      </c>
      <c r="E153" s="2" t="s">
        <v>56</v>
      </c>
      <c r="F153" s="2" t="s">
        <v>167</v>
      </c>
      <c r="G153" s="2" t="s">
        <v>168</v>
      </c>
      <c r="H153" s="1" t="str">
        <f t="shared" si="4"/>
        <v>0052</v>
      </c>
      <c r="I153" s="1" t="str">
        <f t="shared" si="5"/>
        <v>012</v>
      </c>
    </row>
    <row r="154" spans="1:9" ht="28.8" x14ac:dyDescent="0.3">
      <c r="A154" s="2" t="s">
        <v>251</v>
      </c>
      <c r="B154" s="2" t="s">
        <v>93</v>
      </c>
      <c r="C154" s="2" t="s">
        <v>216</v>
      </c>
      <c r="D154" s="2" t="s">
        <v>266</v>
      </c>
      <c r="E154" s="2" t="s">
        <v>56</v>
      </c>
      <c r="F154" s="2" t="s">
        <v>167</v>
      </c>
      <c r="G154" s="2" t="s">
        <v>168</v>
      </c>
      <c r="H154" s="1" t="str">
        <f t="shared" si="4"/>
        <v>0052</v>
      </c>
      <c r="I154" s="1" t="str">
        <f t="shared" si="5"/>
        <v>012</v>
      </c>
    </row>
    <row r="155" spans="1:9" ht="28.8" x14ac:dyDescent="0.3">
      <c r="A155" s="2" t="s">
        <v>295</v>
      </c>
      <c r="B155" s="2" t="s">
        <v>108</v>
      </c>
      <c r="C155" s="2" t="s">
        <v>216</v>
      </c>
      <c r="D155" s="2" t="s">
        <v>309</v>
      </c>
      <c r="E155" s="2" t="s">
        <v>56</v>
      </c>
      <c r="F155" s="2" t="s">
        <v>167</v>
      </c>
      <c r="G155" s="2" t="s">
        <v>168</v>
      </c>
      <c r="H155" s="1" t="str">
        <f t="shared" si="4"/>
        <v>0052</v>
      </c>
      <c r="I155" s="1" t="str">
        <f t="shared" si="5"/>
        <v>012</v>
      </c>
    </row>
    <row r="156" spans="1:9" ht="28.8" x14ac:dyDescent="0.3">
      <c r="A156" s="2" t="s">
        <v>395</v>
      </c>
      <c r="B156" s="2" t="s">
        <v>335</v>
      </c>
      <c r="C156" s="2" t="s">
        <v>216</v>
      </c>
      <c r="D156" s="2" t="s">
        <v>411</v>
      </c>
      <c r="E156" s="2" t="s">
        <v>56</v>
      </c>
      <c r="F156" s="2" t="s">
        <v>167</v>
      </c>
      <c r="G156" s="2" t="s">
        <v>168</v>
      </c>
      <c r="H156" s="1" t="str">
        <f t="shared" si="4"/>
        <v>0052</v>
      </c>
      <c r="I156" s="1" t="str">
        <f t="shared" si="5"/>
        <v>012</v>
      </c>
    </row>
    <row r="157" spans="1:9" ht="28.8" x14ac:dyDescent="0.3">
      <c r="A157" s="2" t="s">
        <v>440</v>
      </c>
      <c r="B157" s="2" t="s">
        <v>346</v>
      </c>
      <c r="C157" s="2" t="s">
        <v>216</v>
      </c>
      <c r="D157" s="2" t="s">
        <v>454</v>
      </c>
      <c r="E157" s="2" t="s">
        <v>56</v>
      </c>
      <c r="F157" s="2" t="s">
        <v>167</v>
      </c>
      <c r="G157" s="2" t="s">
        <v>168</v>
      </c>
      <c r="H157" s="1" t="str">
        <f t="shared" si="4"/>
        <v>0052</v>
      </c>
      <c r="I157" s="1" t="str">
        <f t="shared" si="5"/>
        <v>012</v>
      </c>
    </row>
    <row r="158" spans="1:9" ht="28.8" x14ac:dyDescent="0.3">
      <c r="A158" s="2" t="s">
        <v>483</v>
      </c>
      <c r="B158" s="2" t="s">
        <v>358</v>
      </c>
      <c r="C158" s="2" t="s">
        <v>216</v>
      </c>
      <c r="D158" s="2" t="s">
        <v>497</v>
      </c>
      <c r="E158" s="2" t="s">
        <v>56</v>
      </c>
      <c r="F158" s="2" t="s">
        <v>167</v>
      </c>
      <c r="G158" s="2" t="s">
        <v>168</v>
      </c>
      <c r="H158" s="1" t="str">
        <f t="shared" si="4"/>
        <v>0052</v>
      </c>
      <c r="I158" s="1" t="str">
        <f t="shared" si="5"/>
        <v>012</v>
      </c>
    </row>
    <row r="159" spans="1:9" ht="28.8" x14ac:dyDescent="0.3">
      <c r="A159" s="2" t="s">
        <v>206</v>
      </c>
      <c r="B159" s="2" t="s">
        <v>200</v>
      </c>
      <c r="C159" s="2" t="s">
        <v>207</v>
      </c>
      <c r="D159" s="2" t="s">
        <v>208</v>
      </c>
      <c r="E159" s="2" t="s">
        <v>56</v>
      </c>
      <c r="F159" s="2" t="s">
        <v>167</v>
      </c>
      <c r="G159" s="2" t="s">
        <v>168</v>
      </c>
      <c r="H159" s="1" t="str">
        <f t="shared" si="4"/>
        <v>0054</v>
      </c>
      <c r="I159" s="1" t="str">
        <f t="shared" si="5"/>
        <v>012</v>
      </c>
    </row>
    <row r="160" spans="1:9" ht="28.8" x14ac:dyDescent="0.3">
      <c r="A160" s="2" t="s">
        <v>264</v>
      </c>
      <c r="B160" s="2" t="s">
        <v>260</v>
      </c>
      <c r="C160" s="2" t="s">
        <v>207</v>
      </c>
      <c r="D160" s="2" t="s">
        <v>208</v>
      </c>
      <c r="E160" s="2" t="s">
        <v>56</v>
      </c>
      <c r="F160" s="2" t="s">
        <v>167</v>
      </c>
      <c r="G160" s="2" t="s">
        <v>168</v>
      </c>
      <c r="H160" s="1" t="str">
        <f t="shared" si="4"/>
        <v>0054</v>
      </c>
      <c r="I160" s="1" t="str">
        <f t="shared" si="5"/>
        <v>012</v>
      </c>
    </row>
    <row r="161" spans="1:9" ht="28.8" x14ac:dyDescent="0.3">
      <c r="A161" s="2" t="s">
        <v>307</v>
      </c>
      <c r="B161" s="2" t="s">
        <v>303</v>
      </c>
      <c r="C161" s="2" t="s">
        <v>207</v>
      </c>
      <c r="D161" s="2" t="s">
        <v>208</v>
      </c>
      <c r="E161" s="2" t="s">
        <v>56</v>
      </c>
      <c r="F161" s="2" t="s">
        <v>167</v>
      </c>
      <c r="G161" s="2" t="s">
        <v>168</v>
      </c>
      <c r="H161" s="1" t="str">
        <f t="shared" si="4"/>
        <v>0054</v>
      </c>
      <c r="I161" s="1" t="str">
        <f t="shared" si="5"/>
        <v>012</v>
      </c>
    </row>
    <row r="162" spans="1:9" ht="28.8" x14ac:dyDescent="0.3">
      <c r="A162" s="2" t="s">
        <v>409</v>
      </c>
      <c r="B162" s="2" t="s">
        <v>405</v>
      </c>
      <c r="C162" s="2" t="s">
        <v>207</v>
      </c>
      <c r="D162" s="2" t="s">
        <v>208</v>
      </c>
      <c r="E162" s="2" t="s">
        <v>56</v>
      </c>
      <c r="F162" s="2" t="s">
        <v>167</v>
      </c>
      <c r="G162" s="2" t="s">
        <v>168</v>
      </c>
      <c r="H162" s="1" t="str">
        <f t="shared" si="4"/>
        <v>0054</v>
      </c>
      <c r="I162" s="1" t="str">
        <f t="shared" si="5"/>
        <v>012</v>
      </c>
    </row>
    <row r="163" spans="1:9" ht="28.8" x14ac:dyDescent="0.3">
      <c r="A163" s="2" t="s">
        <v>452</v>
      </c>
      <c r="B163" s="2" t="s">
        <v>448</v>
      </c>
      <c r="C163" s="2" t="s">
        <v>207</v>
      </c>
      <c r="D163" s="2" t="s">
        <v>208</v>
      </c>
      <c r="E163" s="2" t="s">
        <v>56</v>
      </c>
      <c r="F163" s="2" t="s">
        <v>167</v>
      </c>
      <c r="G163" s="2" t="s">
        <v>168</v>
      </c>
      <c r="H163" s="1" t="str">
        <f t="shared" si="4"/>
        <v>0054</v>
      </c>
      <c r="I163" s="1" t="str">
        <f t="shared" si="5"/>
        <v>012</v>
      </c>
    </row>
    <row r="164" spans="1:9" ht="28.8" x14ac:dyDescent="0.3">
      <c r="A164" s="2" t="s">
        <v>495</v>
      </c>
      <c r="B164" s="2" t="s">
        <v>491</v>
      </c>
      <c r="C164" s="2" t="s">
        <v>207</v>
      </c>
      <c r="D164" s="2" t="s">
        <v>208</v>
      </c>
      <c r="E164" s="2" t="s">
        <v>56</v>
      </c>
      <c r="F164" s="2" t="s">
        <v>167</v>
      </c>
      <c r="G164" s="2" t="s">
        <v>168</v>
      </c>
      <c r="H164" s="1" t="str">
        <f t="shared" si="4"/>
        <v>0054</v>
      </c>
      <c r="I164" s="1" t="str">
        <f t="shared" si="5"/>
        <v>012</v>
      </c>
    </row>
    <row r="165" spans="1:9" ht="28.8" x14ac:dyDescent="0.3">
      <c r="A165" s="2" t="s">
        <v>219</v>
      </c>
      <c r="B165" s="2" t="s">
        <v>184</v>
      </c>
      <c r="C165" s="2" t="s">
        <v>220</v>
      </c>
      <c r="D165" s="2" t="s">
        <v>221</v>
      </c>
      <c r="E165" s="2" t="s">
        <v>65</v>
      </c>
      <c r="F165" s="2" t="s">
        <v>66</v>
      </c>
      <c r="G165" s="2" t="s">
        <v>67</v>
      </c>
      <c r="H165" s="1" t="str">
        <f t="shared" si="4"/>
        <v>0056</v>
      </c>
      <c r="I165" s="1" t="str">
        <f t="shared" si="5"/>
        <v>024</v>
      </c>
    </row>
    <row r="166" spans="1:9" ht="28.8" x14ac:dyDescent="0.3">
      <c r="A166" s="2" t="s">
        <v>269</v>
      </c>
      <c r="B166" s="2" t="s">
        <v>251</v>
      </c>
      <c r="C166" s="2" t="s">
        <v>220</v>
      </c>
      <c r="D166" s="2" t="s">
        <v>221</v>
      </c>
      <c r="E166" s="2" t="s">
        <v>65</v>
      </c>
      <c r="F166" s="2" t="s">
        <v>66</v>
      </c>
      <c r="G166" s="2" t="s">
        <v>67</v>
      </c>
      <c r="H166" s="1" t="str">
        <f t="shared" si="4"/>
        <v>0056</v>
      </c>
      <c r="I166" s="1" t="str">
        <f t="shared" si="5"/>
        <v>024</v>
      </c>
    </row>
    <row r="167" spans="1:9" ht="28.8" x14ac:dyDescent="0.3">
      <c r="A167" s="2" t="s">
        <v>312</v>
      </c>
      <c r="B167" s="2" t="s">
        <v>295</v>
      </c>
      <c r="C167" s="2" t="s">
        <v>220</v>
      </c>
      <c r="D167" s="2" t="s">
        <v>221</v>
      </c>
      <c r="E167" s="2" t="s">
        <v>65</v>
      </c>
      <c r="F167" s="2" t="s">
        <v>66</v>
      </c>
      <c r="G167" s="2" t="s">
        <v>67</v>
      </c>
      <c r="H167" s="1" t="str">
        <f t="shared" si="4"/>
        <v>0056</v>
      </c>
      <c r="I167" s="1" t="str">
        <f t="shared" si="5"/>
        <v>024</v>
      </c>
    </row>
    <row r="168" spans="1:9" ht="28.8" x14ac:dyDescent="0.3">
      <c r="A168" s="2" t="s">
        <v>414</v>
      </c>
      <c r="B168" s="2" t="s">
        <v>395</v>
      </c>
      <c r="C168" s="2" t="s">
        <v>220</v>
      </c>
      <c r="D168" s="2" t="s">
        <v>221</v>
      </c>
      <c r="E168" s="2" t="s">
        <v>65</v>
      </c>
      <c r="F168" s="2" t="s">
        <v>66</v>
      </c>
      <c r="G168" s="2" t="s">
        <v>67</v>
      </c>
      <c r="H168" s="1" t="str">
        <f t="shared" si="4"/>
        <v>0056</v>
      </c>
      <c r="I168" s="1" t="str">
        <f t="shared" si="5"/>
        <v>024</v>
      </c>
    </row>
    <row r="169" spans="1:9" ht="28.8" x14ac:dyDescent="0.3">
      <c r="A169" s="2" t="s">
        <v>457</v>
      </c>
      <c r="B169" s="2" t="s">
        <v>440</v>
      </c>
      <c r="C169" s="2" t="s">
        <v>220</v>
      </c>
      <c r="D169" s="2" t="s">
        <v>221</v>
      </c>
      <c r="E169" s="2" t="s">
        <v>65</v>
      </c>
      <c r="F169" s="2" t="s">
        <v>66</v>
      </c>
      <c r="G169" s="2" t="s">
        <v>67</v>
      </c>
      <c r="H169" s="1" t="str">
        <f t="shared" si="4"/>
        <v>0056</v>
      </c>
      <c r="I169" s="1" t="str">
        <f t="shared" si="5"/>
        <v>024</v>
      </c>
    </row>
    <row r="170" spans="1:9" ht="28.8" x14ac:dyDescent="0.3">
      <c r="A170" s="2" t="s">
        <v>500</v>
      </c>
      <c r="B170" s="2" t="s">
        <v>483</v>
      </c>
      <c r="C170" s="2" t="s">
        <v>220</v>
      </c>
      <c r="D170" s="2" t="s">
        <v>221</v>
      </c>
      <c r="E170" s="2" t="s">
        <v>65</v>
      </c>
      <c r="F170" s="2" t="s">
        <v>66</v>
      </c>
      <c r="G170" s="2" t="s">
        <v>67</v>
      </c>
      <c r="H170" s="1" t="str">
        <f t="shared" si="4"/>
        <v>0056</v>
      </c>
      <c r="I170" s="1" t="str">
        <f t="shared" si="5"/>
        <v>024</v>
      </c>
    </row>
    <row r="171" spans="1:9" x14ac:dyDescent="0.3">
      <c r="A171" s="2" t="s">
        <v>164</v>
      </c>
      <c r="B171" s="2" t="s">
        <v>44</v>
      </c>
      <c r="C171" s="2" t="s">
        <v>165</v>
      </c>
      <c r="D171" s="2" t="s">
        <v>166</v>
      </c>
      <c r="E171" s="2" t="s">
        <v>56</v>
      </c>
      <c r="F171" s="2" t="s">
        <v>167</v>
      </c>
      <c r="G171" s="2" t="s">
        <v>168</v>
      </c>
      <c r="H171" s="1" t="str">
        <f t="shared" si="4"/>
        <v>0060</v>
      </c>
      <c r="I171" s="1" t="str">
        <f t="shared" si="5"/>
        <v>012</v>
      </c>
    </row>
    <row r="172" spans="1:9" x14ac:dyDescent="0.3">
      <c r="A172" s="2" t="s">
        <v>246</v>
      </c>
      <c r="B172" s="2" t="s">
        <v>93</v>
      </c>
      <c r="C172" s="2" t="s">
        <v>165</v>
      </c>
      <c r="D172" s="2" t="s">
        <v>166</v>
      </c>
      <c r="E172" s="2" t="s">
        <v>56</v>
      </c>
      <c r="F172" s="2" t="s">
        <v>167</v>
      </c>
      <c r="G172" s="2" t="s">
        <v>168</v>
      </c>
      <c r="H172" s="1" t="str">
        <f t="shared" si="4"/>
        <v>0060</v>
      </c>
      <c r="I172" s="1" t="str">
        <f t="shared" si="5"/>
        <v>012</v>
      </c>
    </row>
    <row r="173" spans="1:9" x14ac:dyDescent="0.3">
      <c r="A173" s="2" t="s">
        <v>290</v>
      </c>
      <c r="B173" s="2" t="s">
        <v>108</v>
      </c>
      <c r="C173" s="2" t="s">
        <v>165</v>
      </c>
      <c r="D173" s="2" t="s">
        <v>166</v>
      </c>
      <c r="E173" s="2" t="s">
        <v>56</v>
      </c>
      <c r="F173" s="2" t="s">
        <v>167</v>
      </c>
      <c r="G173" s="2" t="s">
        <v>168</v>
      </c>
      <c r="H173" s="1" t="str">
        <f t="shared" si="4"/>
        <v>0060</v>
      </c>
      <c r="I173" s="1" t="str">
        <f t="shared" si="5"/>
        <v>012</v>
      </c>
    </row>
    <row r="174" spans="1:9" x14ac:dyDescent="0.3">
      <c r="A174" s="2" t="s">
        <v>390</v>
      </c>
      <c r="B174" s="2" t="s">
        <v>335</v>
      </c>
      <c r="C174" s="2" t="s">
        <v>165</v>
      </c>
      <c r="D174" s="2" t="s">
        <v>166</v>
      </c>
      <c r="E174" s="2" t="s">
        <v>56</v>
      </c>
      <c r="F174" s="2" t="s">
        <v>167</v>
      </c>
      <c r="G174" s="2" t="s">
        <v>168</v>
      </c>
      <c r="H174" s="1" t="str">
        <f t="shared" si="4"/>
        <v>0060</v>
      </c>
      <c r="I174" s="1" t="str">
        <f t="shared" si="5"/>
        <v>012</v>
      </c>
    </row>
    <row r="175" spans="1:9" x14ac:dyDescent="0.3">
      <c r="A175" s="2" t="s">
        <v>435</v>
      </c>
      <c r="B175" s="2" t="s">
        <v>346</v>
      </c>
      <c r="C175" s="2" t="s">
        <v>165</v>
      </c>
      <c r="D175" s="2" t="s">
        <v>166</v>
      </c>
      <c r="E175" s="2" t="s">
        <v>56</v>
      </c>
      <c r="F175" s="2" t="s">
        <v>167</v>
      </c>
      <c r="G175" s="2" t="s">
        <v>168</v>
      </c>
      <c r="H175" s="1" t="str">
        <f t="shared" si="4"/>
        <v>0060</v>
      </c>
      <c r="I175" s="1" t="str">
        <f t="shared" si="5"/>
        <v>012</v>
      </c>
    </row>
    <row r="176" spans="1:9" x14ac:dyDescent="0.3">
      <c r="A176" s="2" t="s">
        <v>478</v>
      </c>
      <c r="B176" s="2" t="s">
        <v>358</v>
      </c>
      <c r="C176" s="2" t="s">
        <v>165</v>
      </c>
      <c r="D176" s="2" t="s">
        <v>166</v>
      </c>
      <c r="E176" s="2" t="s">
        <v>56</v>
      </c>
      <c r="F176" s="2" t="s">
        <v>167</v>
      </c>
      <c r="G176" s="2" t="s">
        <v>168</v>
      </c>
      <c r="H176" s="1" t="str">
        <f t="shared" si="4"/>
        <v>0060</v>
      </c>
      <c r="I176" s="1" t="str">
        <f t="shared" si="5"/>
        <v>012</v>
      </c>
    </row>
    <row r="177" spans="1:9" x14ac:dyDescent="0.3">
      <c r="A177" s="2" t="s">
        <v>164</v>
      </c>
      <c r="B177" s="2" t="s">
        <v>44</v>
      </c>
      <c r="C177" s="2" t="s">
        <v>169</v>
      </c>
      <c r="D177" s="2" t="s">
        <v>170</v>
      </c>
      <c r="E177" s="2" t="s">
        <v>56</v>
      </c>
      <c r="F177" s="2" t="s">
        <v>57</v>
      </c>
      <c r="G177" s="2" t="s">
        <v>58</v>
      </c>
      <c r="H177" s="1" t="str">
        <f t="shared" si="4"/>
        <v>0062</v>
      </c>
      <c r="I177" s="1" t="str">
        <f t="shared" si="5"/>
        <v>012</v>
      </c>
    </row>
    <row r="178" spans="1:9" x14ac:dyDescent="0.3">
      <c r="A178" s="2" t="s">
        <v>246</v>
      </c>
      <c r="B178" s="2" t="s">
        <v>93</v>
      </c>
      <c r="C178" s="2" t="s">
        <v>169</v>
      </c>
      <c r="D178" s="2" t="s">
        <v>170</v>
      </c>
      <c r="E178" s="2" t="s">
        <v>56</v>
      </c>
      <c r="F178" s="2" t="s">
        <v>57</v>
      </c>
      <c r="G178" s="2" t="s">
        <v>58</v>
      </c>
      <c r="H178" s="1" t="str">
        <f t="shared" si="4"/>
        <v>0062</v>
      </c>
      <c r="I178" s="1" t="str">
        <f t="shared" si="5"/>
        <v>012</v>
      </c>
    </row>
    <row r="179" spans="1:9" x14ac:dyDescent="0.3">
      <c r="A179" s="2" t="s">
        <v>290</v>
      </c>
      <c r="B179" s="2" t="s">
        <v>108</v>
      </c>
      <c r="C179" s="2" t="s">
        <v>169</v>
      </c>
      <c r="D179" s="2" t="s">
        <v>170</v>
      </c>
      <c r="E179" s="2" t="s">
        <v>56</v>
      </c>
      <c r="F179" s="2" t="s">
        <v>57</v>
      </c>
      <c r="G179" s="2" t="s">
        <v>58</v>
      </c>
      <c r="H179" s="1" t="str">
        <f t="shared" si="4"/>
        <v>0062</v>
      </c>
      <c r="I179" s="1" t="str">
        <f t="shared" si="5"/>
        <v>012</v>
      </c>
    </row>
    <row r="180" spans="1:9" x14ac:dyDescent="0.3">
      <c r="A180" s="2" t="s">
        <v>390</v>
      </c>
      <c r="B180" s="2" t="s">
        <v>335</v>
      </c>
      <c r="C180" s="2" t="s">
        <v>169</v>
      </c>
      <c r="D180" s="2" t="s">
        <v>170</v>
      </c>
      <c r="E180" s="2" t="s">
        <v>56</v>
      </c>
      <c r="F180" s="2" t="s">
        <v>57</v>
      </c>
      <c r="G180" s="2" t="s">
        <v>58</v>
      </c>
      <c r="H180" s="1" t="str">
        <f t="shared" si="4"/>
        <v>0062</v>
      </c>
      <c r="I180" s="1" t="str">
        <f t="shared" si="5"/>
        <v>012</v>
      </c>
    </row>
    <row r="181" spans="1:9" x14ac:dyDescent="0.3">
      <c r="A181" s="2" t="s">
        <v>435</v>
      </c>
      <c r="B181" s="2" t="s">
        <v>346</v>
      </c>
      <c r="C181" s="2" t="s">
        <v>169</v>
      </c>
      <c r="D181" s="2" t="s">
        <v>170</v>
      </c>
      <c r="E181" s="2" t="s">
        <v>56</v>
      </c>
      <c r="F181" s="2" t="s">
        <v>57</v>
      </c>
      <c r="G181" s="2" t="s">
        <v>58</v>
      </c>
      <c r="H181" s="1" t="str">
        <f t="shared" si="4"/>
        <v>0062</v>
      </c>
      <c r="I181" s="1" t="str">
        <f t="shared" si="5"/>
        <v>012</v>
      </c>
    </row>
    <row r="182" spans="1:9" x14ac:dyDescent="0.3">
      <c r="A182" s="2" t="s">
        <v>478</v>
      </c>
      <c r="B182" s="2" t="s">
        <v>358</v>
      </c>
      <c r="C182" s="2" t="s">
        <v>169</v>
      </c>
      <c r="D182" s="2" t="s">
        <v>170</v>
      </c>
      <c r="E182" s="2" t="s">
        <v>56</v>
      </c>
      <c r="F182" s="2" t="s">
        <v>57</v>
      </c>
      <c r="G182" s="2" t="s">
        <v>58</v>
      </c>
      <c r="H182" s="1" t="str">
        <f t="shared" si="4"/>
        <v>0062</v>
      </c>
      <c r="I182" s="1" t="str">
        <f t="shared" si="5"/>
        <v>012</v>
      </c>
    </row>
    <row r="183" spans="1:9" x14ac:dyDescent="0.3">
      <c r="A183" s="2" t="s">
        <v>8</v>
      </c>
      <c r="B183" s="2" t="s">
        <v>9</v>
      </c>
      <c r="C183" s="2" t="s">
        <v>15</v>
      </c>
      <c r="D183" s="2" t="s">
        <v>16</v>
      </c>
      <c r="E183" s="2" t="s">
        <v>17</v>
      </c>
      <c r="F183" s="2" t="s">
        <v>18</v>
      </c>
      <c r="G183" s="2" t="s">
        <v>19</v>
      </c>
      <c r="H183" s="1" t="str">
        <f t="shared" si="4"/>
        <v>0104</v>
      </c>
      <c r="I183" s="1" t="str">
        <f t="shared" si="5"/>
        <v>180</v>
      </c>
    </row>
    <row r="184" spans="1:9" x14ac:dyDescent="0.3">
      <c r="A184" s="2" t="s">
        <v>44</v>
      </c>
      <c r="B184" s="2" t="s">
        <v>8</v>
      </c>
      <c r="C184" s="2" t="s">
        <v>54</v>
      </c>
      <c r="D184" s="2" t="s">
        <v>55</v>
      </c>
      <c r="E184" s="2" t="s">
        <v>56</v>
      </c>
      <c r="F184" s="2" t="s">
        <v>57</v>
      </c>
      <c r="G184" s="2" t="s">
        <v>58</v>
      </c>
      <c r="H184" s="1" t="str">
        <f t="shared" si="4"/>
        <v>0104</v>
      </c>
      <c r="I184" s="1" t="str">
        <f t="shared" si="5"/>
        <v>012</v>
      </c>
    </row>
    <row r="185" spans="1:9" x14ac:dyDescent="0.3">
      <c r="A185" s="2" t="s">
        <v>93</v>
      </c>
      <c r="B185" s="2" t="s">
        <v>8</v>
      </c>
      <c r="C185" s="2" t="s">
        <v>54</v>
      </c>
      <c r="D185" s="2" t="s">
        <v>55</v>
      </c>
      <c r="E185" s="2" t="s">
        <v>56</v>
      </c>
      <c r="F185" s="2" t="s">
        <v>57</v>
      </c>
      <c r="G185" s="2" t="s">
        <v>58</v>
      </c>
      <c r="H185" s="1" t="str">
        <f t="shared" si="4"/>
        <v>0104</v>
      </c>
      <c r="I185" s="1" t="str">
        <f t="shared" si="5"/>
        <v>012</v>
      </c>
    </row>
    <row r="186" spans="1:9" x14ac:dyDescent="0.3">
      <c r="A186" s="2" t="s">
        <v>93</v>
      </c>
      <c r="B186" s="2" t="s">
        <v>8</v>
      </c>
      <c r="C186" s="2" t="s">
        <v>15</v>
      </c>
      <c r="D186" s="2" t="s">
        <v>104</v>
      </c>
      <c r="E186" s="2" t="s">
        <v>17</v>
      </c>
      <c r="F186" s="2" t="s">
        <v>18</v>
      </c>
      <c r="G186" s="2" t="s">
        <v>19</v>
      </c>
      <c r="H186" s="1" t="str">
        <f t="shared" si="4"/>
        <v>0104</v>
      </c>
      <c r="I186" s="1" t="str">
        <f t="shared" si="5"/>
        <v>180</v>
      </c>
    </row>
    <row r="187" spans="1:9" x14ac:dyDescent="0.3">
      <c r="A187" s="2" t="s">
        <v>108</v>
      </c>
      <c r="B187" s="2" t="s">
        <v>8</v>
      </c>
      <c r="C187" s="2" t="s">
        <v>54</v>
      </c>
      <c r="D187" s="2" t="s">
        <v>55</v>
      </c>
      <c r="E187" s="2" t="s">
        <v>56</v>
      </c>
      <c r="F187" s="2" t="s">
        <v>57</v>
      </c>
      <c r="G187" s="2" t="s">
        <v>58</v>
      </c>
      <c r="H187" s="1" t="str">
        <f t="shared" si="4"/>
        <v>0104</v>
      </c>
      <c r="I187" s="1" t="str">
        <f t="shared" si="5"/>
        <v>012</v>
      </c>
    </row>
    <row r="188" spans="1:9" x14ac:dyDescent="0.3">
      <c r="A188" s="2" t="s">
        <v>108</v>
      </c>
      <c r="B188" s="2" t="s">
        <v>8</v>
      </c>
      <c r="C188" s="2" t="s">
        <v>15</v>
      </c>
      <c r="D188" s="2" t="s">
        <v>118</v>
      </c>
      <c r="E188" s="2" t="s">
        <v>17</v>
      </c>
      <c r="F188" s="2" t="s">
        <v>18</v>
      </c>
      <c r="G188" s="2" t="s">
        <v>19</v>
      </c>
      <c r="H188" s="1" t="str">
        <f t="shared" si="4"/>
        <v>0104</v>
      </c>
      <c r="I188" s="1" t="str">
        <f t="shared" si="5"/>
        <v>180</v>
      </c>
    </row>
    <row r="189" spans="1:9" x14ac:dyDescent="0.3">
      <c r="A189" s="2" t="s">
        <v>328</v>
      </c>
      <c r="B189" s="2" t="s">
        <v>9</v>
      </c>
      <c r="C189" s="2" t="s">
        <v>15</v>
      </c>
      <c r="D189" s="2" t="s">
        <v>329</v>
      </c>
      <c r="E189" s="2" t="s">
        <v>17</v>
      </c>
      <c r="F189" s="2" t="s">
        <v>18</v>
      </c>
      <c r="G189" s="2" t="s">
        <v>19</v>
      </c>
      <c r="H189" s="1" t="str">
        <f t="shared" si="4"/>
        <v>0104</v>
      </c>
      <c r="I189" s="1" t="str">
        <f t="shared" si="5"/>
        <v>180</v>
      </c>
    </row>
    <row r="190" spans="1:9" x14ac:dyDescent="0.3">
      <c r="A190" s="2" t="s">
        <v>335</v>
      </c>
      <c r="B190" s="2" t="s">
        <v>328</v>
      </c>
      <c r="C190" s="2" t="s">
        <v>54</v>
      </c>
      <c r="D190" s="2" t="s">
        <v>55</v>
      </c>
      <c r="E190" s="2" t="s">
        <v>56</v>
      </c>
      <c r="F190" s="2" t="s">
        <v>57</v>
      </c>
      <c r="G190" s="2" t="s">
        <v>58</v>
      </c>
      <c r="H190" s="1" t="str">
        <f t="shared" si="4"/>
        <v>0104</v>
      </c>
      <c r="I190" s="1" t="str">
        <f t="shared" si="5"/>
        <v>012</v>
      </c>
    </row>
    <row r="191" spans="1:9" x14ac:dyDescent="0.3">
      <c r="A191" s="2" t="s">
        <v>346</v>
      </c>
      <c r="B191" s="2" t="s">
        <v>328</v>
      </c>
      <c r="C191" s="2" t="s">
        <v>54</v>
      </c>
      <c r="D191" s="2" t="s">
        <v>55</v>
      </c>
      <c r="E191" s="2" t="s">
        <v>56</v>
      </c>
      <c r="F191" s="2" t="s">
        <v>57</v>
      </c>
      <c r="G191" s="2" t="s">
        <v>58</v>
      </c>
      <c r="H191" s="1" t="str">
        <f t="shared" si="4"/>
        <v>0104</v>
      </c>
      <c r="I191" s="1" t="str">
        <f t="shared" si="5"/>
        <v>012</v>
      </c>
    </row>
    <row r="192" spans="1:9" x14ac:dyDescent="0.3">
      <c r="A192" s="2" t="s">
        <v>346</v>
      </c>
      <c r="B192" s="2" t="s">
        <v>328</v>
      </c>
      <c r="C192" s="2" t="s">
        <v>15</v>
      </c>
      <c r="D192" s="2" t="s">
        <v>356</v>
      </c>
      <c r="E192" s="2" t="s">
        <v>17</v>
      </c>
      <c r="F192" s="2" t="s">
        <v>18</v>
      </c>
      <c r="G192" s="2" t="s">
        <v>19</v>
      </c>
      <c r="H192" s="1" t="str">
        <f t="shared" si="4"/>
        <v>0104</v>
      </c>
      <c r="I192" s="1" t="str">
        <f t="shared" si="5"/>
        <v>180</v>
      </c>
    </row>
    <row r="193" spans="1:9" x14ac:dyDescent="0.3">
      <c r="A193" s="2" t="s">
        <v>358</v>
      </c>
      <c r="B193" s="2" t="s">
        <v>328</v>
      </c>
      <c r="C193" s="2" t="s">
        <v>54</v>
      </c>
      <c r="D193" s="2" t="s">
        <v>55</v>
      </c>
      <c r="E193" s="2" t="s">
        <v>56</v>
      </c>
      <c r="F193" s="2" t="s">
        <v>57</v>
      </c>
      <c r="G193" s="2" t="s">
        <v>58</v>
      </c>
      <c r="H193" s="1" t="str">
        <f t="shared" si="4"/>
        <v>0104</v>
      </c>
      <c r="I193" s="1" t="str">
        <f t="shared" si="5"/>
        <v>012</v>
      </c>
    </row>
    <row r="194" spans="1:9" x14ac:dyDescent="0.3">
      <c r="A194" s="2" t="s">
        <v>358</v>
      </c>
      <c r="B194" s="2" t="s">
        <v>328</v>
      </c>
      <c r="C194" s="2" t="s">
        <v>15</v>
      </c>
      <c r="D194" s="2" t="s">
        <v>368</v>
      </c>
      <c r="E194" s="2" t="s">
        <v>17</v>
      </c>
      <c r="F194" s="2" t="s">
        <v>18</v>
      </c>
      <c r="G194" s="2" t="s">
        <v>19</v>
      </c>
      <c r="H194" s="1" t="str">
        <f t="shared" ref="H194:H257" si="6">IF(LEN(D194)&gt;19,MID(D194,17,4),"")</f>
        <v>0104</v>
      </c>
      <c r="I194" s="1" t="str">
        <f t="shared" ref="I194:I257" si="7">IF(LEN(D194)&gt;19,MID(D194,13,3),"")</f>
        <v>180</v>
      </c>
    </row>
    <row r="195" spans="1:9" x14ac:dyDescent="0.3">
      <c r="A195" s="2" t="s">
        <v>172</v>
      </c>
      <c r="B195" s="2" t="s">
        <v>44</v>
      </c>
      <c r="C195" s="2" t="s">
        <v>175</v>
      </c>
      <c r="D195" s="2" t="s">
        <v>176</v>
      </c>
      <c r="E195" s="2" t="s">
        <v>56</v>
      </c>
      <c r="F195" s="2" t="s">
        <v>57</v>
      </c>
      <c r="G195" s="2" t="s">
        <v>58</v>
      </c>
      <c r="H195" s="1" t="str">
        <f t="shared" si="6"/>
        <v>0110</v>
      </c>
      <c r="I195" s="1" t="str">
        <f t="shared" si="7"/>
        <v>012</v>
      </c>
    </row>
    <row r="196" spans="1:9" x14ac:dyDescent="0.3">
      <c r="A196" s="2" t="s">
        <v>248</v>
      </c>
      <c r="B196" s="2" t="s">
        <v>93</v>
      </c>
      <c r="C196" s="2" t="s">
        <v>175</v>
      </c>
      <c r="D196" s="2" t="s">
        <v>176</v>
      </c>
      <c r="E196" s="2" t="s">
        <v>56</v>
      </c>
      <c r="F196" s="2" t="s">
        <v>57</v>
      </c>
      <c r="G196" s="2" t="s">
        <v>58</v>
      </c>
      <c r="H196" s="1" t="str">
        <f t="shared" si="6"/>
        <v>0110</v>
      </c>
      <c r="I196" s="1" t="str">
        <f t="shared" si="7"/>
        <v>012</v>
      </c>
    </row>
    <row r="197" spans="1:9" x14ac:dyDescent="0.3">
      <c r="A197" s="2" t="s">
        <v>292</v>
      </c>
      <c r="B197" s="2" t="s">
        <v>108</v>
      </c>
      <c r="C197" s="2" t="s">
        <v>175</v>
      </c>
      <c r="D197" s="2" t="s">
        <v>176</v>
      </c>
      <c r="E197" s="2" t="s">
        <v>56</v>
      </c>
      <c r="F197" s="2" t="s">
        <v>57</v>
      </c>
      <c r="G197" s="2" t="s">
        <v>58</v>
      </c>
      <c r="H197" s="1" t="str">
        <f t="shared" si="6"/>
        <v>0110</v>
      </c>
      <c r="I197" s="1" t="str">
        <f t="shared" si="7"/>
        <v>012</v>
      </c>
    </row>
    <row r="198" spans="1:9" x14ac:dyDescent="0.3">
      <c r="A198" s="2" t="s">
        <v>392</v>
      </c>
      <c r="B198" s="2" t="s">
        <v>335</v>
      </c>
      <c r="C198" s="2" t="s">
        <v>175</v>
      </c>
      <c r="D198" s="2" t="s">
        <v>176</v>
      </c>
      <c r="E198" s="2" t="s">
        <v>56</v>
      </c>
      <c r="F198" s="2" t="s">
        <v>57</v>
      </c>
      <c r="G198" s="2" t="s">
        <v>58</v>
      </c>
      <c r="H198" s="1" t="str">
        <f t="shared" si="6"/>
        <v>0110</v>
      </c>
      <c r="I198" s="1" t="str">
        <f t="shared" si="7"/>
        <v>012</v>
      </c>
    </row>
    <row r="199" spans="1:9" x14ac:dyDescent="0.3">
      <c r="A199" s="2" t="s">
        <v>437</v>
      </c>
      <c r="B199" s="2" t="s">
        <v>346</v>
      </c>
      <c r="C199" s="2" t="s">
        <v>175</v>
      </c>
      <c r="D199" s="2" t="s">
        <v>176</v>
      </c>
      <c r="E199" s="2" t="s">
        <v>56</v>
      </c>
      <c r="F199" s="2" t="s">
        <v>57</v>
      </c>
      <c r="G199" s="2" t="s">
        <v>58</v>
      </c>
      <c r="H199" s="1" t="str">
        <f t="shared" si="6"/>
        <v>0110</v>
      </c>
      <c r="I199" s="1" t="str">
        <f t="shared" si="7"/>
        <v>012</v>
      </c>
    </row>
    <row r="200" spans="1:9" x14ac:dyDescent="0.3">
      <c r="A200" s="2" t="s">
        <v>480</v>
      </c>
      <c r="B200" s="2" t="s">
        <v>358</v>
      </c>
      <c r="C200" s="2" t="s">
        <v>175</v>
      </c>
      <c r="D200" s="2" t="s">
        <v>176</v>
      </c>
      <c r="E200" s="2" t="s">
        <v>56</v>
      </c>
      <c r="F200" s="2" t="s">
        <v>57</v>
      </c>
      <c r="G200" s="2" t="s">
        <v>58</v>
      </c>
      <c r="H200" s="1" t="str">
        <f t="shared" si="6"/>
        <v>0110</v>
      </c>
      <c r="I200" s="1" t="str">
        <f t="shared" si="7"/>
        <v>012</v>
      </c>
    </row>
    <row r="201" spans="1:9" ht="28.8" x14ac:dyDescent="0.3">
      <c r="A201" s="2" t="s">
        <v>44</v>
      </c>
      <c r="B201" s="2" t="s">
        <v>8</v>
      </c>
      <c r="C201" s="2" t="s">
        <v>59</v>
      </c>
      <c r="D201" s="2" t="s">
        <v>60</v>
      </c>
      <c r="E201" s="2" t="s">
        <v>56</v>
      </c>
      <c r="F201" s="2" t="s">
        <v>57</v>
      </c>
      <c r="G201" s="2" t="s">
        <v>58</v>
      </c>
      <c r="H201" s="1" t="str">
        <f t="shared" si="6"/>
        <v>0120</v>
      </c>
      <c r="I201" s="1" t="str">
        <f t="shared" si="7"/>
        <v>012</v>
      </c>
    </row>
    <row r="202" spans="1:9" ht="28.8" x14ac:dyDescent="0.3">
      <c r="A202" s="2" t="s">
        <v>44</v>
      </c>
      <c r="B202" s="2" t="s">
        <v>8</v>
      </c>
      <c r="C202" s="2" t="s">
        <v>63</v>
      </c>
      <c r="D202" s="2" t="s">
        <v>64</v>
      </c>
      <c r="E202" s="2" t="s">
        <v>65</v>
      </c>
      <c r="F202" s="2" t="s">
        <v>66</v>
      </c>
      <c r="G202" s="2" t="s">
        <v>67</v>
      </c>
      <c r="H202" s="1" t="str">
        <f t="shared" si="6"/>
        <v>0120</v>
      </c>
      <c r="I202" s="1" t="str">
        <f t="shared" si="7"/>
        <v>024</v>
      </c>
    </row>
    <row r="203" spans="1:9" ht="28.8" x14ac:dyDescent="0.3">
      <c r="A203" s="2" t="s">
        <v>93</v>
      </c>
      <c r="B203" s="2" t="s">
        <v>8</v>
      </c>
      <c r="C203" s="2" t="s">
        <v>59</v>
      </c>
      <c r="D203" s="2" t="s">
        <v>98</v>
      </c>
      <c r="E203" s="2" t="s">
        <v>56</v>
      </c>
      <c r="F203" s="2" t="s">
        <v>57</v>
      </c>
      <c r="G203" s="2" t="s">
        <v>58</v>
      </c>
      <c r="H203" s="1" t="str">
        <f t="shared" si="6"/>
        <v>0120</v>
      </c>
      <c r="I203" s="1" t="str">
        <f t="shared" si="7"/>
        <v>012</v>
      </c>
    </row>
    <row r="204" spans="1:9" ht="28.8" x14ac:dyDescent="0.3">
      <c r="A204" s="2" t="s">
        <v>93</v>
      </c>
      <c r="B204" s="2" t="s">
        <v>8</v>
      </c>
      <c r="C204" s="2" t="s">
        <v>63</v>
      </c>
      <c r="D204" s="2" t="s">
        <v>99</v>
      </c>
      <c r="E204" s="2" t="s">
        <v>65</v>
      </c>
      <c r="F204" s="2" t="s">
        <v>66</v>
      </c>
      <c r="G204" s="2" t="s">
        <v>67</v>
      </c>
      <c r="H204" s="1" t="str">
        <f t="shared" si="6"/>
        <v>0120</v>
      </c>
      <c r="I204" s="1" t="str">
        <f t="shared" si="7"/>
        <v>024</v>
      </c>
    </row>
    <row r="205" spans="1:9" ht="28.8" x14ac:dyDescent="0.3">
      <c r="A205" s="2" t="s">
        <v>108</v>
      </c>
      <c r="B205" s="2" t="s">
        <v>8</v>
      </c>
      <c r="C205" s="2" t="s">
        <v>59</v>
      </c>
      <c r="D205" s="2" t="s">
        <v>112</v>
      </c>
      <c r="E205" s="2" t="s">
        <v>56</v>
      </c>
      <c r="F205" s="2" t="s">
        <v>57</v>
      </c>
      <c r="G205" s="2" t="s">
        <v>58</v>
      </c>
      <c r="H205" s="1" t="str">
        <f t="shared" si="6"/>
        <v>0120</v>
      </c>
      <c r="I205" s="1" t="str">
        <f t="shared" si="7"/>
        <v>012</v>
      </c>
    </row>
    <row r="206" spans="1:9" ht="28.8" x14ac:dyDescent="0.3">
      <c r="A206" s="2" t="s">
        <v>108</v>
      </c>
      <c r="B206" s="2" t="s">
        <v>8</v>
      </c>
      <c r="C206" s="2" t="s">
        <v>63</v>
      </c>
      <c r="D206" s="2" t="s">
        <v>113</v>
      </c>
      <c r="E206" s="2" t="s">
        <v>65</v>
      </c>
      <c r="F206" s="2" t="s">
        <v>66</v>
      </c>
      <c r="G206" s="2" t="s">
        <v>67</v>
      </c>
      <c r="H206" s="1" t="str">
        <f t="shared" si="6"/>
        <v>0120</v>
      </c>
      <c r="I206" s="1" t="str">
        <f t="shared" si="7"/>
        <v>024</v>
      </c>
    </row>
    <row r="207" spans="1:9" ht="28.8" x14ac:dyDescent="0.3">
      <c r="A207" s="2" t="s">
        <v>335</v>
      </c>
      <c r="B207" s="2" t="s">
        <v>328</v>
      </c>
      <c r="C207" s="2" t="s">
        <v>59</v>
      </c>
      <c r="D207" s="2" t="s">
        <v>339</v>
      </c>
      <c r="E207" s="2" t="s">
        <v>56</v>
      </c>
      <c r="F207" s="2" t="s">
        <v>57</v>
      </c>
      <c r="G207" s="2" t="s">
        <v>58</v>
      </c>
      <c r="H207" s="1" t="str">
        <f t="shared" si="6"/>
        <v>0120</v>
      </c>
      <c r="I207" s="1" t="str">
        <f t="shared" si="7"/>
        <v>012</v>
      </c>
    </row>
    <row r="208" spans="1:9" ht="28.8" x14ac:dyDescent="0.3">
      <c r="A208" s="2" t="s">
        <v>335</v>
      </c>
      <c r="B208" s="2" t="s">
        <v>328</v>
      </c>
      <c r="C208" s="2" t="s">
        <v>63</v>
      </c>
      <c r="D208" s="2" t="s">
        <v>340</v>
      </c>
      <c r="E208" s="2" t="s">
        <v>65</v>
      </c>
      <c r="F208" s="2" t="s">
        <v>66</v>
      </c>
      <c r="G208" s="2" t="s">
        <v>67</v>
      </c>
      <c r="H208" s="1" t="str">
        <f t="shared" si="6"/>
        <v>0120</v>
      </c>
      <c r="I208" s="1" t="str">
        <f t="shared" si="7"/>
        <v>024</v>
      </c>
    </row>
    <row r="209" spans="1:9" ht="28.8" x14ac:dyDescent="0.3">
      <c r="A209" s="2" t="s">
        <v>346</v>
      </c>
      <c r="B209" s="2" t="s">
        <v>328</v>
      </c>
      <c r="C209" s="2" t="s">
        <v>59</v>
      </c>
      <c r="D209" s="2" t="s">
        <v>350</v>
      </c>
      <c r="E209" s="2" t="s">
        <v>56</v>
      </c>
      <c r="F209" s="2" t="s">
        <v>57</v>
      </c>
      <c r="G209" s="2" t="s">
        <v>58</v>
      </c>
      <c r="H209" s="1" t="str">
        <f t="shared" si="6"/>
        <v>0120</v>
      </c>
      <c r="I209" s="1" t="str">
        <f t="shared" si="7"/>
        <v>012</v>
      </c>
    </row>
    <row r="210" spans="1:9" ht="28.8" x14ac:dyDescent="0.3">
      <c r="A210" s="2" t="s">
        <v>346</v>
      </c>
      <c r="B210" s="2" t="s">
        <v>328</v>
      </c>
      <c r="C210" s="2" t="s">
        <v>63</v>
      </c>
      <c r="D210" s="2" t="s">
        <v>351</v>
      </c>
      <c r="E210" s="2" t="s">
        <v>65</v>
      </c>
      <c r="F210" s="2" t="s">
        <v>66</v>
      </c>
      <c r="G210" s="2" t="s">
        <v>67</v>
      </c>
      <c r="H210" s="1" t="str">
        <f t="shared" si="6"/>
        <v>0120</v>
      </c>
      <c r="I210" s="1" t="str">
        <f t="shared" si="7"/>
        <v>024</v>
      </c>
    </row>
    <row r="211" spans="1:9" ht="28.8" x14ac:dyDescent="0.3">
      <c r="A211" s="2" t="s">
        <v>358</v>
      </c>
      <c r="B211" s="2" t="s">
        <v>328</v>
      </c>
      <c r="C211" s="2" t="s">
        <v>59</v>
      </c>
      <c r="D211" s="2" t="s">
        <v>362</v>
      </c>
      <c r="E211" s="2" t="s">
        <v>56</v>
      </c>
      <c r="F211" s="2" t="s">
        <v>57</v>
      </c>
      <c r="G211" s="2" t="s">
        <v>58</v>
      </c>
      <c r="H211" s="1" t="str">
        <f t="shared" si="6"/>
        <v>0120</v>
      </c>
      <c r="I211" s="1" t="str">
        <f t="shared" si="7"/>
        <v>012</v>
      </c>
    </row>
    <row r="212" spans="1:9" ht="28.8" x14ac:dyDescent="0.3">
      <c r="A212" s="2" t="s">
        <v>358</v>
      </c>
      <c r="B212" s="2" t="s">
        <v>328</v>
      </c>
      <c r="C212" s="2" t="s">
        <v>63</v>
      </c>
      <c r="D212" s="2" t="s">
        <v>363</v>
      </c>
      <c r="E212" s="2" t="s">
        <v>65</v>
      </c>
      <c r="F212" s="2" t="s">
        <v>66</v>
      </c>
      <c r="G212" s="2" t="s">
        <v>67</v>
      </c>
      <c r="H212" s="1" t="str">
        <f t="shared" si="6"/>
        <v>0120</v>
      </c>
      <c r="I212" s="1" t="str">
        <f t="shared" si="7"/>
        <v>024</v>
      </c>
    </row>
    <row r="213" spans="1:9" ht="28.8" x14ac:dyDescent="0.3">
      <c r="A213" s="2" t="s">
        <v>183</v>
      </c>
      <c r="B213" s="2" t="s">
        <v>184</v>
      </c>
      <c r="C213" s="2" t="s">
        <v>185</v>
      </c>
      <c r="D213" s="2" t="s">
        <v>186</v>
      </c>
      <c r="E213" s="2" t="s">
        <v>56</v>
      </c>
      <c r="F213" s="2" t="s">
        <v>167</v>
      </c>
      <c r="G213" s="2" t="s">
        <v>168</v>
      </c>
      <c r="H213" s="1" t="str">
        <f t="shared" si="6"/>
        <v>0124</v>
      </c>
      <c r="I213" s="1" t="str">
        <f t="shared" si="7"/>
        <v>012</v>
      </c>
    </row>
    <row r="214" spans="1:9" ht="28.8" x14ac:dyDescent="0.3">
      <c r="A214" s="2" t="s">
        <v>183</v>
      </c>
      <c r="B214" s="2" t="s">
        <v>184</v>
      </c>
      <c r="C214" s="2" t="s">
        <v>187</v>
      </c>
      <c r="D214" s="2" t="s">
        <v>188</v>
      </c>
      <c r="E214" s="2" t="s">
        <v>12</v>
      </c>
      <c r="F214" s="2" t="s">
        <v>36</v>
      </c>
      <c r="G214" s="2" t="s">
        <v>37</v>
      </c>
      <c r="H214" s="1" t="str">
        <f t="shared" si="6"/>
        <v>0124</v>
      </c>
      <c r="I214" s="1" t="str">
        <f t="shared" si="7"/>
        <v>036</v>
      </c>
    </row>
    <row r="215" spans="1:9" ht="28.8" x14ac:dyDescent="0.3">
      <c r="A215" s="2" t="s">
        <v>250</v>
      </c>
      <c r="B215" s="2" t="s">
        <v>251</v>
      </c>
      <c r="C215" s="2" t="s">
        <v>185</v>
      </c>
      <c r="D215" s="2" t="s">
        <v>186</v>
      </c>
      <c r="E215" s="2" t="s">
        <v>56</v>
      </c>
      <c r="F215" s="2" t="s">
        <v>167</v>
      </c>
      <c r="G215" s="2" t="s">
        <v>168</v>
      </c>
      <c r="H215" s="1" t="str">
        <f t="shared" si="6"/>
        <v>0124</v>
      </c>
      <c r="I215" s="1" t="str">
        <f t="shared" si="7"/>
        <v>012</v>
      </c>
    </row>
    <row r="216" spans="1:9" ht="28.8" x14ac:dyDescent="0.3">
      <c r="A216" s="2" t="s">
        <v>250</v>
      </c>
      <c r="B216" s="2" t="s">
        <v>251</v>
      </c>
      <c r="C216" s="2" t="s">
        <v>187</v>
      </c>
      <c r="D216" s="2" t="s">
        <v>188</v>
      </c>
      <c r="E216" s="2" t="s">
        <v>12</v>
      </c>
      <c r="F216" s="2" t="s">
        <v>36</v>
      </c>
      <c r="G216" s="2" t="s">
        <v>37</v>
      </c>
      <c r="H216" s="1" t="str">
        <f t="shared" si="6"/>
        <v>0124</v>
      </c>
      <c r="I216" s="1" t="str">
        <f t="shared" si="7"/>
        <v>036</v>
      </c>
    </row>
    <row r="217" spans="1:9" ht="28.8" x14ac:dyDescent="0.3">
      <c r="A217" s="2" t="s">
        <v>294</v>
      </c>
      <c r="B217" s="2" t="s">
        <v>295</v>
      </c>
      <c r="C217" s="2" t="s">
        <v>185</v>
      </c>
      <c r="D217" s="2" t="s">
        <v>186</v>
      </c>
      <c r="E217" s="2" t="s">
        <v>56</v>
      </c>
      <c r="F217" s="2" t="s">
        <v>167</v>
      </c>
      <c r="G217" s="2" t="s">
        <v>168</v>
      </c>
      <c r="H217" s="1" t="str">
        <f t="shared" si="6"/>
        <v>0124</v>
      </c>
      <c r="I217" s="1" t="str">
        <f t="shared" si="7"/>
        <v>012</v>
      </c>
    </row>
    <row r="218" spans="1:9" ht="28.8" x14ac:dyDescent="0.3">
      <c r="A218" s="2" t="s">
        <v>294</v>
      </c>
      <c r="B218" s="2" t="s">
        <v>295</v>
      </c>
      <c r="C218" s="2" t="s">
        <v>187</v>
      </c>
      <c r="D218" s="2" t="s">
        <v>188</v>
      </c>
      <c r="E218" s="2" t="s">
        <v>12</v>
      </c>
      <c r="F218" s="2" t="s">
        <v>36</v>
      </c>
      <c r="G218" s="2" t="s">
        <v>37</v>
      </c>
      <c r="H218" s="1" t="str">
        <f t="shared" si="6"/>
        <v>0124</v>
      </c>
      <c r="I218" s="1" t="str">
        <f t="shared" si="7"/>
        <v>036</v>
      </c>
    </row>
    <row r="219" spans="1:9" ht="28.8" x14ac:dyDescent="0.3">
      <c r="A219" s="2" t="s">
        <v>394</v>
      </c>
      <c r="B219" s="2" t="s">
        <v>395</v>
      </c>
      <c r="C219" s="2" t="s">
        <v>185</v>
      </c>
      <c r="D219" s="2" t="s">
        <v>186</v>
      </c>
      <c r="E219" s="2" t="s">
        <v>56</v>
      </c>
      <c r="F219" s="2" t="s">
        <v>167</v>
      </c>
      <c r="G219" s="2" t="s">
        <v>168</v>
      </c>
      <c r="H219" s="1" t="str">
        <f t="shared" si="6"/>
        <v>0124</v>
      </c>
      <c r="I219" s="1" t="str">
        <f t="shared" si="7"/>
        <v>012</v>
      </c>
    </row>
    <row r="220" spans="1:9" ht="28.8" x14ac:dyDescent="0.3">
      <c r="A220" s="2" t="s">
        <v>394</v>
      </c>
      <c r="B220" s="2" t="s">
        <v>395</v>
      </c>
      <c r="C220" s="2" t="s">
        <v>187</v>
      </c>
      <c r="D220" s="2" t="s">
        <v>188</v>
      </c>
      <c r="E220" s="2" t="s">
        <v>12</v>
      </c>
      <c r="F220" s="2" t="s">
        <v>36</v>
      </c>
      <c r="G220" s="2" t="s">
        <v>37</v>
      </c>
      <c r="H220" s="1" t="str">
        <f t="shared" si="6"/>
        <v>0124</v>
      </c>
      <c r="I220" s="1" t="str">
        <f t="shared" si="7"/>
        <v>036</v>
      </c>
    </row>
    <row r="221" spans="1:9" ht="28.8" x14ac:dyDescent="0.3">
      <c r="A221" s="2" t="s">
        <v>439</v>
      </c>
      <c r="B221" s="2" t="s">
        <v>440</v>
      </c>
      <c r="C221" s="2" t="s">
        <v>185</v>
      </c>
      <c r="D221" s="2" t="s">
        <v>186</v>
      </c>
      <c r="E221" s="2" t="s">
        <v>56</v>
      </c>
      <c r="F221" s="2" t="s">
        <v>167</v>
      </c>
      <c r="G221" s="2" t="s">
        <v>168</v>
      </c>
      <c r="H221" s="1" t="str">
        <f t="shared" si="6"/>
        <v>0124</v>
      </c>
      <c r="I221" s="1" t="str">
        <f t="shared" si="7"/>
        <v>012</v>
      </c>
    </row>
    <row r="222" spans="1:9" ht="28.8" x14ac:dyDescent="0.3">
      <c r="A222" s="2" t="s">
        <v>439</v>
      </c>
      <c r="B222" s="2" t="s">
        <v>440</v>
      </c>
      <c r="C222" s="2" t="s">
        <v>187</v>
      </c>
      <c r="D222" s="2" t="s">
        <v>188</v>
      </c>
      <c r="E222" s="2" t="s">
        <v>12</v>
      </c>
      <c r="F222" s="2" t="s">
        <v>36</v>
      </c>
      <c r="G222" s="2" t="s">
        <v>37</v>
      </c>
      <c r="H222" s="1" t="str">
        <f t="shared" si="6"/>
        <v>0124</v>
      </c>
      <c r="I222" s="1" t="str">
        <f t="shared" si="7"/>
        <v>036</v>
      </c>
    </row>
    <row r="223" spans="1:9" ht="28.8" x14ac:dyDescent="0.3">
      <c r="A223" s="2" t="s">
        <v>482</v>
      </c>
      <c r="B223" s="2" t="s">
        <v>483</v>
      </c>
      <c r="C223" s="2" t="s">
        <v>185</v>
      </c>
      <c r="D223" s="2" t="s">
        <v>186</v>
      </c>
      <c r="E223" s="2" t="s">
        <v>56</v>
      </c>
      <c r="F223" s="2" t="s">
        <v>167</v>
      </c>
      <c r="G223" s="2" t="s">
        <v>168</v>
      </c>
      <c r="H223" s="1" t="str">
        <f t="shared" si="6"/>
        <v>0124</v>
      </c>
      <c r="I223" s="1" t="str">
        <f t="shared" si="7"/>
        <v>012</v>
      </c>
    </row>
    <row r="224" spans="1:9" ht="28.8" x14ac:dyDescent="0.3">
      <c r="A224" s="2" t="s">
        <v>482</v>
      </c>
      <c r="B224" s="2" t="s">
        <v>483</v>
      </c>
      <c r="C224" s="2" t="s">
        <v>187</v>
      </c>
      <c r="D224" s="2" t="s">
        <v>188</v>
      </c>
      <c r="E224" s="2" t="s">
        <v>12</v>
      </c>
      <c r="F224" s="2" t="s">
        <v>36</v>
      </c>
      <c r="G224" s="2" t="s">
        <v>37</v>
      </c>
      <c r="H224" s="1" t="str">
        <f t="shared" si="6"/>
        <v>0124</v>
      </c>
      <c r="I224" s="1" t="str">
        <f t="shared" si="7"/>
        <v>036</v>
      </c>
    </row>
    <row r="225" spans="1:9" ht="28.8" x14ac:dyDescent="0.3">
      <c r="A225" s="2" t="s">
        <v>44</v>
      </c>
      <c r="B225" s="2" t="s">
        <v>8</v>
      </c>
      <c r="C225" s="2" t="s">
        <v>61</v>
      </c>
      <c r="D225" s="2" t="s">
        <v>62</v>
      </c>
      <c r="E225" s="2" t="s">
        <v>56</v>
      </c>
      <c r="F225" s="2" t="s">
        <v>57</v>
      </c>
      <c r="G225" s="2" t="s">
        <v>58</v>
      </c>
      <c r="H225" s="1" t="str">
        <f t="shared" si="6"/>
        <v>0126</v>
      </c>
      <c r="I225" s="1" t="str">
        <f t="shared" si="7"/>
        <v>012</v>
      </c>
    </row>
    <row r="226" spans="1:9" ht="28.8" x14ac:dyDescent="0.3">
      <c r="A226" s="2" t="s">
        <v>93</v>
      </c>
      <c r="B226" s="2" t="s">
        <v>8</v>
      </c>
      <c r="C226" s="2" t="s">
        <v>61</v>
      </c>
      <c r="D226" s="2" t="s">
        <v>62</v>
      </c>
      <c r="E226" s="2" t="s">
        <v>56</v>
      </c>
      <c r="F226" s="2" t="s">
        <v>57</v>
      </c>
      <c r="G226" s="2" t="s">
        <v>58</v>
      </c>
      <c r="H226" s="1" t="str">
        <f t="shared" si="6"/>
        <v>0126</v>
      </c>
      <c r="I226" s="1" t="str">
        <f t="shared" si="7"/>
        <v>012</v>
      </c>
    </row>
    <row r="227" spans="1:9" ht="28.8" x14ac:dyDescent="0.3">
      <c r="A227" s="2" t="s">
        <v>108</v>
      </c>
      <c r="B227" s="2" t="s">
        <v>8</v>
      </c>
      <c r="C227" s="2" t="s">
        <v>61</v>
      </c>
      <c r="D227" s="2" t="s">
        <v>62</v>
      </c>
      <c r="E227" s="2" t="s">
        <v>56</v>
      </c>
      <c r="F227" s="2" t="s">
        <v>57</v>
      </c>
      <c r="G227" s="2" t="s">
        <v>58</v>
      </c>
      <c r="H227" s="1" t="str">
        <f t="shared" si="6"/>
        <v>0126</v>
      </c>
      <c r="I227" s="1" t="str">
        <f t="shared" si="7"/>
        <v>012</v>
      </c>
    </row>
    <row r="228" spans="1:9" ht="28.8" x14ac:dyDescent="0.3">
      <c r="A228" s="2" t="s">
        <v>335</v>
      </c>
      <c r="B228" s="2" t="s">
        <v>328</v>
      </c>
      <c r="C228" s="2" t="s">
        <v>61</v>
      </c>
      <c r="D228" s="2" t="s">
        <v>62</v>
      </c>
      <c r="E228" s="2" t="s">
        <v>56</v>
      </c>
      <c r="F228" s="2" t="s">
        <v>57</v>
      </c>
      <c r="G228" s="2" t="s">
        <v>58</v>
      </c>
      <c r="H228" s="1" t="str">
        <f t="shared" si="6"/>
        <v>0126</v>
      </c>
      <c r="I228" s="1" t="str">
        <f t="shared" si="7"/>
        <v>012</v>
      </c>
    </row>
    <row r="229" spans="1:9" ht="28.8" x14ac:dyDescent="0.3">
      <c r="A229" s="2" t="s">
        <v>346</v>
      </c>
      <c r="B229" s="2" t="s">
        <v>328</v>
      </c>
      <c r="C229" s="2" t="s">
        <v>61</v>
      </c>
      <c r="D229" s="2" t="s">
        <v>62</v>
      </c>
      <c r="E229" s="2" t="s">
        <v>56</v>
      </c>
      <c r="F229" s="2" t="s">
        <v>57</v>
      </c>
      <c r="G229" s="2" t="s">
        <v>58</v>
      </c>
      <c r="H229" s="1" t="str">
        <f t="shared" si="6"/>
        <v>0126</v>
      </c>
      <c r="I229" s="1" t="str">
        <f t="shared" si="7"/>
        <v>012</v>
      </c>
    </row>
    <row r="230" spans="1:9" ht="28.8" x14ac:dyDescent="0.3">
      <c r="A230" s="2" t="s">
        <v>358</v>
      </c>
      <c r="B230" s="2" t="s">
        <v>328</v>
      </c>
      <c r="C230" s="2" t="s">
        <v>61</v>
      </c>
      <c r="D230" s="2" t="s">
        <v>62</v>
      </c>
      <c r="E230" s="2" t="s">
        <v>56</v>
      </c>
      <c r="F230" s="2" t="s">
        <v>57</v>
      </c>
      <c r="G230" s="2" t="s">
        <v>58</v>
      </c>
      <c r="H230" s="1" t="str">
        <f t="shared" si="6"/>
        <v>0126</v>
      </c>
      <c r="I230" s="1" t="str">
        <f t="shared" si="7"/>
        <v>012</v>
      </c>
    </row>
    <row r="231" spans="1:9" ht="28.8" x14ac:dyDescent="0.3">
      <c r="A231" s="2" t="s">
        <v>44</v>
      </c>
      <c r="B231" s="2" t="s">
        <v>8</v>
      </c>
      <c r="C231" s="2" t="s">
        <v>88</v>
      </c>
      <c r="D231" s="2" t="s">
        <v>89</v>
      </c>
      <c r="E231" s="2" t="s">
        <v>56</v>
      </c>
      <c r="F231" s="2" t="s">
        <v>90</v>
      </c>
      <c r="G231" s="2" t="s">
        <v>91</v>
      </c>
      <c r="H231" s="1" t="str">
        <f t="shared" si="6"/>
        <v>0128</v>
      </c>
      <c r="I231" s="1" t="str">
        <f t="shared" si="7"/>
        <v>012</v>
      </c>
    </row>
    <row r="232" spans="1:9" ht="28.8" x14ac:dyDescent="0.3">
      <c r="A232" s="2" t="s">
        <v>93</v>
      </c>
      <c r="B232" s="2" t="s">
        <v>8</v>
      </c>
      <c r="C232" s="2" t="s">
        <v>88</v>
      </c>
      <c r="D232" s="2" t="s">
        <v>89</v>
      </c>
      <c r="E232" s="2" t="s">
        <v>56</v>
      </c>
      <c r="F232" s="2" t="s">
        <v>105</v>
      </c>
      <c r="G232" s="2" t="s">
        <v>106</v>
      </c>
      <c r="H232" s="1" t="str">
        <f t="shared" si="6"/>
        <v>0128</v>
      </c>
      <c r="I232" s="1" t="str">
        <f t="shared" si="7"/>
        <v>012</v>
      </c>
    </row>
    <row r="233" spans="1:9" ht="28.8" x14ac:dyDescent="0.3">
      <c r="A233" s="2" t="s">
        <v>108</v>
      </c>
      <c r="B233" s="2" t="s">
        <v>8</v>
      </c>
      <c r="C233" s="2" t="s">
        <v>88</v>
      </c>
      <c r="D233" s="2" t="s">
        <v>89</v>
      </c>
      <c r="E233" s="2" t="s">
        <v>56</v>
      </c>
      <c r="F233" s="2" t="s">
        <v>119</v>
      </c>
      <c r="G233" s="2" t="s">
        <v>120</v>
      </c>
      <c r="H233" s="1" t="str">
        <f t="shared" si="6"/>
        <v>0128</v>
      </c>
      <c r="I233" s="1" t="str">
        <f t="shared" si="7"/>
        <v>012</v>
      </c>
    </row>
    <row r="234" spans="1:9" ht="28.8" x14ac:dyDescent="0.3">
      <c r="A234" s="2" t="s">
        <v>335</v>
      </c>
      <c r="B234" s="2" t="s">
        <v>328</v>
      </c>
      <c r="C234" s="2" t="s">
        <v>88</v>
      </c>
      <c r="D234" s="2" t="s">
        <v>89</v>
      </c>
      <c r="E234" s="2" t="s">
        <v>56</v>
      </c>
      <c r="F234" s="2" t="s">
        <v>90</v>
      </c>
      <c r="G234" s="2" t="s">
        <v>91</v>
      </c>
      <c r="H234" s="1" t="str">
        <f t="shared" si="6"/>
        <v>0128</v>
      </c>
      <c r="I234" s="1" t="str">
        <f t="shared" si="7"/>
        <v>012</v>
      </c>
    </row>
    <row r="235" spans="1:9" ht="28.8" x14ac:dyDescent="0.3">
      <c r="A235" s="2" t="s">
        <v>346</v>
      </c>
      <c r="B235" s="2" t="s">
        <v>328</v>
      </c>
      <c r="C235" s="2" t="s">
        <v>88</v>
      </c>
      <c r="D235" s="2" t="s">
        <v>89</v>
      </c>
      <c r="E235" s="2" t="s">
        <v>56</v>
      </c>
      <c r="F235" s="2" t="s">
        <v>105</v>
      </c>
      <c r="G235" s="2" t="s">
        <v>106</v>
      </c>
      <c r="H235" s="1" t="str">
        <f t="shared" si="6"/>
        <v>0128</v>
      </c>
      <c r="I235" s="1" t="str">
        <f t="shared" si="7"/>
        <v>012</v>
      </c>
    </row>
    <row r="236" spans="1:9" ht="28.8" x14ac:dyDescent="0.3">
      <c r="A236" s="2" t="s">
        <v>358</v>
      </c>
      <c r="B236" s="2" t="s">
        <v>328</v>
      </c>
      <c r="C236" s="2" t="s">
        <v>88</v>
      </c>
      <c r="D236" s="2" t="s">
        <v>89</v>
      </c>
      <c r="E236" s="2" t="s">
        <v>56</v>
      </c>
      <c r="F236" s="2" t="s">
        <v>119</v>
      </c>
      <c r="G236" s="2" t="s">
        <v>120</v>
      </c>
      <c r="H236" s="1" t="str">
        <f t="shared" si="6"/>
        <v>0128</v>
      </c>
      <c r="I236" s="1" t="str">
        <f t="shared" si="7"/>
        <v>012</v>
      </c>
    </row>
    <row r="237" spans="1:9" x14ac:dyDescent="0.3">
      <c r="A237" s="2" t="s">
        <v>8</v>
      </c>
      <c r="B237" s="2" t="s">
        <v>9</v>
      </c>
      <c r="C237" s="2" t="s">
        <v>10</v>
      </c>
      <c r="D237" s="2" t="s">
        <v>11</v>
      </c>
      <c r="E237" s="2" t="s">
        <v>12</v>
      </c>
      <c r="F237" s="2" t="s">
        <v>13</v>
      </c>
      <c r="G237" s="2" t="s">
        <v>14</v>
      </c>
      <c r="H237" s="1" t="str">
        <f t="shared" si="6"/>
        <v>0140</v>
      </c>
      <c r="I237" s="1" t="str">
        <f t="shared" si="7"/>
        <v>036</v>
      </c>
    </row>
    <row r="238" spans="1:9" x14ac:dyDescent="0.3">
      <c r="A238" s="2" t="s">
        <v>8</v>
      </c>
      <c r="B238" s="2" t="s">
        <v>9</v>
      </c>
      <c r="C238" s="2" t="s">
        <v>20</v>
      </c>
      <c r="D238" s="2" t="s">
        <v>21</v>
      </c>
      <c r="E238" s="2" t="s">
        <v>17</v>
      </c>
      <c r="F238" s="2" t="s">
        <v>22</v>
      </c>
      <c r="G238" s="2" t="s">
        <v>23</v>
      </c>
      <c r="H238" s="1" t="str">
        <f t="shared" si="6"/>
        <v>0140</v>
      </c>
      <c r="I238" s="1" t="str">
        <f t="shared" si="7"/>
        <v>180</v>
      </c>
    </row>
    <row r="239" spans="1:9" x14ac:dyDescent="0.3">
      <c r="A239" s="2" t="s">
        <v>8</v>
      </c>
      <c r="B239" s="2" t="s">
        <v>9</v>
      </c>
      <c r="C239" s="2" t="s">
        <v>24</v>
      </c>
      <c r="D239" s="2" t="s">
        <v>25</v>
      </c>
      <c r="E239" s="2" t="s">
        <v>26</v>
      </c>
      <c r="F239" s="2" t="s">
        <v>22</v>
      </c>
      <c r="G239" s="2" t="s">
        <v>27</v>
      </c>
      <c r="H239" s="1" t="str">
        <f t="shared" si="6"/>
        <v>0140</v>
      </c>
      <c r="I239" s="1" t="str">
        <f t="shared" si="7"/>
        <v>360</v>
      </c>
    </row>
    <row r="240" spans="1:9" x14ac:dyDescent="0.3">
      <c r="A240" s="2" t="s">
        <v>126</v>
      </c>
      <c r="B240" s="2" t="s">
        <v>44</v>
      </c>
      <c r="C240" s="2" t="s">
        <v>127</v>
      </c>
      <c r="D240" s="2" t="s">
        <v>128</v>
      </c>
      <c r="E240" s="2" t="s">
        <v>85</v>
      </c>
      <c r="F240" s="2" t="s">
        <v>86</v>
      </c>
      <c r="G240" s="2" t="s">
        <v>87</v>
      </c>
      <c r="H240" s="1" t="str">
        <f t="shared" si="6"/>
        <v>0140</v>
      </c>
      <c r="I240" s="1" t="str">
        <f t="shared" si="7"/>
        <v>072</v>
      </c>
    </row>
    <row r="241" spans="1:9" x14ac:dyDescent="0.3">
      <c r="A241" s="2" t="s">
        <v>232</v>
      </c>
      <c r="B241" s="2" t="s">
        <v>93</v>
      </c>
      <c r="C241" s="2" t="s">
        <v>10</v>
      </c>
      <c r="D241" s="2" t="s">
        <v>233</v>
      </c>
      <c r="E241" s="2" t="s">
        <v>12</v>
      </c>
      <c r="F241" s="2" t="s">
        <v>13</v>
      </c>
      <c r="G241" s="2" t="s">
        <v>14</v>
      </c>
      <c r="H241" s="1" t="str">
        <f t="shared" si="6"/>
        <v>0140</v>
      </c>
      <c r="I241" s="1" t="str">
        <f t="shared" si="7"/>
        <v>036</v>
      </c>
    </row>
    <row r="242" spans="1:9" x14ac:dyDescent="0.3">
      <c r="A242" s="2" t="s">
        <v>232</v>
      </c>
      <c r="B242" s="2" t="s">
        <v>93</v>
      </c>
      <c r="C242" s="2" t="s">
        <v>127</v>
      </c>
      <c r="D242" s="2" t="s">
        <v>234</v>
      </c>
      <c r="E242" s="2" t="s">
        <v>85</v>
      </c>
      <c r="F242" s="2" t="s">
        <v>86</v>
      </c>
      <c r="G242" s="2" t="s">
        <v>87</v>
      </c>
      <c r="H242" s="1" t="str">
        <f t="shared" si="6"/>
        <v>0140</v>
      </c>
      <c r="I242" s="1" t="str">
        <f t="shared" si="7"/>
        <v>072</v>
      </c>
    </row>
    <row r="243" spans="1:9" x14ac:dyDescent="0.3">
      <c r="A243" s="2" t="s">
        <v>232</v>
      </c>
      <c r="B243" s="2" t="s">
        <v>93</v>
      </c>
      <c r="C243" s="2" t="s">
        <v>20</v>
      </c>
      <c r="D243" s="2" t="s">
        <v>235</v>
      </c>
      <c r="E243" s="2" t="s">
        <v>17</v>
      </c>
      <c r="F243" s="2" t="s">
        <v>22</v>
      </c>
      <c r="G243" s="2" t="s">
        <v>23</v>
      </c>
      <c r="H243" s="1" t="str">
        <f t="shared" si="6"/>
        <v>0140</v>
      </c>
      <c r="I243" s="1" t="str">
        <f t="shared" si="7"/>
        <v>180</v>
      </c>
    </row>
    <row r="244" spans="1:9" x14ac:dyDescent="0.3">
      <c r="A244" s="2" t="s">
        <v>232</v>
      </c>
      <c r="B244" s="2" t="s">
        <v>93</v>
      </c>
      <c r="C244" s="2" t="s">
        <v>24</v>
      </c>
      <c r="D244" s="2" t="s">
        <v>236</v>
      </c>
      <c r="E244" s="2" t="s">
        <v>26</v>
      </c>
      <c r="F244" s="2" t="s">
        <v>22</v>
      </c>
      <c r="G244" s="2" t="s">
        <v>27</v>
      </c>
      <c r="H244" s="1" t="str">
        <f t="shared" si="6"/>
        <v>0140</v>
      </c>
      <c r="I244" s="1" t="str">
        <f t="shared" si="7"/>
        <v>360</v>
      </c>
    </row>
    <row r="245" spans="1:9" x14ac:dyDescent="0.3">
      <c r="A245" s="2" t="s">
        <v>276</v>
      </c>
      <c r="B245" s="2" t="s">
        <v>108</v>
      </c>
      <c r="C245" s="2" t="s">
        <v>10</v>
      </c>
      <c r="D245" s="2" t="s">
        <v>277</v>
      </c>
      <c r="E245" s="2" t="s">
        <v>12</v>
      </c>
      <c r="F245" s="2" t="s">
        <v>13</v>
      </c>
      <c r="G245" s="2" t="s">
        <v>14</v>
      </c>
      <c r="H245" s="1" t="str">
        <f t="shared" si="6"/>
        <v>0140</v>
      </c>
      <c r="I245" s="1" t="str">
        <f t="shared" si="7"/>
        <v>036</v>
      </c>
    </row>
    <row r="246" spans="1:9" x14ac:dyDescent="0.3">
      <c r="A246" s="2" t="s">
        <v>276</v>
      </c>
      <c r="B246" s="2" t="s">
        <v>108</v>
      </c>
      <c r="C246" s="2" t="s">
        <v>127</v>
      </c>
      <c r="D246" s="2" t="s">
        <v>278</v>
      </c>
      <c r="E246" s="2" t="s">
        <v>85</v>
      </c>
      <c r="F246" s="2" t="s">
        <v>86</v>
      </c>
      <c r="G246" s="2" t="s">
        <v>87</v>
      </c>
      <c r="H246" s="1" t="str">
        <f t="shared" si="6"/>
        <v>0140</v>
      </c>
      <c r="I246" s="1" t="str">
        <f t="shared" si="7"/>
        <v>072</v>
      </c>
    </row>
    <row r="247" spans="1:9" x14ac:dyDescent="0.3">
      <c r="A247" s="2" t="s">
        <v>276</v>
      </c>
      <c r="B247" s="2" t="s">
        <v>108</v>
      </c>
      <c r="C247" s="2" t="s">
        <v>20</v>
      </c>
      <c r="D247" s="2" t="s">
        <v>279</v>
      </c>
      <c r="E247" s="2" t="s">
        <v>17</v>
      </c>
      <c r="F247" s="2" t="s">
        <v>22</v>
      </c>
      <c r="G247" s="2" t="s">
        <v>23</v>
      </c>
      <c r="H247" s="1" t="str">
        <f t="shared" si="6"/>
        <v>0140</v>
      </c>
      <c r="I247" s="1" t="str">
        <f t="shared" si="7"/>
        <v>180</v>
      </c>
    </row>
    <row r="248" spans="1:9" x14ac:dyDescent="0.3">
      <c r="A248" s="2" t="s">
        <v>276</v>
      </c>
      <c r="B248" s="2" t="s">
        <v>108</v>
      </c>
      <c r="C248" s="2" t="s">
        <v>24</v>
      </c>
      <c r="D248" s="2" t="s">
        <v>280</v>
      </c>
      <c r="E248" s="2" t="s">
        <v>26</v>
      </c>
      <c r="F248" s="2" t="s">
        <v>22</v>
      </c>
      <c r="G248" s="2" t="s">
        <v>27</v>
      </c>
      <c r="H248" s="1" t="str">
        <f t="shared" si="6"/>
        <v>0140</v>
      </c>
      <c r="I248" s="1" t="str">
        <f t="shared" si="7"/>
        <v>360</v>
      </c>
    </row>
    <row r="249" spans="1:9" x14ac:dyDescent="0.3">
      <c r="A249" s="2" t="s">
        <v>373</v>
      </c>
      <c r="B249" s="2" t="s">
        <v>335</v>
      </c>
      <c r="C249" s="2" t="s">
        <v>10</v>
      </c>
      <c r="D249" s="2" t="s">
        <v>374</v>
      </c>
      <c r="E249" s="2" t="s">
        <v>12</v>
      </c>
      <c r="F249" s="2" t="s">
        <v>13</v>
      </c>
      <c r="G249" s="2" t="s">
        <v>14</v>
      </c>
      <c r="H249" s="1" t="str">
        <f t="shared" si="6"/>
        <v>0140</v>
      </c>
      <c r="I249" s="1" t="str">
        <f t="shared" si="7"/>
        <v>036</v>
      </c>
    </row>
    <row r="250" spans="1:9" x14ac:dyDescent="0.3">
      <c r="A250" s="2" t="s">
        <v>373</v>
      </c>
      <c r="B250" s="2" t="s">
        <v>335</v>
      </c>
      <c r="C250" s="2" t="s">
        <v>127</v>
      </c>
      <c r="D250" s="2" t="s">
        <v>375</v>
      </c>
      <c r="E250" s="2" t="s">
        <v>85</v>
      </c>
      <c r="F250" s="2" t="s">
        <v>86</v>
      </c>
      <c r="G250" s="2" t="s">
        <v>87</v>
      </c>
      <c r="H250" s="1" t="str">
        <f t="shared" si="6"/>
        <v>0140</v>
      </c>
      <c r="I250" s="1" t="str">
        <f t="shared" si="7"/>
        <v>072</v>
      </c>
    </row>
    <row r="251" spans="1:9" x14ac:dyDescent="0.3">
      <c r="A251" s="2" t="s">
        <v>373</v>
      </c>
      <c r="B251" s="2" t="s">
        <v>335</v>
      </c>
      <c r="C251" s="2" t="s">
        <v>20</v>
      </c>
      <c r="D251" s="2" t="s">
        <v>376</v>
      </c>
      <c r="E251" s="2" t="s">
        <v>17</v>
      </c>
      <c r="F251" s="2" t="s">
        <v>22</v>
      </c>
      <c r="G251" s="2" t="s">
        <v>23</v>
      </c>
      <c r="H251" s="1" t="str">
        <f t="shared" si="6"/>
        <v>0140</v>
      </c>
      <c r="I251" s="1" t="str">
        <f t="shared" si="7"/>
        <v>180</v>
      </c>
    </row>
    <row r="252" spans="1:9" x14ac:dyDescent="0.3">
      <c r="A252" s="2" t="s">
        <v>373</v>
      </c>
      <c r="B252" s="2" t="s">
        <v>335</v>
      </c>
      <c r="C252" s="2" t="s">
        <v>24</v>
      </c>
      <c r="D252" s="2" t="s">
        <v>377</v>
      </c>
      <c r="E252" s="2" t="s">
        <v>26</v>
      </c>
      <c r="F252" s="2" t="s">
        <v>22</v>
      </c>
      <c r="G252" s="2" t="s">
        <v>27</v>
      </c>
      <c r="H252" s="1" t="str">
        <f t="shared" si="6"/>
        <v>0140</v>
      </c>
      <c r="I252" s="1" t="str">
        <f t="shared" si="7"/>
        <v>360</v>
      </c>
    </row>
    <row r="253" spans="1:9" x14ac:dyDescent="0.3">
      <c r="A253" s="2" t="s">
        <v>421</v>
      </c>
      <c r="B253" s="2" t="s">
        <v>346</v>
      </c>
      <c r="C253" s="2" t="s">
        <v>10</v>
      </c>
      <c r="D253" s="2" t="s">
        <v>422</v>
      </c>
      <c r="E253" s="2" t="s">
        <v>12</v>
      </c>
      <c r="F253" s="2" t="s">
        <v>13</v>
      </c>
      <c r="G253" s="2" t="s">
        <v>14</v>
      </c>
      <c r="H253" s="1" t="str">
        <f t="shared" si="6"/>
        <v>0140</v>
      </c>
      <c r="I253" s="1" t="str">
        <f t="shared" si="7"/>
        <v>036</v>
      </c>
    </row>
    <row r="254" spans="1:9" x14ac:dyDescent="0.3">
      <c r="A254" s="2" t="s">
        <v>421</v>
      </c>
      <c r="B254" s="2" t="s">
        <v>346</v>
      </c>
      <c r="C254" s="2" t="s">
        <v>127</v>
      </c>
      <c r="D254" s="2" t="s">
        <v>423</v>
      </c>
      <c r="E254" s="2" t="s">
        <v>85</v>
      </c>
      <c r="F254" s="2" t="s">
        <v>86</v>
      </c>
      <c r="G254" s="2" t="s">
        <v>87</v>
      </c>
      <c r="H254" s="1" t="str">
        <f t="shared" si="6"/>
        <v>0140</v>
      </c>
      <c r="I254" s="1" t="str">
        <f t="shared" si="7"/>
        <v>072</v>
      </c>
    </row>
    <row r="255" spans="1:9" x14ac:dyDescent="0.3">
      <c r="A255" s="2" t="s">
        <v>421</v>
      </c>
      <c r="B255" s="2" t="s">
        <v>346</v>
      </c>
      <c r="C255" s="2" t="s">
        <v>20</v>
      </c>
      <c r="D255" s="2" t="s">
        <v>424</v>
      </c>
      <c r="E255" s="2" t="s">
        <v>17</v>
      </c>
      <c r="F255" s="2" t="s">
        <v>22</v>
      </c>
      <c r="G255" s="2" t="s">
        <v>23</v>
      </c>
      <c r="H255" s="1" t="str">
        <f t="shared" si="6"/>
        <v>0140</v>
      </c>
      <c r="I255" s="1" t="str">
        <f t="shared" si="7"/>
        <v>180</v>
      </c>
    </row>
    <row r="256" spans="1:9" x14ac:dyDescent="0.3">
      <c r="A256" s="2" t="s">
        <v>421</v>
      </c>
      <c r="B256" s="2" t="s">
        <v>346</v>
      </c>
      <c r="C256" s="2" t="s">
        <v>24</v>
      </c>
      <c r="D256" s="2" t="s">
        <v>425</v>
      </c>
      <c r="E256" s="2" t="s">
        <v>26</v>
      </c>
      <c r="F256" s="2" t="s">
        <v>22</v>
      </c>
      <c r="G256" s="2" t="s">
        <v>27</v>
      </c>
      <c r="H256" s="1" t="str">
        <f t="shared" si="6"/>
        <v>0140</v>
      </c>
      <c r="I256" s="1" t="str">
        <f t="shared" si="7"/>
        <v>360</v>
      </c>
    </row>
    <row r="257" spans="1:9" x14ac:dyDescent="0.3">
      <c r="A257" s="2" t="s">
        <v>464</v>
      </c>
      <c r="B257" s="2" t="s">
        <v>358</v>
      </c>
      <c r="C257" s="2" t="s">
        <v>127</v>
      </c>
      <c r="D257" s="2" t="s">
        <v>465</v>
      </c>
      <c r="E257" s="2" t="s">
        <v>85</v>
      </c>
      <c r="F257" s="2" t="s">
        <v>86</v>
      </c>
      <c r="G257" s="2" t="s">
        <v>87</v>
      </c>
      <c r="H257" s="1" t="str">
        <f t="shared" si="6"/>
        <v>0140</v>
      </c>
      <c r="I257" s="1" t="str">
        <f t="shared" si="7"/>
        <v>072</v>
      </c>
    </row>
    <row r="258" spans="1:9" x14ac:dyDescent="0.3">
      <c r="A258" s="2" t="s">
        <v>464</v>
      </c>
      <c r="B258" s="2" t="s">
        <v>358</v>
      </c>
      <c r="C258" s="2" t="s">
        <v>10</v>
      </c>
      <c r="D258" s="2" t="s">
        <v>466</v>
      </c>
      <c r="E258" s="2" t="s">
        <v>12</v>
      </c>
      <c r="F258" s="2" t="s">
        <v>13</v>
      </c>
      <c r="G258" s="2" t="s">
        <v>14</v>
      </c>
      <c r="H258" s="1" t="str">
        <f t="shared" ref="H258:H321" si="8">IF(LEN(D258)&gt;19,MID(D258,17,4),"")</f>
        <v>0140</v>
      </c>
      <c r="I258" s="1" t="str">
        <f t="shared" ref="I258:I321" si="9">IF(LEN(D258)&gt;19,MID(D258,13,3),"")</f>
        <v>036</v>
      </c>
    </row>
    <row r="259" spans="1:9" x14ac:dyDescent="0.3">
      <c r="A259" s="2" t="s">
        <v>464</v>
      </c>
      <c r="B259" s="2" t="s">
        <v>358</v>
      </c>
      <c r="C259" s="2" t="s">
        <v>20</v>
      </c>
      <c r="D259" s="2" t="s">
        <v>467</v>
      </c>
      <c r="E259" s="2" t="s">
        <v>17</v>
      </c>
      <c r="F259" s="2" t="s">
        <v>22</v>
      </c>
      <c r="G259" s="2" t="s">
        <v>23</v>
      </c>
      <c r="H259" s="1" t="str">
        <f t="shared" si="8"/>
        <v>0140</v>
      </c>
      <c r="I259" s="1" t="str">
        <f t="shared" si="9"/>
        <v>180</v>
      </c>
    </row>
    <row r="260" spans="1:9" x14ac:dyDescent="0.3">
      <c r="A260" s="2" t="s">
        <v>464</v>
      </c>
      <c r="B260" s="2" t="s">
        <v>358</v>
      </c>
      <c r="C260" s="2" t="s">
        <v>24</v>
      </c>
      <c r="D260" s="2" t="s">
        <v>468</v>
      </c>
      <c r="E260" s="2" t="s">
        <v>26</v>
      </c>
      <c r="F260" s="2" t="s">
        <v>22</v>
      </c>
      <c r="G260" s="2" t="s">
        <v>27</v>
      </c>
      <c r="H260" s="1" t="str">
        <f t="shared" si="8"/>
        <v>0140</v>
      </c>
      <c r="I260" s="1" t="str">
        <f t="shared" si="9"/>
        <v>360</v>
      </c>
    </row>
    <row r="261" spans="1:9" ht="28.8" x14ac:dyDescent="0.3">
      <c r="A261" s="2" t="s">
        <v>223</v>
      </c>
      <c r="B261" s="2" t="s">
        <v>172</v>
      </c>
      <c r="C261" s="2" t="s">
        <v>224</v>
      </c>
      <c r="D261" s="2" t="s">
        <v>225</v>
      </c>
      <c r="E261" s="2" t="s">
        <v>12</v>
      </c>
      <c r="F261" s="2" t="s">
        <v>226</v>
      </c>
      <c r="G261" s="2" t="s">
        <v>227</v>
      </c>
      <c r="H261" s="1" t="str">
        <f t="shared" si="8"/>
        <v>0142</v>
      </c>
      <c r="I261" s="1" t="str">
        <f t="shared" si="9"/>
        <v>036</v>
      </c>
    </row>
    <row r="262" spans="1:9" ht="28.8" x14ac:dyDescent="0.3">
      <c r="A262" s="2" t="s">
        <v>271</v>
      </c>
      <c r="B262" s="2" t="s">
        <v>248</v>
      </c>
      <c r="C262" s="2" t="s">
        <v>224</v>
      </c>
      <c r="D262" s="2" t="s">
        <v>225</v>
      </c>
      <c r="E262" s="2" t="s">
        <v>12</v>
      </c>
      <c r="F262" s="2" t="s">
        <v>226</v>
      </c>
      <c r="G262" s="2" t="s">
        <v>227</v>
      </c>
      <c r="H262" s="1" t="str">
        <f t="shared" si="8"/>
        <v>0142</v>
      </c>
      <c r="I262" s="1" t="str">
        <f t="shared" si="9"/>
        <v>036</v>
      </c>
    </row>
    <row r="263" spans="1:9" ht="28.8" x14ac:dyDescent="0.3">
      <c r="A263" s="2" t="s">
        <v>314</v>
      </c>
      <c r="B263" s="2" t="s">
        <v>292</v>
      </c>
      <c r="C263" s="2" t="s">
        <v>224</v>
      </c>
      <c r="D263" s="2" t="s">
        <v>225</v>
      </c>
      <c r="E263" s="2" t="s">
        <v>12</v>
      </c>
      <c r="F263" s="2" t="s">
        <v>226</v>
      </c>
      <c r="G263" s="2" t="s">
        <v>227</v>
      </c>
      <c r="H263" s="1" t="str">
        <f t="shared" si="8"/>
        <v>0142</v>
      </c>
      <c r="I263" s="1" t="str">
        <f t="shared" si="9"/>
        <v>036</v>
      </c>
    </row>
    <row r="264" spans="1:9" ht="28.8" x14ac:dyDescent="0.3">
      <c r="A264" s="2" t="s">
        <v>416</v>
      </c>
      <c r="B264" s="2" t="s">
        <v>392</v>
      </c>
      <c r="C264" s="2" t="s">
        <v>224</v>
      </c>
      <c r="D264" s="2" t="s">
        <v>225</v>
      </c>
      <c r="E264" s="2" t="s">
        <v>12</v>
      </c>
      <c r="F264" s="2" t="s">
        <v>226</v>
      </c>
      <c r="G264" s="2" t="s">
        <v>227</v>
      </c>
      <c r="H264" s="1" t="str">
        <f t="shared" si="8"/>
        <v>0142</v>
      </c>
      <c r="I264" s="1" t="str">
        <f t="shared" si="9"/>
        <v>036</v>
      </c>
    </row>
    <row r="265" spans="1:9" ht="28.8" x14ac:dyDescent="0.3">
      <c r="A265" s="2" t="s">
        <v>459</v>
      </c>
      <c r="B265" s="2" t="s">
        <v>437</v>
      </c>
      <c r="C265" s="2" t="s">
        <v>224</v>
      </c>
      <c r="D265" s="2" t="s">
        <v>225</v>
      </c>
      <c r="E265" s="2" t="s">
        <v>12</v>
      </c>
      <c r="F265" s="2" t="s">
        <v>226</v>
      </c>
      <c r="G265" s="2" t="s">
        <v>227</v>
      </c>
      <c r="H265" s="1" t="str">
        <f t="shared" si="8"/>
        <v>0142</v>
      </c>
      <c r="I265" s="1" t="str">
        <f t="shared" si="9"/>
        <v>036</v>
      </c>
    </row>
    <row r="266" spans="1:9" ht="28.8" x14ac:dyDescent="0.3">
      <c r="A266" s="2" t="s">
        <v>502</v>
      </c>
      <c r="B266" s="2" t="s">
        <v>480</v>
      </c>
      <c r="C266" s="2" t="s">
        <v>224</v>
      </c>
      <c r="D266" s="2" t="s">
        <v>225</v>
      </c>
      <c r="E266" s="2" t="s">
        <v>12</v>
      </c>
      <c r="F266" s="2" t="s">
        <v>226</v>
      </c>
      <c r="G266" s="2" t="s">
        <v>227</v>
      </c>
      <c r="H266" s="1" t="str">
        <f t="shared" si="8"/>
        <v>0142</v>
      </c>
      <c r="I266" s="1" t="str">
        <f t="shared" si="9"/>
        <v>036</v>
      </c>
    </row>
    <row r="267" spans="1:9" x14ac:dyDescent="0.3">
      <c r="A267" s="2" t="s">
        <v>29</v>
      </c>
      <c r="B267" s="2" t="s">
        <v>8</v>
      </c>
      <c r="C267" s="2" t="s">
        <v>30</v>
      </c>
      <c r="D267" s="2" t="s">
        <v>31</v>
      </c>
      <c r="E267" s="2" t="s">
        <v>32</v>
      </c>
      <c r="F267" s="2" t="s">
        <v>33</v>
      </c>
      <c r="G267" s="2" t="s">
        <v>23</v>
      </c>
      <c r="H267" s="1" t="str">
        <f t="shared" si="8"/>
        <v>0150</v>
      </c>
      <c r="I267" s="1" t="str">
        <f t="shared" si="9"/>
        <v>060</v>
      </c>
    </row>
    <row r="268" spans="1:9" x14ac:dyDescent="0.3">
      <c r="A268" s="2" t="s">
        <v>331</v>
      </c>
      <c r="B268" s="2" t="s">
        <v>328</v>
      </c>
      <c r="C268" s="2" t="s">
        <v>30</v>
      </c>
      <c r="D268" s="2" t="s">
        <v>332</v>
      </c>
      <c r="E268" s="2" t="s">
        <v>32</v>
      </c>
      <c r="F268" s="2" t="s">
        <v>33</v>
      </c>
      <c r="G268" s="2" t="s">
        <v>23</v>
      </c>
      <c r="H268" s="1" t="str">
        <f t="shared" si="8"/>
        <v>0150</v>
      </c>
      <c r="I268" s="1" t="str">
        <f t="shared" si="9"/>
        <v>060</v>
      </c>
    </row>
    <row r="269" spans="1:9" ht="28.8" x14ac:dyDescent="0.3">
      <c r="A269" s="2" t="s">
        <v>44</v>
      </c>
      <c r="B269" s="2" t="s">
        <v>8</v>
      </c>
      <c r="C269" s="2" t="s">
        <v>83</v>
      </c>
      <c r="D269" s="2" t="s">
        <v>84</v>
      </c>
      <c r="E269" s="2" t="s">
        <v>85</v>
      </c>
      <c r="F269" s="2" t="s">
        <v>86</v>
      </c>
      <c r="G269" s="2" t="s">
        <v>87</v>
      </c>
      <c r="H269" s="1" t="str">
        <f t="shared" si="8"/>
        <v>0160</v>
      </c>
      <c r="I269" s="1" t="str">
        <f t="shared" si="9"/>
        <v>072</v>
      </c>
    </row>
    <row r="270" spans="1:9" ht="28.8" x14ac:dyDescent="0.3">
      <c r="A270" s="2" t="s">
        <v>93</v>
      </c>
      <c r="B270" s="2" t="s">
        <v>8</v>
      </c>
      <c r="C270" s="2" t="s">
        <v>83</v>
      </c>
      <c r="D270" s="2" t="s">
        <v>94</v>
      </c>
      <c r="E270" s="2" t="s">
        <v>85</v>
      </c>
      <c r="F270" s="2" t="s">
        <v>86</v>
      </c>
      <c r="G270" s="2" t="s">
        <v>87</v>
      </c>
      <c r="H270" s="1" t="str">
        <f t="shared" si="8"/>
        <v>0160</v>
      </c>
      <c r="I270" s="1" t="str">
        <f t="shared" si="9"/>
        <v>072</v>
      </c>
    </row>
    <row r="271" spans="1:9" ht="28.8" x14ac:dyDescent="0.3">
      <c r="A271" s="2" t="s">
        <v>108</v>
      </c>
      <c r="B271" s="2" t="s">
        <v>8</v>
      </c>
      <c r="C271" s="2" t="s">
        <v>83</v>
      </c>
      <c r="D271" s="2" t="s">
        <v>116</v>
      </c>
      <c r="E271" s="2" t="s">
        <v>85</v>
      </c>
      <c r="F271" s="2" t="s">
        <v>86</v>
      </c>
      <c r="G271" s="2" t="s">
        <v>87</v>
      </c>
      <c r="H271" s="1" t="str">
        <f t="shared" si="8"/>
        <v>0160</v>
      </c>
      <c r="I271" s="1" t="str">
        <f t="shared" si="9"/>
        <v>072</v>
      </c>
    </row>
    <row r="272" spans="1:9" ht="28.8" x14ac:dyDescent="0.3">
      <c r="A272" s="2" t="s">
        <v>335</v>
      </c>
      <c r="B272" s="2" t="s">
        <v>328</v>
      </c>
      <c r="C272" s="2" t="s">
        <v>83</v>
      </c>
      <c r="D272" s="2" t="s">
        <v>343</v>
      </c>
      <c r="E272" s="2" t="s">
        <v>85</v>
      </c>
      <c r="F272" s="2" t="s">
        <v>86</v>
      </c>
      <c r="G272" s="2" t="s">
        <v>87</v>
      </c>
      <c r="H272" s="1" t="str">
        <f t="shared" si="8"/>
        <v>0160</v>
      </c>
      <c r="I272" s="1" t="str">
        <f t="shared" si="9"/>
        <v>072</v>
      </c>
    </row>
    <row r="273" spans="1:9" ht="28.8" x14ac:dyDescent="0.3">
      <c r="A273" s="2" t="s">
        <v>346</v>
      </c>
      <c r="B273" s="2" t="s">
        <v>328</v>
      </c>
      <c r="C273" s="2" t="s">
        <v>83</v>
      </c>
      <c r="D273" s="2" t="s">
        <v>353</v>
      </c>
      <c r="E273" s="2" t="s">
        <v>85</v>
      </c>
      <c r="F273" s="2" t="s">
        <v>86</v>
      </c>
      <c r="G273" s="2" t="s">
        <v>87</v>
      </c>
      <c r="H273" s="1" t="str">
        <f t="shared" si="8"/>
        <v>0160</v>
      </c>
      <c r="I273" s="1" t="str">
        <f t="shared" si="9"/>
        <v>072</v>
      </c>
    </row>
    <row r="274" spans="1:9" ht="28.8" x14ac:dyDescent="0.3">
      <c r="A274" s="2" t="s">
        <v>358</v>
      </c>
      <c r="B274" s="2" t="s">
        <v>328</v>
      </c>
      <c r="C274" s="2" t="s">
        <v>83</v>
      </c>
      <c r="D274" s="2" t="s">
        <v>366</v>
      </c>
      <c r="E274" s="2" t="s">
        <v>85</v>
      </c>
      <c r="F274" s="2" t="s">
        <v>86</v>
      </c>
      <c r="G274" s="2" t="s">
        <v>87</v>
      </c>
      <c r="H274" s="1" t="str">
        <f t="shared" si="8"/>
        <v>0160</v>
      </c>
      <c r="I274" s="1" t="str">
        <f t="shared" si="9"/>
        <v>072</v>
      </c>
    </row>
    <row r="275" spans="1:9" ht="28.8" x14ac:dyDescent="0.3">
      <c r="A275" s="2" t="s">
        <v>44</v>
      </c>
      <c r="B275" s="2" t="s">
        <v>8</v>
      </c>
      <c r="C275" s="2" t="s">
        <v>73</v>
      </c>
      <c r="D275" s="2" t="s">
        <v>74</v>
      </c>
      <c r="E275" s="2" t="s">
        <v>75</v>
      </c>
      <c r="F275" s="2" t="s">
        <v>33</v>
      </c>
      <c r="G275" s="2" t="s">
        <v>76</v>
      </c>
      <c r="H275" s="1" t="str">
        <f t="shared" si="8"/>
        <v>0180</v>
      </c>
      <c r="I275" s="1" t="str">
        <f t="shared" si="9"/>
        <v>120</v>
      </c>
    </row>
    <row r="276" spans="1:9" ht="28.8" x14ac:dyDescent="0.3">
      <c r="A276" s="2" t="s">
        <v>93</v>
      </c>
      <c r="B276" s="2" t="s">
        <v>8</v>
      </c>
      <c r="C276" s="2" t="s">
        <v>102</v>
      </c>
      <c r="D276" s="2" t="s">
        <v>103</v>
      </c>
      <c r="E276" s="2" t="s">
        <v>75</v>
      </c>
      <c r="F276" s="2" t="s">
        <v>33</v>
      </c>
      <c r="G276" s="2" t="s">
        <v>76</v>
      </c>
      <c r="H276" s="1" t="str">
        <f t="shared" si="8"/>
        <v>0180</v>
      </c>
      <c r="I276" s="1" t="str">
        <f t="shared" si="9"/>
        <v>120</v>
      </c>
    </row>
    <row r="277" spans="1:9" ht="28.8" x14ac:dyDescent="0.3">
      <c r="A277" s="2" t="s">
        <v>108</v>
      </c>
      <c r="B277" s="2" t="s">
        <v>8</v>
      </c>
      <c r="C277" s="2" t="s">
        <v>73</v>
      </c>
      <c r="D277" s="2" t="s">
        <v>117</v>
      </c>
      <c r="E277" s="2" t="s">
        <v>75</v>
      </c>
      <c r="F277" s="2" t="s">
        <v>33</v>
      </c>
      <c r="G277" s="2" t="s">
        <v>76</v>
      </c>
      <c r="H277" s="1" t="str">
        <f t="shared" si="8"/>
        <v>0180</v>
      </c>
      <c r="I277" s="1" t="str">
        <f t="shared" si="9"/>
        <v>120</v>
      </c>
    </row>
    <row r="278" spans="1:9" ht="28.8" x14ac:dyDescent="0.3">
      <c r="A278" s="2" t="s">
        <v>178</v>
      </c>
      <c r="B278" s="2" t="s">
        <v>29</v>
      </c>
      <c r="C278" s="2" t="s">
        <v>73</v>
      </c>
      <c r="D278" s="2" t="s">
        <v>179</v>
      </c>
      <c r="E278" s="2" t="s">
        <v>75</v>
      </c>
      <c r="F278" s="2" t="s">
        <v>33</v>
      </c>
      <c r="G278" s="2" t="s">
        <v>76</v>
      </c>
      <c r="H278" s="1" t="str">
        <f t="shared" si="8"/>
        <v>0180</v>
      </c>
      <c r="I278" s="1" t="str">
        <f t="shared" si="9"/>
        <v>120</v>
      </c>
    </row>
    <row r="279" spans="1:9" ht="28.8" x14ac:dyDescent="0.3">
      <c r="A279" s="2" t="s">
        <v>335</v>
      </c>
      <c r="B279" s="2" t="s">
        <v>328</v>
      </c>
      <c r="C279" s="2" t="s">
        <v>73</v>
      </c>
      <c r="D279" s="2" t="s">
        <v>344</v>
      </c>
      <c r="E279" s="2" t="s">
        <v>75</v>
      </c>
      <c r="F279" s="2" t="s">
        <v>33</v>
      </c>
      <c r="G279" s="2" t="s">
        <v>76</v>
      </c>
      <c r="H279" s="1" t="str">
        <f t="shared" si="8"/>
        <v>0180</v>
      </c>
      <c r="I279" s="1" t="str">
        <f t="shared" si="9"/>
        <v>120</v>
      </c>
    </row>
    <row r="280" spans="1:9" ht="28.8" x14ac:dyDescent="0.3">
      <c r="A280" s="2" t="s">
        <v>346</v>
      </c>
      <c r="B280" s="2" t="s">
        <v>328</v>
      </c>
      <c r="C280" s="2" t="s">
        <v>73</v>
      </c>
      <c r="D280" s="2" t="s">
        <v>354</v>
      </c>
      <c r="E280" s="2" t="s">
        <v>75</v>
      </c>
      <c r="F280" s="2" t="s">
        <v>33</v>
      </c>
      <c r="G280" s="2" t="s">
        <v>76</v>
      </c>
      <c r="H280" s="1" t="str">
        <f t="shared" si="8"/>
        <v>0180</v>
      </c>
      <c r="I280" s="1" t="str">
        <f t="shared" si="9"/>
        <v>120</v>
      </c>
    </row>
    <row r="281" spans="1:9" ht="28.8" x14ac:dyDescent="0.3">
      <c r="A281" s="2" t="s">
        <v>358</v>
      </c>
      <c r="B281" s="2" t="s">
        <v>328</v>
      </c>
      <c r="C281" s="2" t="s">
        <v>102</v>
      </c>
      <c r="D281" s="2" t="s">
        <v>367</v>
      </c>
      <c r="E281" s="2" t="s">
        <v>75</v>
      </c>
      <c r="F281" s="2" t="s">
        <v>33</v>
      </c>
      <c r="G281" s="2" t="s">
        <v>76</v>
      </c>
      <c r="H281" s="1" t="str">
        <f t="shared" si="8"/>
        <v>0180</v>
      </c>
      <c r="I281" s="1" t="str">
        <f t="shared" si="9"/>
        <v>120</v>
      </c>
    </row>
    <row r="282" spans="1:9" x14ac:dyDescent="0.3">
      <c r="A282" s="35" t="s">
        <v>7</v>
      </c>
      <c r="B282" s="36"/>
      <c r="C282" s="36"/>
      <c r="D282" s="36"/>
      <c r="E282" s="36"/>
      <c r="F282" s="36"/>
      <c r="G282" s="36"/>
      <c r="H282" s="1" t="str">
        <f t="shared" si="8"/>
        <v/>
      </c>
      <c r="I282" s="1" t="str">
        <f t="shared" si="9"/>
        <v/>
      </c>
    </row>
    <row r="283" spans="1:9" x14ac:dyDescent="0.3">
      <c r="A283" s="4" t="s">
        <v>28</v>
      </c>
      <c r="H283" s="1" t="str">
        <f t="shared" si="8"/>
        <v/>
      </c>
      <c r="I283" s="1" t="str">
        <f t="shared" si="9"/>
        <v/>
      </c>
    </row>
    <row r="284" spans="1:9" x14ac:dyDescent="0.3">
      <c r="A284" s="4" t="s">
        <v>43</v>
      </c>
      <c r="H284" s="1" t="str">
        <f t="shared" si="8"/>
        <v/>
      </c>
      <c r="I284" s="1" t="str">
        <f t="shared" si="9"/>
        <v/>
      </c>
    </row>
    <row r="285" spans="1:9" x14ac:dyDescent="0.3">
      <c r="A285" s="4" t="s">
        <v>92</v>
      </c>
      <c r="H285" s="1" t="str">
        <f t="shared" si="8"/>
        <v/>
      </c>
      <c r="I285" s="1" t="str">
        <f t="shared" si="9"/>
        <v/>
      </c>
    </row>
    <row r="286" spans="1:9" x14ac:dyDescent="0.3">
      <c r="A286" s="4" t="s">
        <v>107</v>
      </c>
      <c r="H286" s="1" t="str">
        <f t="shared" si="8"/>
        <v/>
      </c>
      <c r="I286" s="1" t="str">
        <f t="shared" si="9"/>
        <v/>
      </c>
    </row>
    <row r="287" spans="1:9" x14ac:dyDescent="0.3">
      <c r="A287" s="4" t="s">
        <v>121</v>
      </c>
      <c r="H287" s="1" t="str">
        <f t="shared" si="8"/>
        <v/>
      </c>
      <c r="I287" s="1" t="str">
        <f t="shared" si="9"/>
        <v/>
      </c>
    </row>
    <row r="288" spans="1:9" x14ac:dyDescent="0.3">
      <c r="A288" s="4" t="s">
        <v>125</v>
      </c>
      <c r="H288" s="1" t="str">
        <f t="shared" si="8"/>
        <v/>
      </c>
      <c r="I288" s="1" t="str">
        <f t="shared" si="9"/>
        <v/>
      </c>
    </row>
    <row r="289" spans="1:9" x14ac:dyDescent="0.3">
      <c r="A289" s="4" t="s">
        <v>129</v>
      </c>
      <c r="H289" s="1" t="str">
        <f t="shared" si="8"/>
        <v/>
      </c>
      <c r="I289" s="1" t="str">
        <f t="shared" si="9"/>
        <v/>
      </c>
    </row>
    <row r="290" spans="1:9" x14ac:dyDescent="0.3">
      <c r="A290" s="4" t="s">
        <v>133</v>
      </c>
      <c r="H290" s="1" t="str">
        <f t="shared" si="8"/>
        <v/>
      </c>
      <c r="I290" s="1" t="str">
        <f t="shared" si="9"/>
        <v/>
      </c>
    </row>
    <row r="291" spans="1:9" x14ac:dyDescent="0.3">
      <c r="A291" s="4" t="s">
        <v>139</v>
      </c>
      <c r="H291" s="1" t="str">
        <f t="shared" si="8"/>
        <v/>
      </c>
      <c r="I291" s="1" t="str">
        <f t="shared" si="9"/>
        <v/>
      </c>
    </row>
    <row r="292" spans="1:9" x14ac:dyDescent="0.3">
      <c r="A292" s="4" t="s">
        <v>143</v>
      </c>
      <c r="H292" s="1" t="str">
        <f t="shared" si="8"/>
        <v/>
      </c>
      <c r="I292" s="1" t="str">
        <f t="shared" si="9"/>
        <v/>
      </c>
    </row>
    <row r="293" spans="1:9" x14ac:dyDescent="0.3">
      <c r="A293" s="4" t="s">
        <v>150</v>
      </c>
      <c r="H293" s="1" t="str">
        <f t="shared" si="8"/>
        <v/>
      </c>
      <c r="I293" s="1" t="str">
        <f t="shared" si="9"/>
        <v/>
      </c>
    </row>
    <row r="294" spans="1:9" x14ac:dyDescent="0.3">
      <c r="A294" s="4" t="s">
        <v>163</v>
      </c>
      <c r="H294" s="1" t="str">
        <f t="shared" si="8"/>
        <v/>
      </c>
      <c r="I294" s="1" t="str">
        <f t="shared" si="9"/>
        <v/>
      </c>
    </row>
    <row r="295" spans="1:9" x14ac:dyDescent="0.3">
      <c r="A295" s="4" t="s">
        <v>171</v>
      </c>
      <c r="H295" s="1" t="str">
        <f t="shared" si="8"/>
        <v/>
      </c>
      <c r="I295" s="1" t="str">
        <f t="shared" si="9"/>
        <v/>
      </c>
    </row>
    <row r="296" spans="1:9" x14ac:dyDescent="0.3">
      <c r="A296" s="4" t="s">
        <v>177</v>
      </c>
      <c r="H296" s="1" t="str">
        <f t="shared" si="8"/>
        <v/>
      </c>
      <c r="I296" s="1" t="str">
        <f t="shared" si="9"/>
        <v/>
      </c>
    </row>
    <row r="297" spans="1:9" ht="28.8" x14ac:dyDescent="0.3">
      <c r="A297" s="4" t="s">
        <v>180</v>
      </c>
      <c r="H297" s="1" t="str">
        <f t="shared" si="8"/>
        <v/>
      </c>
      <c r="I297" s="1" t="str">
        <f t="shared" si="9"/>
        <v/>
      </c>
    </row>
    <row r="298" spans="1:9" x14ac:dyDescent="0.3">
      <c r="A298" s="4" t="s">
        <v>182</v>
      </c>
      <c r="H298" s="1" t="str">
        <f t="shared" si="8"/>
        <v/>
      </c>
      <c r="I298" s="1" t="str">
        <f t="shared" si="9"/>
        <v/>
      </c>
    </row>
    <row r="299" spans="1:9" x14ac:dyDescent="0.3">
      <c r="A299" s="4" t="s">
        <v>189</v>
      </c>
      <c r="H299" s="1" t="str">
        <f t="shared" si="8"/>
        <v/>
      </c>
      <c r="I299" s="1" t="str">
        <f t="shared" si="9"/>
        <v/>
      </c>
    </row>
    <row r="300" spans="1:9" x14ac:dyDescent="0.3">
      <c r="A300" s="4" t="s">
        <v>193</v>
      </c>
      <c r="H300" s="1" t="str">
        <f t="shared" si="8"/>
        <v/>
      </c>
      <c r="I300" s="1" t="str">
        <f t="shared" si="9"/>
        <v/>
      </c>
    </row>
    <row r="301" spans="1:9" x14ac:dyDescent="0.3">
      <c r="A301" s="4" t="s">
        <v>198</v>
      </c>
      <c r="H301" s="1" t="str">
        <f t="shared" si="8"/>
        <v/>
      </c>
      <c r="I301" s="1" t="str">
        <f t="shared" si="9"/>
        <v/>
      </c>
    </row>
    <row r="302" spans="1:9" x14ac:dyDescent="0.3">
      <c r="A302" s="4" t="s">
        <v>203</v>
      </c>
      <c r="H302" s="1" t="str">
        <f t="shared" si="8"/>
        <v/>
      </c>
      <c r="I302" s="1" t="str">
        <f t="shared" si="9"/>
        <v/>
      </c>
    </row>
    <row r="303" spans="1:9" x14ac:dyDescent="0.3">
      <c r="A303" s="4" t="s">
        <v>205</v>
      </c>
      <c r="H303" s="1" t="str">
        <f t="shared" si="8"/>
        <v/>
      </c>
      <c r="I303" s="1" t="str">
        <f t="shared" si="9"/>
        <v/>
      </c>
    </row>
    <row r="304" spans="1:9" x14ac:dyDescent="0.3">
      <c r="A304" s="4" t="s">
        <v>209</v>
      </c>
      <c r="H304" s="1" t="str">
        <f t="shared" si="8"/>
        <v/>
      </c>
      <c r="I304" s="1" t="str">
        <f t="shared" si="9"/>
        <v/>
      </c>
    </row>
    <row r="305" spans="1:9" x14ac:dyDescent="0.3">
      <c r="A305" s="4" t="s">
        <v>218</v>
      </c>
      <c r="H305" s="1" t="str">
        <f t="shared" si="8"/>
        <v/>
      </c>
      <c r="I305" s="1" t="str">
        <f t="shared" si="9"/>
        <v/>
      </c>
    </row>
    <row r="306" spans="1:9" x14ac:dyDescent="0.3">
      <c r="A306" s="4" t="s">
        <v>222</v>
      </c>
      <c r="H306" s="1" t="str">
        <f t="shared" si="8"/>
        <v/>
      </c>
      <c r="I306" s="1" t="str">
        <f t="shared" si="9"/>
        <v/>
      </c>
    </row>
    <row r="307" spans="1:9" x14ac:dyDescent="0.3">
      <c r="A307" s="4" t="s">
        <v>228</v>
      </c>
      <c r="H307" s="1" t="str">
        <f t="shared" si="8"/>
        <v/>
      </c>
      <c r="I307" s="1" t="str">
        <f t="shared" si="9"/>
        <v/>
      </c>
    </row>
    <row r="308" spans="1:9" x14ac:dyDescent="0.3">
      <c r="A308" s="4" t="s">
        <v>231</v>
      </c>
      <c r="H308" s="1" t="str">
        <f t="shared" si="8"/>
        <v/>
      </c>
      <c r="I308" s="1" t="str">
        <f t="shared" si="9"/>
        <v/>
      </c>
    </row>
    <row r="309" spans="1:9" x14ac:dyDescent="0.3">
      <c r="A309" s="4" t="s">
        <v>237</v>
      </c>
      <c r="H309" s="1" t="str">
        <f t="shared" si="8"/>
        <v/>
      </c>
      <c r="I309" s="1" t="str">
        <f t="shared" si="9"/>
        <v/>
      </c>
    </row>
    <row r="310" spans="1:9" x14ac:dyDescent="0.3">
      <c r="A310" s="4" t="s">
        <v>239</v>
      </c>
      <c r="H310" s="1" t="str">
        <f t="shared" si="8"/>
        <v/>
      </c>
      <c r="I310" s="1" t="str">
        <f t="shared" si="9"/>
        <v/>
      </c>
    </row>
    <row r="311" spans="1:9" x14ac:dyDescent="0.3">
      <c r="A311" s="4" t="s">
        <v>242</v>
      </c>
      <c r="H311" s="1" t="str">
        <f t="shared" si="8"/>
        <v/>
      </c>
      <c r="I311" s="1" t="str">
        <f t="shared" si="9"/>
        <v/>
      </c>
    </row>
    <row r="312" spans="1:9" x14ac:dyDescent="0.3">
      <c r="A312" s="4" t="s">
        <v>245</v>
      </c>
      <c r="H312" s="1" t="str">
        <f t="shared" si="8"/>
        <v/>
      </c>
      <c r="I312" s="1" t="str">
        <f t="shared" si="9"/>
        <v/>
      </c>
    </row>
    <row r="313" spans="1:9" x14ac:dyDescent="0.3">
      <c r="A313" s="4" t="s">
        <v>247</v>
      </c>
      <c r="H313" s="1" t="str">
        <f t="shared" si="8"/>
        <v/>
      </c>
      <c r="I313" s="1" t="str">
        <f t="shared" si="9"/>
        <v/>
      </c>
    </row>
    <row r="314" spans="1:9" x14ac:dyDescent="0.3">
      <c r="A314" s="4" t="s">
        <v>249</v>
      </c>
      <c r="H314" s="1" t="str">
        <f t="shared" si="8"/>
        <v/>
      </c>
      <c r="I314" s="1" t="str">
        <f t="shared" si="9"/>
        <v/>
      </c>
    </row>
    <row r="315" spans="1:9" x14ac:dyDescent="0.3">
      <c r="A315" s="4" t="s">
        <v>252</v>
      </c>
      <c r="H315" s="1" t="str">
        <f t="shared" si="8"/>
        <v/>
      </c>
      <c r="I315" s="1" t="str">
        <f t="shared" si="9"/>
        <v/>
      </c>
    </row>
    <row r="316" spans="1:9" x14ac:dyDescent="0.3">
      <c r="A316" s="4" t="s">
        <v>254</v>
      </c>
      <c r="H316" s="1" t="str">
        <f t="shared" si="8"/>
        <v/>
      </c>
      <c r="I316" s="1" t="str">
        <f t="shared" si="9"/>
        <v/>
      </c>
    </row>
    <row r="317" spans="1:9" x14ac:dyDescent="0.3">
      <c r="A317" s="4" t="s">
        <v>258</v>
      </c>
      <c r="H317" s="1" t="str">
        <f t="shared" si="8"/>
        <v/>
      </c>
      <c r="I317" s="1" t="str">
        <f t="shared" si="9"/>
        <v/>
      </c>
    </row>
    <row r="318" spans="1:9" x14ac:dyDescent="0.3">
      <c r="A318" s="4" t="s">
        <v>261</v>
      </c>
      <c r="H318" s="1" t="str">
        <f t="shared" si="8"/>
        <v/>
      </c>
      <c r="I318" s="1" t="str">
        <f t="shared" si="9"/>
        <v/>
      </c>
    </row>
    <row r="319" spans="1:9" x14ac:dyDescent="0.3">
      <c r="A319" s="4" t="s">
        <v>263</v>
      </c>
      <c r="H319" s="1" t="str">
        <f t="shared" si="8"/>
        <v/>
      </c>
      <c r="I319" s="1" t="str">
        <f t="shared" si="9"/>
        <v/>
      </c>
    </row>
    <row r="320" spans="1:9" x14ac:dyDescent="0.3">
      <c r="A320" s="4" t="s">
        <v>265</v>
      </c>
      <c r="H320" s="1" t="str">
        <f t="shared" si="8"/>
        <v/>
      </c>
      <c r="I320" s="1" t="str">
        <f t="shared" si="9"/>
        <v/>
      </c>
    </row>
    <row r="321" spans="1:9" x14ac:dyDescent="0.3">
      <c r="A321" s="4" t="s">
        <v>268</v>
      </c>
      <c r="H321" s="1" t="str">
        <f t="shared" si="8"/>
        <v/>
      </c>
      <c r="I321" s="1" t="str">
        <f t="shared" si="9"/>
        <v/>
      </c>
    </row>
    <row r="322" spans="1:9" x14ac:dyDescent="0.3">
      <c r="A322" s="4" t="s">
        <v>270</v>
      </c>
      <c r="H322" s="1" t="str">
        <f t="shared" ref="H322:H385" si="10">IF(LEN(D322)&gt;19,MID(D322,17,4),"")</f>
        <v/>
      </c>
      <c r="I322" s="1" t="str">
        <f t="shared" ref="I322:I385" si="11">IF(LEN(D322)&gt;19,MID(D322,13,3),"")</f>
        <v/>
      </c>
    </row>
    <row r="323" spans="1:9" x14ac:dyDescent="0.3">
      <c r="A323" s="4" t="s">
        <v>272</v>
      </c>
      <c r="H323" s="1" t="str">
        <f t="shared" si="10"/>
        <v/>
      </c>
      <c r="I323" s="1" t="str">
        <f t="shared" si="11"/>
        <v/>
      </c>
    </row>
    <row r="324" spans="1:9" x14ac:dyDescent="0.3">
      <c r="A324" s="4" t="s">
        <v>275</v>
      </c>
      <c r="H324" s="1" t="str">
        <f t="shared" si="10"/>
        <v/>
      </c>
      <c r="I324" s="1" t="str">
        <f t="shared" si="11"/>
        <v/>
      </c>
    </row>
    <row r="325" spans="1:9" x14ac:dyDescent="0.3">
      <c r="A325" s="4" t="s">
        <v>281</v>
      </c>
      <c r="H325" s="1" t="str">
        <f t="shared" si="10"/>
        <v/>
      </c>
      <c r="I325" s="1" t="str">
        <f t="shared" si="11"/>
        <v/>
      </c>
    </row>
    <row r="326" spans="1:9" x14ac:dyDescent="0.3">
      <c r="A326" s="4" t="s">
        <v>283</v>
      </c>
      <c r="H326" s="1" t="str">
        <f t="shared" si="10"/>
        <v/>
      </c>
      <c r="I326" s="1" t="str">
        <f t="shared" si="11"/>
        <v/>
      </c>
    </row>
    <row r="327" spans="1:9" x14ac:dyDescent="0.3">
      <c r="A327" s="4" t="s">
        <v>286</v>
      </c>
      <c r="H327" s="1" t="str">
        <f t="shared" si="10"/>
        <v/>
      </c>
      <c r="I327" s="1" t="str">
        <f t="shared" si="11"/>
        <v/>
      </c>
    </row>
    <row r="328" spans="1:9" x14ac:dyDescent="0.3">
      <c r="A328" s="4" t="s">
        <v>289</v>
      </c>
      <c r="H328" s="1" t="str">
        <f t="shared" si="10"/>
        <v/>
      </c>
      <c r="I328" s="1" t="str">
        <f t="shared" si="11"/>
        <v/>
      </c>
    </row>
    <row r="329" spans="1:9" x14ac:dyDescent="0.3">
      <c r="A329" s="4" t="s">
        <v>291</v>
      </c>
      <c r="H329" s="1" t="str">
        <f t="shared" si="10"/>
        <v/>
      </c>
      <c r="I329" s="1" t="str">
        <f t="shared" si="11"/>
        <v/>
      </c>
    </row>
    <row r="330" spans="1:9" x14ac:dyDescent="0.3">
      <c r="A330" s="4" t="s">
        <v>293</v>
      </c>
      <c r="H330" s="1" t="str">
        <f t="shared" si="10"/>
        <v/>
      </c>
      <c r="I330" s="1" t="str">
        <f t="shared" si="11"/>
        <v/>
      </c>
    </row>
    <row r="331" spans="1:9" x14ac:dyDescent="0.3">
      <c r="A331" s="4" t="s">
        <v>296</v>
      </c>
      <c r="H331" s="1" t="str">
        <f t="shared" si="10"/>
        <v/>
      </c>
      <c r="I331" s="1" t="str">
        <f t="shared" si="11"/>
        <v/>
      </c>
    </row>
    <row r="332" spans="1:9" x14ac:dyDescent="0.3">
      <c r="A332" s="4" t="s">
        <v>298</v>
      </c>
      <c r="H332" s="1" t="str">
        <f t="shared" si="10"/>
        <v/>
      </c>
      <c r="I332" s="1" t="str">
        <f t="shared" si="11"/>
        <v/>
      </c>
    </row>
    <row r="333" spans="1:9" x14ac:dyDescent="0.3">
      <c r="A333" s="4" t="s">
        <v>301</v>
      </c>
      <c r="H333" s="1" t="str">
        <f t="shared" si="10"/>
        <v/>
      </c>
      <c r="I333" s="1" t="str">
        <f t="shared" si="11"/>
        <v/>
      </c>
    </row>
    <row r="334" spans="1:9" x14ac:dyDescent="0.3">
      <c r="A334" s="4" t="s">
        <v>304</v>
      </c>
      <c r="H334" s="1" t="str">
        <f t="shared" si="10"/>
        <v/>
      </c>
      <c r="I334" s="1" t="str">
        <f t="shared" si="11"/>
        <v/>
      </c>
    </row>
    <row r="335" spans="1:9" x14ac:dyDescent="0.3">
      <c r="A335" s="4" t="s">
        <v>306</v>
      </c>
      <c r="H335" s="1" t="str">
        <f t="shared" si="10"/>
        <v/>
      </c>
      <c r="I335" s="1" t="str">
        <f t="shared" si="11"/>
        <v/>
      </c>
    </row>
    <row r="336" spans="1:9" x14ac:dyDescent="0.3">
      <c r="A336" s="4" t="s">
        <v>308</v>
      </c>
      <c r="H336" s="1" t="str">
        <f t="shared" si="10"/>
        <v/>
      </c>
      <c r="I336" s="1" t="str">
        <f t="shared" si="11"/>
        <v/>
      </c>
    </row>
    <row r="337" spans="1:9" x14ac:dyDescent="0.3">
      <c r="A337" s="4" t="s">
        <v>311</v>
      </c>
      <c r="H337" s="1" t="str">
        <f t="shared" si="10"/>
        <v/>
      </c>
      <c r="I337" s="1" t="str">
        <f t="shared" si="11"/>
        <v/>
      </c>
    </row>
    <row r="338" spans="1:9" x14ac:dyDescent="0.3">
      <c r="A338" s="4" t="s">
        <v>313</v>
      </c>
      <c r="H338" s="1" t="str">
        <f t="shared" si="10"/>
        <v/>
      </c>
      <c r="I338" s="1" t="str">
        <f t="shared" si="11"/>
        <v/>
      </c>
    </row>
    <row r="339" spans="1:9" x14ac:dyDescent="0.3">
      <c r="A339" s="4" t="s">
        <v>315</v>
      </c>
      <c r="H339" s="1" t="str">
        <f t="shared" si="10"/>
        <v/>
      </c>
      <c r="I339" s="1" t="str">
        <f t="shared" si="11"/>
        <v/>
      </c>
    </row>
    <row r="340" spans="1:9" x14ac:dyDescent="0.3">
      <c r="A340" s="4" t="s">
        <v>327</v>
      </c>
      <c r="H340" s="1" t="str">
        <f t="shared" si="10"/>
        <v/>
      </c>
      <c r="I340" s="1" t="str">
        <f t="shared" si="11"/>
        <v/>
      </c>
    </row>
    <row r="341" spans="1:9" x14ac:dyDescent="0.3">
      <c r="A341" s="4" t="s">
        <v>330</v>
      </c>
      <c r="H341" s="1" t="str">
        <f t="shared" si="10"/>
        <v/>
      </c>
      <c r="I341" s="1" t="str">
        <f t="shared" si="11"/>
        <v/>
      </c>
    </row>
    <row r="342" spans="1:9" x14ac:dyDescent="0.3">
      <c r="A342" s="4" t="s">
        <v>334</v>
      </c>
      <c r="H342" s="1" t="str">
        <f t="shared" si="10"/>
        <v/>
      </c>
      <c r="I342" s="1" t="str">
        <f t="shared" si="11"/>
        <v/>
      </c>
    </row>
    <row r="343" spans="1:9" x14ac:dyDescent="0.3">
      <c r="A343" s="4" t="s">
        <v>345</v>
      </c>
      <c r="H343" s="1" t="str">
        <f t="shared" si="10"/>
        <v/>
      </c>
      <c r="I343" s="1" t="str">
        <f t="shared" si="11"/>
        <v/>
      </c>
    </row>
    <row r="344" spans="1:9" x14ac:dyDescent="0.3">
      <c r="A344" s="4" t="s">
        <v>357</v>
      </c>
      <c r="H344" s="1" t="str">
        <f t="shared" si="10"/>
        <v/>
      </c>
      <c r="I344" s="1" t="str">
        <f t="shared" si="11"/>
        <v/>
      </c>
    </row>
    <row r="345" spans="1:9" x14ac:dyDescent="0.3">
      <c r="A345" s="4" t="s">
        <v>369</v>
      </c>
      <c r="H345" s="1" t="str">
        <f t="shared" si="10"/>
        <v/>
      </c>
      <c r="I345" s="1" t="str">
        <f t="shared" si="11"/>
        <v/>
      </c>
    </row>
    <row r="346" spans="1:9" x14ac:dyDescent="0.3">
      <c r="A346" s="4" t="s">
        <v>372</v>
      </c>
      <c r="H346" s="1" t="str">
        <f t="shared" si="10"/>
        <v/>
      </c>
      <c r="I346" s="1" t="str">
        <f t="shared" si="11"/>
        <v/>
      </c>
    </row>
    <row r="347" spans="1:9" ht="28.8" x14ac:dyDescent="0.3">
      <c r="A347" s="4" t="s">
        <v>378</v>
      </c>
      <c r="H347" s="1" t="str">
        <f t="shared" si="10"/>
        <v/>
      </c>
      <c r="I347" s="1" t="str">
        <f t="shared" si="11"/>
        <v/>
      </c>
    </row>
    <row r="348" spans="1:9" x14ac:dyDescent="0.3">
      <c r="A348" s="4" t="s">
        <v>380</v>
      </c>
      <c r="H348" s="1" t="str">
        <f t="shared" si="10"/>
        <v/>
      </c>
      <c r="I348" s="1" t="str">
        <f t="shared" si="11"/>
        <v/>
      </c>
    </row>
    <row r="349" spans="1:9" x14ac:dyDescent="0.3">
      <c r="A349" s="4" t="s">
        <v>383</v>
      </c>
      <c r="H349" s="1" t="str">
        <f t="shared" si="10"/>
        <v/>
      </c>
      <c r="I349" s="1" t="str">
        <f t="shared" si="11"/>
        <v/>
      </c>
    </row>
    <row r="350" spans="1:9" x14ac:dyDescent="0.3">
      <c r="A350" s="4" t="s">
        <v>386</v>
      </c>
      <c r="H350" s="1" t="str">
        <f t="shared" si="10"/>
        <v/>
      </c>
      <c r="I350" s="1" t="str">
        <f t="shared" si="11"/>
        <v/>
      </c>
    </row>
    <row r="351" spans="1:9" x14ac:dyDescent="0.3">
      <c r="A351" s="4" t="s">
        <v>389</v>
      </c>
      <c r="H351" s="1" t="str">
        <f t="shared" si="10"/>
        <v/>
      </c>
      <c r="I351" s="1" t="str">
        <f t="shared" si="11"/>
        <v/>
      </c>
    </row>
    <row r="352" spans="1:9" x14ac:dyDescent="0.3">
      <c r="A352" s="4" t="s">
        <v>391</v>
      </c>
      <c r="H352" s="1" t="str">
        <f t="shared" si="10"/>
        <v/>
      </c>
      <c r="I352" s="1" t="str">
        <f t="shared" si="11"/>
        <v/>
      </c>
    </row>
    <row r="353" spans="1:9" x14ac:dyDescent="0.3">
      <c r="A353" s="4" t="s">
        <v>393</v>
      </c>
      <c r="H353" s="1" t="str">
        <f t="shared" si="10"/>
        <v/>
      </c>
      <c r="I353" s="1" t="str">
        <f t="shared" si="11"/>
        <v/>
      </c>
    </row>
    <row r="354" spans="1:9" x14ac:dyDescent="0.3">
      <c r="A354" s="4" t="s">
        <v>396</v>
      </c>
      <c r="H354" s="1" t="str">
        <f t="shared" si="10"/>
        <v/>
      </c>
      <c r="I354" s="1" t="str">
        <f t="shared" si="11"/>
        <v/>
      </c>
    </row>
    <row r="355" spans="1:9" x14ac:dyDescent="0.3">
      <c r="A355" s="4" t="s">
        <v>398</v>
      </c>
      <c r="H355" s="1" t="str">
        <f t="shared" si="10"/>
        <v/>
      </c>
      <c r="I355" s="1" t="str">
        <f t="shared" si="11"/>
        <v/>
      </c>
    </row>
    <row r="356" spans="1:9" x14ac:dyDescent="0.3">
      <c r="A356" s="4" t="s">
        <v>401</v>
      </c>
      <c r="H356" s="1" t="str">
        <f t="shared" si="10"/>
        <v/>
      </c>
      <c r="I356" s="1" t="str">
        <f t="shared" si="11"/>
        <v/>
      </c>
    </row>
    <row r="357" spans="1:9" x14ac:dyDescent="0.3">
      <c r="A357" s="4" t="s">
        <v>403</v>
      </c>
      <c r="H357" s="1" t="str">
        <f t="shared" si="10"/>
        <v/>
      </c>
      <c r="I357" s="1" t="str">
        <f t="shared" si="11"/>
        <v/>
      </c>
    </row>
    <row r="358" spans="1:9" x14ac:dyDescent="0.3">
      <c r="A358" s="4" t="s">
        <v>406</v>
      </c>
      <c r="H358" s="1" t="str">
        <f t="shared" si="10"/>
        <v/>
      </c>
      <c r="I358" s="1" t="str">
        <f t="shared" si="11"/>
        <v/>
      </c>
    </row>
    <row r="359" spans="1:9" x14ac:dyDescent="0.3">
      <c r="A359" s="4" t="s">
        <v>408</v>
      </c>
      <c r="H359" s="1" t="str">
        <f t="shared" si="10"/>
        <v/>
      </c>
      <c r="I359" s="1" t="str">
        <f t="shared" si="11"/>
        <v/>
      </c>
    </row>
    <row r="360" spans="1:9" x14ac:dyDescent="0.3">
      <c r="A360" s="4" t="s">
        <v>410</v>
      </c>
      <c r="H360" s="1" t="str">
        <f t="shared" si="10"/>
        <v/>
      </c>
      <c r="I360" s="1" t="str">
        <f t="shared" si="11"/>
        <v/>
      </c>
    </row>
    <row r="361" spans="1:9" x14ac:dyDescent="0.3">
      <c r="A361" s="4" t="s">
        <v>413</v>
      </c>
      <c r="H361" s="1" t="str">
        <f t="shared" si="10"/>
        <v/>
      </c>
      <c r="I361" s="1" t="str">
        <f t="shared" si="11"/>
        <v/>
      </c>
    </row>
    <row r="362" spans="1:9" x14ac:dyDescent="0.3">
      <c r="A362" s="4" t="s">
        <v>415</v>
      </c>
      <c r="H362" s="1" t="str">
        <f t="shared" si="10"/>
        <v/>
      </c>
      <c r="I362" s="1" t="str">
        <f t="shared" si="11"/>
        <v/>
      </c>
    </row>
    <row r="363" spans="1:9" x14ac:dyDescent="0.3">
      <c r="A363" s="4" t="s">
        <v>417</v>
      </c>
      <c r="H363" s="1" t="str">
        <f t="shared" si="10"/>
        <v/>
      </c>
      <c r="I363" s="1" t="str">
        <f t="shared" si="11"/>
        <v/>
      </c>
    </row>
    <row r="364" spans="1:9" x14ac:dyDescent="0.3">
      <c r="A364" s="4" t="s">
        <v>420</v>
      </c>
      <c r="H364" s="1" t="str">
        <f t="shared" si="10"/>
        <v/>
      </c>
      <c r="I364" s="1" t="str">
        <f t="shared" si="11"/>
        <v/>
      </c>
    </row>
    <row r="365" spans="1:9" ht="28.8" x14ac:dyDescent="0.3">
      <c r="A365" s="4" t="s">
        <v>426</v>
      </c>
      <c r="H365" s="1" t="str">
        <f t="shared" si="10"/>
        <v/>
      </c>
      <c r="I365" s="1" t="str">
        <f t="shared" si="11"/>
        <v/>
      </c>
    </row>
    <row r="366" spans="1:9" x14ac:dyDescent="0.3">
      <c r="A366" s="4" t="s">
        <v>428</v>
      </c>
      <c r="H366" s="1" t="str">
        <f t="shared" si="10"/>
        <v/>
      </c>
      <c r="I366" s="1" t="str">
        <f t="shared" si="11"/>
        <v/>
      </c>
    </row>
    <row r="367" spans="1:9" x14ac:dyDescent="0.3">
      <c r="A367" s="4" t="s">
        <v>431</v>
      </c>
      <c r="H367" s="1" t="str">
        <f t="shared" si="10"/>
        <v/>
      </c>
      <c r="I367" s="1" t="str">
        <f t="shared" si="11"/>
        <v/>
      </c>
    </row>
    <row r="368" spans="1:9" x14ac:dyDescent="0.3">
      <c r="A368" s="4" t="s">
        <v>434</v>
      </c>
      <c r="H368" s="1" t="str">
        <f t="shared" si="10"/>
        <v/>
      </c>
      <c r="I368" s="1" t="str">
        <f t="shared" si="11"/>
        <v/>
      </c>
    </row>
    <row r="369" spans="1:9" x14ac:dyDescent="0.3">
      <c r="A369" s="4" t="s">
        <v>436</v>
      </c>
      <c r="H369" s="1" t="str">
        <f t="shared" si="10"/>
        <v/>
      </c>
      <c r="I369" s="1" t="str">
        <f t="shared" si="11"/>
        <v/>
      </c>
    </row>
    <row r="370" spans="1:9" x14ac:dyDescent="0.3">
      <c r="A370" s="4" t="s">
        <v>438</v>
      </c>
      <c r="H370" s="1" t="str">
        <f t="shared" si="10"/>
        <v/>
      </c>
      <c r="I370" s="1" t="str">
        <f t="shared" si="11"/>
        <v/>
      </c>
    </row>
    <row r="371" spans="1:9" x14ac:dyDescent="0.3">
      <c r="A371" s="4" t="s">
        <v>441</v>
      </c>
      <c r="H371" s="1" t="str">
        <f t="shared" si="10"/>
        <v/>
      </c>
      <c r="I371" s="1" t="str">
        <f t="shared" si="11"/>
        <v/>
      </c>
    </row>
    <row r="372" spans="1:9" x14ac:dyDescent="0.3">
      <c r="A372" s="4" t="s">
        <v>443</v>
      </c>
      <c r="H372" s="1" t="str">
        <f t="shared" si="10"/>
        <v/>
      </c>
      <c r="I372" s="1" t="str">
        <f t="shared" si="11"/>
        <v/>
      </c>
    </row>
    <row r="373" spans="1:9" x14ac:dyDescent="0.3">
      <c r="A373" s="4" t="s">
        <v>446</v>
      </c>
      <c r="H373" s="1" t="str">
        <f t="shared" si="10"/>
        <v/>
      </c>
      <c r="I373" s="1" t="str">
        <f t="shared" si="11"/>
        <v/>
      </c>
    </row>
    <row r="374" spans="1:9" x14ac:dyDescent="0.3">
      <c r="A374" s="4" t="s">
        <v>449</v>
      </c>
      <c r="H374" s="1" t="str">
        <f t="shared" si="10"/>
        <v/>
      </c>
      <c r="I374" s="1" t="str">
        <f t="shared" si="11"/>
        <v/>
      </c>
    </row>
    <row r="375" spans="1:9" x14ac:dyDescent="0.3">
      <c r="A375" s="4" t="s">
        <v>451</v>
      </c>
      <c r="H375" s="1" t="str">
        <f t="shared" si="10"/>
        <v/>
      </c>
      <c r="I375" s="1" t="str">
        <f t="shared" si="11"/>
        <v/>
      </c>
    </row>
    <row r="376" spans="1:9" x14ac:dyDescent="0.3">
      <c r="A376" s="4" t="s">
        <v>453</v>
      </c>
      <c r="H376" s="1" t="str">
        <f t="shared" si="10"/>
        <v/>
      </c>
      <c r="I376" s="1" t="str">
        <f t="shared" si="11"/>
        <v/>
      </c>
    </row>
    <row r="377" spans="1:9" x14ac:dyDescent="0.3">
      <c r="A377" s="4" t="s">
        <v>456</v>
      </c>
      <c r="H377" s="1" t="str">
        <f t="shared" si="10"/>
        <v/>
      </c>
      <c r="I377" s="1" t="str">
        <f t="shared" si="11"/>
        <v/>
      </c>
    </row>
    <row r="378" spans="1:9" x14ac:dyDescent="0.3">
      <c r="A378" s="4" t="s">
        <v>458</v>
      </c>
      <c r="H378" s="1" t="str">
        <f t="shared" si="10"/>
        <v/>
      </c>
      <c r="I378" s="1" t="str">
        <f t="shared" si="11"/>
        <v/>
      </c>
    </row>
    <row r="379" spans="1:9" x14ac:dyDescent="0.3">
      <c r="A379" s="4" t="s">
        <v>460</v>
      </c>
      <c r="H379" s="1" t="str">
        <f t="shared" si="10"/>
        <v/>
      </c>
      <c r="I379" s="1" t="str">
        <f t="shared" si="11"/>
        <v/>
      </c>
    </row>
    <row r="380" spans="1:9" x14ac:dyDescent="0.3">
      <c r="A380" s="4" t="s">
        <v>463</v>
      </c>
      <c r="H380" s="1" t="str">
        <f t="shared" si="10"/>
        <v/>
      </c>
      <c r="I380" s="1" t="str">
        <f t="shared" si="11"/>
        <v/>
      </c>
    </row>
    <row r="381" spans="1:9" ht="28.8" x14ac:dyDescent="0.3">
      <c r="A381" s="4" t="s">
        <v>469</v>
      </c>
      <c r="H381" s="1" t="str">
        <f t="shared" si="10"/>
        <v/>
      </c>
      <c r="I381" s="1" t="str">
        <f t="shared" si="11"/>
        <v/>
      </c>
    </row>
    <row r="382" spans="1:9" x14ac:dyDescent="0.3">
      <c r="A382" s="4" t="s">
        <v>471</v>
      </c>
      <c r="H382" s="1" t="str">
        <f t="shared" si="10"/>
        <v/>
      </c>
      <c r="I382" s="1" t="str">
        <f t="shared" si="11"/>
        <v/>
      </c>
    </row>
    <row r="383" spans="1:9" x14ac:dyDescent="0.3">
      <c r="A383" s="4" t="s">
        <v>474</v>
      </c>
      <c r="H383" s="1" t="str">
        <f t="shared" si="10"/>
        <v/>
      </c>
      <c r="I383" s="1" t="str">
        <f t="shared" si="11"/>
        <v/>
      </c>
    </row>
    <row r="384" spans="1:9" x14ac:dyDescent="0.3">
      <c r="A384" s="4" t="s">
        <v>477</v>
      </c>
      <c r="H384" s="1" t="str">
        <f t="shared" si="10"/>
        <v/>
      </c>
      <c r="I384" s="1" t="str">
        <f t="shared" si="11"/>
        <v/>
      </c>
    </row>
    <row r="385" spans="1:9" x14ac:dyDescent="0.3">
      <c r="A385" s="4" t="s">
        <v>479</v>
      </c>
      <c r="H385" s="1" t="str">
        <f t="shared" si="10"/>
        <v/>
      </c>
      <c r="I385" s="1" t="str">
        <f t="shared" si="11"/>
        <v/>
      </c>
    </row>
    <row r="386" spans="1:9" x14ac:dyDescent="0.3">
      <c r="A386" s="4" t="s">
        <v>481</v>
      </c>
      <c r="H386" s="1" t="str">
        <f t="shared" ref="H386:H394" si="12">IF(LEN(D386)&gt;19,MID(D386,17,4),"")</f>
        <v/>
      </c>
      <c r="I386" s="1" t="str">
        <f t="shared" ref="I386:I394" si="13">IF(LEN(D386)&gt;19,MID(D386,13,3),"")</f>
        <v/>
      </c>
    </row>
    <row r="387" spans="1:9" x14ac:dyDescent="0.3">
      <c r="A387" s="4" t="s">
        <v>484</v>
      </c>
      <c r="H387" s="1" t="str">
        <f t="shared" si="12"/>
        <v/>
      </c>
      <c r="I387" s="1" t="str">
        <f t="shared" si="13"/>
        <v/>
      </c>
    </row>
    <row r="388" spans="1:9" x14ac:dyDescent="0.3">
      <c r="A388" s="4" t="s">
        <v>486</v>
      </c>
      <c r="H388" s="1" t="str">
        <f t="shared" si="12"/>
        <v/>
      </c>
      <c r="I388" s="1" t="str">
        <f t="shared" si="13"/>
        <v/>
      </c>
    </row>
    <row r="389" spans="1:9" x14ac:dyDescent="0.3">
      <c r="A389" s="4" t="s">
        <v>489</v>
      </c>
      <c r="H389" s="1" t="str">
        <f t="shared" si="12"/>
        <v/>
      </c>
      <c r="I389" s="1" t="str">
        <f t="shared" si="13"/>
        <v/>
      </c>
    </row>
    <row r="390" spans="1:9" x14ac:dyDescent="0.3">
      <c r="A390" s="4" t="s">
        <v>492</v>
      </c>
      <c r="H390" s="1" t="str">
        <f t="shared" si="12"/>
        <v/>
      </c>
      <c r="I390" s="1" t="str">
        <f t="shared" si="13"/>
        <v/>
      </c>
    </row>
    <row r="391" spans="1:9" x14ac:dyDescent="0.3">
      <c r="A391" s="4" t="s">
        <v>494</v>
      </c>
      <c r="H391" s="1" t="str">
        <f t="shared" si="12"/>
        <v/>
      </c>
      <c r="I391" s="1" t="str">
        <f t="shared" si="13"/>
        <v/>
      </c>
    </row>
    <row r="392" spans="1:9" x14ac:dyDescent="0.3">
      <c r="A392" s="4" t="s">
        <v>496</v>
      </c>
      <c r="H392" s="1" t="str">
        <f t="shared" si="12"/>
        <v/>
      </c>
      <c r="I392" s="1" t="str">
        <f t="shared" si="13"/>
        <v/>
      </c>
    </row>
    <row r="393" spans="1:9" x14ac:dyDescent="0.3">
      <c r="A393" s="4" t="s">
        <v>499</v>
      </c>
      <c r="H393" s="1" t="str">
        <f t="shared" si="12"/>
        <v/>
      </c>
      <c r="I393" s="1" t="str">
        <f t="shared" si="13"/>
        <v/>
      </c>
    </row>
    <row r="394" spans="1:9" x14ac:dyDescent="0.3">
      <c r="A394" s="4" t="s">
        <v>501</v>
      </c>
      <c r="H394" s="1" t="str">
        <f t="shared" si="12"/>
        <v/>
      </c>
      <c r="I394" s="1" t="str">
        <f t="shared" si="13"/>
        <v/>
      </c>
    </row>
  </sheetData>
  <autoFilter ref="A1:I394">
    <sortState ref="A2:I394">
      <sortCondition ref="H1:H394"/>
    </sortState>
  </autoFilter>
  <pageMargins left="0.75" right="0.75" top="1" bottom="1" header="0.5" footer="0.5"/>
  <pageSetup paperSize="9" fitToHeight="100" orientation="landscape" r:id="rId1"/>
  <headerFooter>
    <oddHeader>&amp;C&amp;A</oddHeader>
    <oddFooter>&amp;L&amp;F&amp;C&amp;P of &amp;N&amp;R&amp;D &amp;T</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pageSetUpPr fitToPage="1"/>
  </sheetPr>
  <dimension ref="A1:AF401"/>
  <sheetViews>
    <sheetView workbookViewId="0"/>
  </sheetViews>
  <sheetFormatPr defaultRowHeight="14.4" x14ac:dyDescent="0.3"/>
  <cols>
    <col min="2" max="2" width="0" hidden="1" customWidth="1"/>
    <col min="5" max="5" width="14.6640625" customWidth="1"/>
    <col min="6" max="6" width="0" hidden="1" customWidth="1"/>
    <col min="10" max="10" width="19.88671875" customWidth="1"/>
    <col min="11" max="11" width="18" customWidth="1"/>
    <col min="12" max="12" width="0" hidden="1" customWidth="1"/>
    <col min="16" max="17" width="0" hidden="1" customWidth="1"/>
    <col min="18" max="18" width="42.5546875" customWidth="1"/>
    <col min="19" max="32" width="0" hidden="1" customWidth="1"/>
  </cols>
  <sheetData>
    <row r="1" spans="1:32" ht="45.75" thickBot="1" x14ac:dyDescent="0.3">
      <c r="A1" s="19" t="s">
        <v>539</v>
      </c>
      <c r="B1" s="20" t="s">
        <v>540</v>
      </c>
      <c r="C1" s="20" t="s">
        <v>541</v>
      </c>
      <c r="D1" s="20" t="s">
        <v>542</v>
      </c>
      <c r="E1" s="20" t="s">
        <v>543</v>
      </c>
      <c r="F1" s="20" t="s">
        <v>544</v>
      </c>
      <c r="G1" s="20" t="s">
        <v>545</v>
      </c>
      <c r="H1" s="20" t="s">
        <v>546</v>
      </c>
      <c r="I1" s="20" t="s">
        <v>547</v>
      </c>
      <c r="J1" s="20" t="s">
        <v>548</v>
      </c>
      <c r="K1" s="20" t="s">
        <v>549</v>
      </c>
      <c r="L1" s="20" t="s">
        <v>550</v>
      </c>
      <c r="M1" s="20" t="s">
        <v>551</v>
      </c>
      <c r="N1" s="20" t="s">
        <v>552</v>
      </c>
      <c r="O1" s="20" t="s">
        <v>553</v>
      </c>
      <c r="P1" s="20" t="s">
        <v>554</v>
      </c>
      <c r="Q1" s="20" t="s">
        <v>555</v>
      </c>
      <c r="R1" s="20" t="s">
        <v>556</v>
      </c>
      <c r="S1" s="20" t="s">
        <v>557</v>
      </c>
      <c r="T1" s="20" t="s">
        <v>558</v>
      </c>
      <c r="U1" s="20" t="s">
        <v>559</v>
      </c>
      <c r="V1" s="20" t="s">
        <v>560</v>
      </c>
      <c r="W1" s="20" t="s">
        <v>561</v>
      </c>
      <c r="X1" s="21" t="s">
        <v>562</v>
      </c>
      <c r="Y1" s="20" t="s">
        <v>563</v>
      </c>
      <c r="Z1" s="20" t="s">
        <v>564</v>
      </c>
      <c r="AA1" s="20" t="s">
        <v>565</v>
      </c>
      <c r="AB1" s="20" t="s">
        <v>566</v>
      </c>
      <c r="AC1" s="20" t="s">
        <v>567</v>
      </c>
      <c r="AD1" s="20" t="s">
        <v>568</v>
      </c>
      <c r="AE1" s="20" t="s">
        <v>569</v>
      </c>
      <c r="AF1" s="22" t="s">
        <v>570</v>
      </c>
    </row>
    <row r="2" spans="1:32" ht="68.25" x14ac:dyDescent="0.25">
      <c r="A2" s="23">
        <v>40544</v>
      </c>
      <c r="B2" s="24" t="s">
        <v>571</v>
      </c>
      <c r="C2" s="24">
        <v>30264</v>
      </c>
      <c r="D2" s="24" t="s">
        <v>572</v>
      </c>
      <c r="E2" s="24" t="s">
        <v>573</v>
      </c>
      <c r="F2" s="24" t="s">
        <v>574</v>
      </c>
      <c r="G2" s="24">
        <v>709757</v>
      </c>
      <c r="H2" s="25">
        <v>2610</v>
      </c>
      <c r="I2" s="26">
        <v>2610</v>
      </c>
      <c r="J2" s="24" t="s">
        <v>575</v>
      </c>
      <c r="K2" s="24" t="s">
        <v>576</v>
      </c>
      <c r="L2" s="24" t="s">
        <v>577</v>
      </c>
      <c r="M2" s="24" t="s">
        <v>578</v>
      </c>
      <c r="N2" s="24" t="s">
        <v>579</v>
      </c>
      <c r="O2" s="24">
        <v>212036</v>
      </c>
      <c r="P2" s="25"/>
      <c r="Q2" s="25"/>
      <c r="R2" s="24" t="s">
        <v>580</v>
      </c>
      <c r="S2" s="24" t="s">
        <v>581</v>
      </c>
      <c r="T2" s="27">
        <v>40571</v>
      </c>
      <c r="U2" s="25">
        <v>625255</v>
      </c>
      <c r="V2" s="24" t="s">
        <v>582</v>
      </c>
      <c r="W2" s="24" t="s">
        <v>583</v>
      </c>
      <c r="X2" s="24" t="s">
        <v>584</v>
      </c>
      <c r="Y2" s="24">
        <v>4020</v>
      </c>
      <c r="Z2" s="24">
        <v>204216</v>
      </c>
      <c r="AA2" s="24">
        <v>630120</v>
      </c>
      <c r="AB2" s="24">
        <v>0</v>
      </c>
      <c r="AC2" s="24"/>
      <c r="AD2" s="24"/>
      <c r="AE2" s="24"/>
      <c r="AF2" s="24"/>
    </row>
    <row r="3" spans="1:32" ht="68.25" x14ac:dyDescent="0.25">
      <c r="A3" s="23">
        <v>40544</v>
      </c>
      <c r="B3" s="24" t="s">
        <v>571</v>
      </c>
      <c r="C3" s="24">
        <v>30264</v>
      </c>
      <c r="D3" s="24" t="s">
        <v>585</v>
      </c>
      <c r="E3" s="24" t="s">
        <v>586</v>
      </c>
      <c r="F3" s="24" t="s">
        <v>574</v>
      </c>
      <c r="G3" s="24">
        <v>693599</v>
      </c>
      <c r="H3" s="25">
        <v>8800</v>
      </c>
      <c r="I3" s="26">
        <v>8800</v>
      </c>
      <c r="J3" s="24" t="s">
        <v>587</v>
      </c>
      <c r="K3" s="24" t="s">
        <v>588</v>
      </c>
      <c r="L3" s="24" t="s">
        <v>577</v>
      </c>
      <c r="M3" s="24" t="s">
        <v>589</v>
      </c>
      <c r="N3" s="24" t="s">
        <v>590</v>
      </c>
      <c r="O3" s="24">
        <v>211443</v>
      </c>
      <c r="P3" s="25"/>
      <c r="Q3" s="25"/>
      <c r="R3" s="24" t="s">
        <v>591</v>
      </c>
      <c r="S3" s="24" t="s">
        <v>581</v>
      </c>
      <c r="T3" s="27">
        <v>40563</v>
      </c>
      <c r="U3" s="25">
        <v>611880</v>
      </c>
      <c r="V3" s="24" t="s">
        <v>582</v>
      </c>
      <c r="W3" s="24" t="s">
        <v>583</v>
      </c>
      <c r="X3" s="24" t="s">
        <v>584</v>
      </c>
      <c r="Y3" s="24">
        <v>4020</v>
      </c>
      <c r="Z3" s="24">
        <v>204216</v>
      </c>
      <c r="AA3" s="24">
        <v>572010</v>
      </c>
      <c r="AB3" s="24">
        <v>0</v>
      </c>
      <c r="AC3" s="24"/>
      <c r="AD3" s="24"/>
      <c r="AE3" s="24"/>
      <c r="AF3" s="24"/>
    </row>
    <row r="4" spans="1:32" ht="68.25" x14ac:dyDescent="0.25">
      <c r="A4" s="23">
        <v>40544</v>
      </c>
      <c r="B4" s="24" t="s">
        <v>571</v>
      </c>
      <c r="C4" s="24">
        <v>30264</v>
      </c>
      <c r="D4" s="24" t="s">
        <v>585</v>
      </c>
      <c r="E4" s="24" t="s">
        <v>586</v>
      </c>
      <c r="F4" s="24" t="s">
        <v>574</v>
      </c>
      <c r="G4" s="24">
        <v>700890</v>
      </c>
      <c r="H4" s="25">
        <v>2800</v>
      </c>
      <c r="I4" s="26">
        <v>2800</v>
      </c>
      <c r="J4" s="24" t="s">
        <v>592</v>
      </c>
      <c r="K4" s="24" t="s">
        <v>576</v>
      </c>
      <c r="L4" s="24" t="s">
        <v>577</v>
      </c>
      <c r="M4" s="24" t="s">
        <v>589</v>
      </c>
      <c r="N4" s="24" t="s">
        <v>590</v>
      </c>
      <c r="O4" s="24">
        <v>211393</v>
      </c>
      <c r="P4" s="25"/>
      <c r="Q4" s="25"/>
      <c r="R4" s="24" t="s">
        <v>593</v>
      </c>
      <c r="S4" s="24" t="s">
        <v>581</v>
      </c>
      <c r="T4" s="27">
        <v>40567</v>
      </c>
      <c r="U4" s="25">
        <v>615328</v>
      </c>
      <c r="V4" s="24" t="s">
        <v>582</v>
      </c>
      <c r="W4" s="24" t="s">
        <v>583</v>
      </c>
      <c r="X4" s="24" t="s">
        <v>584</v>
      </c>
      <c r="Y4" s="24">
        <v>4020</v>
      </c>
      <c r="Z4" s="24">
        <v>204216</v>
      </c>
      <c r="AA4" s="24">
        <v>572010</v>
      </c>
      <c r="AB4" s="24">
        <v>0</v>
      </c>
      <c r="AC4" s="24"/>
      <c r="AD4" s="24"/>
      <c r="AE4" s="24"/>
      <c r="AF4" s="24"/>
    </row>
    <row r="5" spans="1:32" ht="68.25" x14ac:dyDescent="0.25">
      <c r="A5" s="23">
        <v>40575</v>
      </c>
      <c r="B5" s="24" t="s">
        <v>571</v>
      </c>
      <c r="C5" s="24">
        <v>30264</v>
      </c>
      <c r="D5" s="24" t="s">
        <v>572</v>
      </c>
      <c r="E5" s="24" t="s">
        <v>573</v>
      </c>
      <c r="F5" s="24" t="s">
        <v>574</v>
      </c>
      <c r="G5" s="24">
        <v>751726</v>
      </c>
      <c r="H5" s="25">
        <v>2610</v>
      </c>
      <c r="I5" s="26">
        <v>2610</v>
      </c>
      <c r="J5" s="24" t="s">
        <v>594</v>
      </c>
      <c r="K5" s="24" t="s">
        <v>576</v>
      </c>
      <c r="L5" s="24" t="s">
        <v>577</v>
      </c>
      <c r="M5" s="24" t="s">
        <v>578</v>
      </c>
      <c r="N5" s="24" t="s">
        <v>579</v>
      </c>
      <c r="O5" s="24">
        <v>213892</v>
      </c>
      <c r="P5" s="25"/>
      <c r="Q5" s="25"/>
      <c r="R5" s="24" t="s">
        <v>595</v>
      </c>
      <c r="S5" s="24" t="s">
        <v>581</v>
      </c>
      <c r="T5" s="27">
        <v>40588</v>
      </c>
      <c r="U5" s="25">
        <v>669146</v>
      </c>
      <c r="V5" s="24" t="s">
        <v>582</v>
      </c>
      <c r="W5" s="24" t="s">
        <v>583</v>
      </c>
      <c r="X5" s="24" t="s">
        <v>584</v>
      </c>
      <c r="Y5" s="24">
        <v>4020</v>
      </c>
      <c r="Z5" s="24">
        <v>204216</v>
      </c>
      <c r="AA5" s="24">
        <v>630120</v>
      </c>
      <c r="AB5" s="24">
        <v>0</v>
      </c>
      <c r="AC5" s="24"/>
      <c r="AD5" s="24"/>
      <c r="AE5" s="24"/>
      <c r="AF5" s="24"/>
    </row>
    <row r="6" spans="1:32" ht="68.25" x14ac:dyDescent="0.25">
      <c r="A6" s="23">
        <v>40575</v>
      </c>
      <c r="B6" s="24" t="s">
        <v>571</v>
      </c>
      <c r="C6" s="24">
        <v>30264</v>
      </c>
      <c r="D6" s="24" t="s">
        <v>572</v>
      </c>
      <c r="E6" s="24" t="s">
        <v>573</v>
      </c>
      <c r="F6" s="24" t="s">
        <v>574</v>
      </c>
      <c r="G6" s="24">
        <v>751726</v>
      </c>
      <c r="H6" s="25">
        <v>2800</v>
      </c>
      <c r="I6" s="26">
        <v>2800</v>
      </c>
      <c r="J6" s="24" t="s">
        <v>596</v>
      </c>
      <c r="K6" s="24" t="s">
        <v>576</v>
      </c>
      <c r="L6" s="24" t="s">
        <v>577</v>
      </c>
      <c r="M6" s="24" t="s">
        <v>578</v>
      </c>
      <c r="N6" s="24" t="s">
        <v>579</v>
      </c>
      <c r="O6" s="24">
        <v>213892</v>
      </c>
      <c r="P6" s="25"/>
      <c r="Q6" s="25"/>
      <c r="R6" s="24" t="s">
        <v>595</v>
      </c>
      <c r="S6" s="24" t="s">
        <v>581</v>
      </c>
      <c r="T6" s="27">
        <v>40588</v>
      </c>
      <c r="U6" s="25">
        <v>669147</v>
      </c>
      <c r="V6" s="24" t="s">
        <v>582</v>
      </c>
      <c r="W6" s="24" t="s">
        <v>583</v>
      </c>
      <c r="X6" s="24" t="s">
        <v>584</v>
      </c>
      <c r="Y6" s="24">
        <v>4020</v>
      </c>
      <c r="Z6" s="24">
        <v>204216</v>
      </c>
      <c r="AA6" s="24">
        <v>630120</v>
      </c>
      <c r="AB6" s="24">
        <v>0</v>
      </c>
      <c r="AC6" s="24"/>
      <c r="AD6" s="24"/>
      <c r="AE6" s="24"/>
      <c r="AF6" s="24"/>
    </row>
    <row r="7" spans="1:32" ht="68.25" x14ac:dyDescent="0.25">
      <c r="A7" s="23">
        <v>40575</v>
      </c>
      <c r="B7" s="24" t="s">
        <v>571</v>
      </c>
      <c r="C7" s="24">
        <v>30264</v>
      </c>
      <c r="D7" s="24" t="s">
        <v>572</v>
      </c>
      <c r="E7" s="24" t="s">
        <v>573</v>
      </c>
      <c r="F7" s="24" t="s">
        <v>574</v>
      </c>
      <c r="G7" s="24">
        <v>751726</v>
      </c>
      <c r="H7" s="25">
        <v>2862</v>
      </c>
      <c r="I7" s="26">
        <v>2862</v>
      </c>
      <c r="J7" s="24" t="s">
        <v>597</v>
      </c>
      <c r="K7" s="24" t="s">
        <v>576</v>
      </c>
      <c r="L7" s="24" t="s">
        <v>577</v>
      </c>
      <c r="M7" s="24" t="s">
        <v>578</v>
      </c>
      <c r="N7" s="24" t="s">
        <v>579</v>
      </c>
      <c r="O7" s="24">
        <v>213892</v>
      </c>
      <c r="P7" s="25"/>
      <c r="Q7" s="25"/>
      <c r="R7" s="24" t="s">
        <v>595</v>
      </c>
      <c r="S7" s="24" t="s">
        <v>581</v>
      </c>
      <c r="T7" s="27">
        <v>40588</v>
      </c>
      <c r="U7" s="25">
        <v>669148</v>
      </c>
      <c r="V7" s="24" t="s">
        <v>582</v>
      </c>
      <c r="W7" s="24" t="s">
        <v>583</v>
      </c>
      <c r="X7" s="24" t="s">
        <v>584</v>
      </c>
      <c r="Y7" s="24">
        <v>4020</v>
      </c>
      <c r="Z7" s="24">
        <v>204216</v>
      </c>
      <c r="AA7" s="24">
        <v>630120</v>
      </c>
      <c r="AB7" s="24">
        <v>0</v>
      </c>
      <c r="AC7" s="24"/>
      <c r="AD7" s="24"/>
      <c r="AE7" s="24"/>
      <c r="AF7" s="24"/>
    </row>
    <row r="8" spans="1:32" ht="62.4" x14ac:dyDescent="0.3">
      <c r="A8" s="23">
        <v>40575</v>
      </c>
      <c r="B8" s="24" t="s">
        <v>571</v>
      </c>
      <c r="C8" s="24">
        <v>30264</v>
      </c>
      <c r="D8" s="24" t="s">
        <v>572</v>
      </c>
      <c r="E8" s="24" t="s">
        <v>573</v>
      </c>
      <c r="F8" s="24" t="s">
        <v>574</v>
      </c>
      <c r="G8" s="24">
        <v>774689</v>
      </c>
      <c r="H8" s="25">
        <v>2862</v>
      </c>
      <c r="I8" s="26">
        <v>2862</v>
      </c>
      <c r="J8" s="24" t="s">
        <v>598</v>
      </c>
      <c r="K8" s="24" t="s">
        <v>576</v>
      </c>
      <c r="L8" s="24" t="s">
        <v>577</v>
      </c>
      <c r="M8" s="24" t="s">
        <v>578</v>
      </c>
      <c r="N8" s="24" t="s">
        <v>579</v>
      </c>
      <c r="O8" s="24">
        <v>214693</v>
      </c>
      <c r="P8" s="25"/>
      <c r="Q8" s="25"/>
      <c r="R8" s="24" t="s">
        <v>595</v>
      </c>
      <c r="S8" s="24" t="s">
        <v>581</v>
      </c>
      <c r="T8" s="27">
        <v>40598</v>
      </c>
      <c r="U8" s="25">
        <v>698370</v>
      </c>
      <c r="V8" s="24" t="s">
        <v>582</v>
      </c>
      <c r="W8" s="24" t="s">
        <v>583</v>
      </c>
      <c r="X8" s="24" t="s">
        <v>584</v>
      </c>
      <c r="Y8" s="24">
        <v>4020</v>
      </c>
      <c r="Z8" s="24">
        <v>204216</v>
      </c>
      <c r="AA8" s="24">
        <v>630120</v>
      </c>
      <c r="AB8" s="24">
        <v>0</v>
      </c>
      <c r="AC8" s="24"/>
      <c r="AD8" s="24"/>
      <c r="AE8" s="24"/>
      <c r="AF8" s="24"/>
    </row>
    <row r="9" spans="1:32" ht="62.4" x14ac:dyDescent="0.3">
      <c r="A9" s="23">
        <v>40575</v>
      </c>
      <c r="B9" s="24" t="s">
        <v>571</v>
      </c>
      <c r="C9" s="24">
        <v>30264</v>
      </c>
      <c r="D9" s="24" t="s">
        <v>585</v>
      </c>
      <c r="E9" s="24" t="s">
        <v>586</v>
      </c>
      <c r="F9" s="24" t="s">
        <v>574</v>
      </c>
      <c r="G9" s="24">
        <v>735698</v>
      </c>
      <c r="H9" s="25">
        <v>1160.3699999999999</v>
      </c>
      <c r="I9" s="26">
        <v>1160.3699999999999</v>
      </c>
      <c r="J9" s="24" t="s">
        <v>599</v>
      </c>
      <c r="K9" s="24" t="s">
        <v>600</v>
      </c>
      <c r="L9" s="24" t="s">
        <v>577</v>
      </c>
      <c r="M9" s="24" t="s">
        <v>589</v>
      </c>
      <c r="N9" s="24" t="s">
        <v>590</v>
      </c>
      <c r="O9" s="24">
        <v>213241</v>
      </c>
      <c r="P9" s="25"/>
      <c r="Q9" s="25"/>
      <c r="R9" s="24" t="s">
        <v>601</v>
      </c>
      <c r="S9" s="24" t="s">
        <v>581</v>
      </c>
      <c r="T9" s="27">
        <v>40581</v>
      </c>
      <c r="U9" s="25">
        <v>653379</v>
      </c>
      <c r="V9" s="24" t="s">
        <v>582</v>
      </c>
      <c r="W9" s="24" t="s">
        <v>583</v>
      </c>
      <c r="X9" s="24" t="s">
        <v>584</v>
      </c>
      <c r="Y9" s="24">
        <v>4020</v>
      </c>
      <c r="Z9" s="24">
        <v>204216</v>
      </c>
      <c r="AA9" s="24">
        <v>572010</v>
      </c>
      <c r="AB9" s="24">
        <v>0</v>
      </c>
      <c r="AC9" s="24"/>
      <c r="AD9" s="24"/>
      <c r="AE9" s="24"/>
      <c r="AF9" s="24"/>
    </row>
    <row r="10" spans="1:32" ht="62.4" x14ac:dyDescent="0.3">
      <c r="A10" s="23">
        <v>40575</v>
      </c>
      <c r="B10" s="24" t="s">
        <v>571</v>
      </c>
      <c r="C10" s="24">
        <v>30264</v>
      </c>
      <c r="D10" s="24" t="s">
        <v>585</v>
      </c>
      <c r="E10" s="24" t="s">
        <v>586</v>
      </c>
      <c r="F10" s="24" t="s">
        <v>574</v>
      </c>
      <c r="G10" s="24">
        <v>746266</v>
      </c>
      <c r="H10" s="25">
        <v>1071.42</v>
      </c>
      <c r="I10" s="26">
        <v>1071.42</v>
      </c>
      <c r="J10" s="24" t="s">
        <v>602</v>
      </c>
      <c r="K10" s="24" t="s">
        <v>600</v>
      </c>
      <c r="L10" s="24" t="s">
        <v>577</v>
      </c>
      <c r="M10" s="24" t="s">
        <v>589</v>
      </c>
      <c r="N10" s="24" t="s">
        <v>590</v>
      </c>
      <c r="O10" s="24">
        <v>213833</v>
      </c>
      <c r="P10" s="25"/>
      <c r="Q10" s="25"/>
      <c r="R10" s="24" t="s">
        <v>603</v>
      </c>
      <c r="S10" s="24" t="s">
        <v>581</v>
      </c>
      <c r="T10" s="27">
        <v>40585</v>
      </c>
      <c r="U10" s="25">
        <v>666523</v>
      </c>
      <c r="V10" s="24" t="s">
        <v>582</v>
      </c>
      <c r="W10" s="24" t="s">
        <v>583</v>
      </c>
      <c r="X10" s="24" t="s">
        <v>584</v>
      </c>
      <c r="Y10" s="24">
        <v>4020</v>
      </c>
      <c r="Z10" s="24">
        <v>204216</v>
      </c>
      <c r="AA10" s="24">
        <v>572010</v>
      </c>
      <c r="AB10" s="24">
        <v>0</v>
      </c>
      <c r="AC10" s="24"/>
      <c r="AD10" s="24"/>
      <c r="AE10" s="24"/>
      <c r="AF10" s="24"/>
    </row>
    <row r="11" spans="1:32" ht="62.4" x14ac:dyDescent="0.3">
      <c r="A11" s="23">
        <v>40575</v>
      </c>
      <c r="B11" s="24" t="s">
        <v>571</v>
      </c>
      <c r="C11" s="24">
        <v>30264</v>
      </c>
      <c r="D11" s="24" t="s">
        <v>585</v>
      </c>
      <c r="E11" s="24" t="s">
        <v>586</v>
      </c>
      <c r="F11" s="24" t="s">
        <v>574</v>
      </c>
      <c r="G11" s="24">
        <v>751726</v>
      </c>
      <c r="H11" s="25">
        <v>2199</v>
      </c>
      <c r="I11" s="26">
        <v>2199</v>
      </c>
      <c r="J11" s="24" t="s">
        <v>604</v>
      </c>
      <c r="K11" s="24" t="s">
        <v>605</v>
      </c>
      <c r="L11" s="24" t="s">
        <v>577</v>
      </c>
      <c r="M11" s="24" t="s">
        <v>589</v>
      </c>
      <c r="N11" s="24" t="s">
        <v>590</v>
      </c>
      <c r="O11" s="24">
        <v>213835</v>
      </c>
      <c r="P11" s="25"/>
      <c r="Q11" s="25"/>
      <c r="R11" s="24" t="s">
        <v>595</v>
      </c>
      <c r="S11" s="24" t="s">
        <v>581</v>
      </c>
      <c r="T11" s="27">
        <v>40588</v>
      </c>
      <c r="U11" s="25">
        <v>669134</v>
      </c>
      <c r="V11" s="24" t="s">
        <v>582</v>
      </c>
      <c r="W11" s="24" t="s">
        <v>583</v>
      </c>
      <c r="X11" s="24" t="s">
        <v>584</v>
      </c>
      <c r="Y11" s="24">
        <v>4020</v>
      </c>
      <c r="Z11" s="24">
        <v>204216</v>
      </c>
      <c r="AA11" s="24">
        <v>572010</v>
      </c>
      <c r="AB11" s="24">
        <v>0</v>
      </c>
      <c r="AC11" s="24"/>
      <c r="AD11" s="24"/>
      <c r="AE11" s="24"/>
      <c r="AF11" s="24"/>
    </row>
    <row r="12" spans="1:32" ht="62.4" x14ac:dyDescent="0.3">
      <c r="A12" s="23">
        <v>40575</v>
      </c>
      <c r="B12" s="24" t="s">
        <v>571</v>
      </c>
      <c r="C12" s="24">
        <v>30264</v>
      </c>
      <c r="D12" s="24" t="s">
        <v>585</v>
      </c>
      <c r="E12" s="24" t="s">
        <v>586</v>
      </c>
      <c r="F12" s="24" t="s">
        <v>574</v>
      </c>
      <c r="G12" s="24">
        <v>751726</v>
      </c>
      <c r="H12" s="25">
        <v>5910</v>
      </c>
      <c r="I12" s="26">
        <v>5910</v>
      </c>
      <c r="J12" s="24" t="s">
        <v>606</v>
      </c>
      <c r="K12" s="24" t="s">
        <v>605</v>
      </c>
      <c r="L12" s="24" t="s">
        <v>577</v>
      </c>
      <c r="M12" s="24" t="s">
        <v>589</v>
      </c>
      <c r="N12" s="24" t="s">
        <v>590</v>
      </c>
      <c r="O12" s="24">
        <v>213835</v>
      </c>
      <c r="P12" s="25"/>
      <c r="Q12" s="25"/>
      <c r="R12" s="24" t="s">
        <v>595</v>
      </c>
      <c r="S12" s="24" t="s">
        <v>581</v>
      </c>
      <c r="T12" s="27">
        <v>40588</v>
      </c>
      <c r="U12" s="25">
        <v>669135</v>
      </c>
      <c r="V12" s="24" t="s">
        <v>582</v>
      </c>
      <c r="W12" s="24" t="s">
        <v>583</v>
      </c>
      <c r="X12" s="24" t="s">
        <v>584</v>
      </c>
      <c r="Y12" s="24">
        <v>4020</v>
      </c>
      <c r="Z12" s="24">
        <v>204216</v>
      </c>
      <c r="AA12" s="24">
        <v>572010</v>
      </c>
      <c r="AB12" s="24">
        <v>0</v>
      </c>
      <c r="AC12" s="24"/>
      <c r="AD12" s="24"/>
      <c r="AE12" s="24"/>
      <c r="AF12" s="24"/>
    </row>
    <row r="13" spans="1:32" ht="62.4" x14ac:dyDescent="0.3">
      <c r="A13" s="23">
        <v>40575</v>
      </c>
      <c r="B13" s="24" t="s">
        <v>571</v>
      </c>
      <c r="C13" s="24">
        <v>30264</v>
      </c>
      <c r="D13" s="24" t="s">
        <v>585</v>
      </c>
      <c r="E13" s="24" t="s">
        <v>586</v>
      </c>
      <c r="F13" s="24" t="s">
        <v>574</v>
      </c>
      <c r="G13" s="24">
        <v>751726</v>
      </c>
      <c r="H13" s="25">
        <v>2199</v>
      </c>
      <c r="I13" s="26">
        <v>2199</v>
      </c>
      <c r="J13" s="24" t="s">
        <v>607</v>
      </c>
      <c r="K13" s="24" t="s">
        <v>605</v>
      </c>
      <c r="L13" s="24" t="s">
        <v>577</v>
      </c>
      <c r="M13" s="24" t="s">
        <v>589</v>
      </c>
      <c r="N13" s="24" t="s">
        <v>590</v>
      </c>
      <c r="O13" s="24">
        <v>213835</v>
      </c>
      <c r="P13" s="25"/>
      <c r="Q13" s="25"/>
      <c r="R13" s="24" t="s">
        <v>595</v>
      </c>
      <c r="S13" s="24" t="s">
        <v>581</v>
      </c>
      <c r="T13" s="27">
        <v>40588</v>
      </c>
      <c r="U13" s="25">
        <v>669136</v>
      </c>
      <c r="V13" s="24" t="s">
        <v>582</v>
      </c>
      <c r="W13" s="24" t="s">
        <v>583</v>
      </c>
      <c r="X13" s="24" t="s">
        <v>584</v>
      </c>
      <c r="Y13" s="24">
        <v>4020</v>
      </c>
      <c r="Z13" s="24">
        <v>204216</v>
      </c>
      <c r="AA13" s="24">
        <v>572010</v>
      </c>
      <c r="AB13" s="24">
        <v>0</v>
      </c>
      <c r="AC13" s="24"/>
      <c r="AD13" s="24"/>
      <c r="AE13" s="24"/>
      <c r="AF13" s="24"/>
    </row>
    <row r="14" spans="1:32" ht="62.4" x14ac:dyDescent="0.3">
      <c r="A14" s="23">
        <v>40575</v>
      </c>
      <c r="B14" s="24" t="s">
        <v>571</v>
      </c>
      <c r="C14" s="24">
        <v>30264</v>
      </c>
      <c r="D14" s="24" t="s">
        <v>585</v>
      </c>
      <c r="E14" s="24" t="s">
        <v>586</v>
      </c>
      <c r="F14" s="24" t="s">
        <v>574</v>
      </c>
      <c r="G14" s="24">
        <v>751726</v>
      </c>
      <c r="H14" s="25">
        <v>5910</v>
      </c>
      <c r="I14" s="26">
        <v>5910</v>
      </c>
      <c r="J14" s="24" t="s">
        <v>608</v>
      </c>
      <c r="K14" s="24" t="s">
        <v>605</v>
      </c>
      <c r="L14" s="24" t="s">
        <v>577</v>
      </c>
      <c r="M14" s="24" t="s">
        <v>589</v>
      </c>
      <c r="N14" s="24" t="s">
        <v>590</v>
      </c>
      <c r="O14" s="24">
        <v>213835</v>
      </c>
      <c r="P14" s="25"/>
      <c r="Q14" s="25"/>
      <c r="R14" s="24" t="s">
        <v>595</v>
      </c>
      <c r="S14" s="24" t="s">
        <v>581</v>
      </c>
      <c r="T14" s="27">
        <v>40588</v>
      </c>
      <c r="U14" s="25">
        <v>669137</v>
      </c>
      <c r="V14" s="24" t="s">
        <v>582</v>
      </c>
      <c r="W14" s="24" t="s">
        <v>583</v>
      </c>
      <c r="X14" s="24" t="s">
        <v>584</v>
      </c>
      <c r="Y14" s="24">
        <v>4020</v>
      </c>
      <c r="Z14" s="24">
        <v>204216</v>
      </c>
      <c r="AA14" s="24">
        <v>572010</v>
      </c>
      <c r="AB14" s="24">
        <v>0</v>
      </c>
      <c r="AC14" s="24"/>
      <c r="AD14" s="24"/>
      <c r="AE14" s="24"/>
      <c r="AF14" s="24"/>
    </row>
    <row r="15" spans="1:32" ht="62.4" x14ac:dyDescent="0.3">
      <c r="A15" s="23">
        <v>40575</v>
      </c>
      <c r="B15" s="24" t="s">
        <v>571</v>
      </c>
      <c r="C15" s="24">
        <v>30264</v>
      </c>
      <c r="D15" s="24" t="s">
        <v>585</v>
      </c>
      <c r="E15" s="24" t="s">
        <v>586</v>
      </c>
      <c r="F15" s="24" t="s">
        <v>574</v>
      </c>
      <c r="G15" s="24">
        <v>751726</v>
      </c>
      <c r="H15" s="25">
        <v>30597.94</v>
      </c>
      <c r="I15" s="26">
        <v>30597.94</v>
      </c>
      <c r="J15" s="24" t="s">
        <v>609</v>
      </c>
      <c r="K15" s="24" t="s">
        <v>605</v>
      </c>
      <c r="L15" s="24" t="s">
        <v>577</v>
      </c>
      <c r="M15" s="24" t="s">
        <v>589</v>
      </c>
      <c r="N15" s="24" t="s">
        <v>590</v>
      </c>
      <c r="O15" s="24">
        <v>213837</v>
      </c>
      <c r="P15" s="25"/>
      <c r="Q15" s="25"/>
      <c r="R15" s="24" t="s">
        <v>595</v>
      </c>
      <c r="S15" s="24" t="s">
        <v>581</v>
      </c>
      <c r="T15" s="27">
        <v>40588</v>
      </c>
      <c r="U15" s="25">
        <v>669143</v>
      </c>
      <c r="V15" s="24" t="s">
        <v>582</v>
      </c>
      <c r="W15" s="24" t="s">
        <v>583</v>
      </c>
      <c r="X15" s="24" t="s">
        <v>584</v>
      </c>
      <c r="Y15" s="24">
        <v>4020</v>
      </c>
      <c r="Z15" s="24">
        <v>204216</v>
      </c>
      <c r="AA15" s="24">
        <v>572010</v>
      </c>
      <c r="AB15" s="24">
        <v>0</v>
      </c>
      <c r="AC15" s="24"/>
      <c r="AD15" s="24"/>
      <c r="AE15" s="24"/>
      <c r="AF15" s="24"/>
    </row>
    <row r="16" spans="1:32" ht="62.4" x14ac:dyDescent="0.3">
      <c r="A16" s="23">
        <v>40575</v>
      </c>
      <c r="B16" s="24" t="s">
        <v>571</v>
      </c>
      <c r="C16" s="24">
        <v>30264</v>
      </c>
      <c r="D16" s="24" t="s">
        <v>585</v>
      </c>
      <c r="E16" s="24" t="s">
        <v>586</v>
      </c>
      <c r="F16" s="24" t="s">
        <v>574</v>
      </c>
      <c r="G16" s="24">
        <v>751726</v>
      </c>
      <c r="H16" s="25">
        <v>27518.26</v>
      </c>
      <c r="I16" s="26">
        <v>27518.26</v>
      </c>
      <c r="J16" s="24" t="s">
        <v>610</v>
      </c>
      <c r="K16" s="24" t="s">
        <v>605</v>
      </c>
      <c r="L16" s="24" t="s">
        <v>577</v>
      </c>
      <c r="M16" s="24" t="s">
        <v>589</v>
      </c>
      <c r="N16" s="24" t="s">
        <v>590</v>
      </c>
      <c r="O16" s="24">
        <v>213838</v>
      </c>
      <c r="P16" s="25"/>
      <c r="Q16" s="25"/>
      <c r="R16" s="24" t="s">
        <v>595</v>
      </c>
      <c r="S16" s="24" t="s">
        <v>581</v>
      </c>
      <c r="T16" s="27">
        <v>40588</v>
      </c>
      <c r="U16" s="25">
        <v>669144</v>
      </c>
      <c r="V16" s="24" t="s">
        <v>582</v>
      </c>
      <c r="W16" s="24" t="s">
        <v>583</v>
      </c>
      <c r="X16" s="24" t="s">
        <v>584</v>
      </c>
      <c r="Y16" s="24">
        <v>4020</v>
      </c>
      <c r="Z16" s="24">
        <v>204216</v>
      </c>
      <c r="AA16" s="24">
        <v>572010</v>
      </c>
      <c r="AB16" s="24">
        <v>0</v>
      </c>
      <c r="AC16" s="24"/>
      <c r="AD16" s="24"/>
      <c r="AE16" s="24"/>
      <c r="AF16" s="24"/>
    </row>
    <row r="17" spans="1:32" ht="62.4" x14ac:dyDescent="0.3">
      <c r="A17" s="23">
        <v>40575</v>
      </c>
      <c r="B17" s="24" t="s">
        <v>571</v>
      </c>
      <c r="C17" s="24">
        <v>30264</v>
      </c>
      <c r="D17" s="24" t="s">
        <v>585</v>
      </c>
      <c r="E17" s="24" t="s">
        <v>586</v>
      </c>
      <c r="F17" s="24" t="s">
        <v>574</v>
      </c>
      <c r="G17" s="24">
        <v>769547</v>
      </c>
      <c r="H17" s="25">
        <v>2400</v>
      </c>
      <c r="I17" s="26">
        <v>2400</v>
      </c>
      <c r="J17" s="24" t="s">
        <v>611</v>
      </c>
      <c r="K17" s="24" t="s">
        <v>588</v>
      </c>
      <c r="L17" s="24" t="s">
        <v>577</v>
      </c>
      <c r="M17" s="24" t="s">
        <v>589</v>
      </c>
      <c r="N17" s="24" t="s">
        <v>590</v>
      </c>
      <c r="O17" s="24">
        <v>214428</v>
      </c>
      <c r="P17" s="25"/>
      <c r="Q17" s="25"/>
      <c r="R17" s="24" t="s">
        <v>595</v>
      </c>
      <c r="S17" s="24" t="s">
        <v>581</v>
      </c>
      <c r="T17" s="27">
        <v>40596</v>
      </c>
      <c r="U17" s="25">
        <v>692421</v>
      </c>
      <c r="V17" s="24" t="s">
        <v>582</v>
      </c>
      <c r="W17" s="24" t="s">
        <v>583</v>
      </c>
      <c r="X17" s="24" t="s">
        <v>584</v>
      </c>
      <c r="Y17" s="24">
        <v>4020</v>
      </c>
      <c r="Z17" s="24">
        <v>204216</v>
      </c>
      <c r="AA17" s="24">
        <v>572010</v>
      </c>
      <c r="AB17" s="24">
        <v>0</v>
      </c>
      <c r="AC17" s="24"/>
      <c r="AD17" s="24"/>
      <c r="AE17" s="24"/>
      <c r="AF17" s="24"/>
    </row>
    <row r="18" spans="1:32" ht="62.4" x14ac:dyDescent="0.3">
      <c r="A18" s="23">
        <v>40575</v>
      </c>
      <c r="B18" s="24" t="s">
        <v>571</v>
      </c>
      <c r="C18" s="24">
        <v>30264</v>
      </c>
      <c r="D18" s="24" t="s">
        <v>585</v>
      </c>
      <c r="E18" s="24" t="s">
        <v>586</v>
      </c>
      <c r="F18" s="24" t="s">
        <v>574</v>
      </c>
      <c r="G18" s="24">
        <v>774689</v>
      </c>
      <c r="H18" s="25">
        <v>2199</v>
      </c>
      <c r="I18" s="26">
        <v>2199</v>
      </c>
      <c r="J18" s="24" t="s">
        <v>612</v>
      </c>
      <c r="K18" s="24" t="s">
        <v>605</v>
      </c>
      <c r="L18" s="24" t="s">
        <v>577</v>
      </c>
      <c r="M18" s="24" t="s">
        <v>589</v>
      </c>
      <c r="N18" s="24" t="s">
        <v>590</v>
      </c>
      <c r="O18" s="24">
        <v>214694</v>
      </c>
      <c r="P18" s="25"/>
      <c r="Q18" s="25"/>
      <c r="R18" s="24" t="s">
        <v>595</v>
      </c>
      <c r="S18" s="24" t="s">
        <v>581</v>
      </c>
      <c r="T18" s="27">
        <v>40598</v>
      </c>
      <c r="U18" s="25">
        <v>698373</v>
      </c>
      <c r="V18" s="24" t="s">
        <v>582</v>
      </c>
      <c r="W18" s="24" t="s">
        <v>583</v>
      </c>
      <c r="X18" s="24" t="s">
        <v>584</v>
      </c>
      <c r="Y18" s="24">
        <v>4020</v>
      </c>
      <c r="Z18" s="24">
        <v>204216</v>
      </c>
      <c r="AA18" s="24">
        <v>572010</v>
      </c>
      <c r="AB18" s="24">
        <v>0</v>
      </c>
      <c r="AC18" s="24"/>
      <c r="AD18" s="24"/>
      <c r="AE18" s="24"/>
      <c r="AF18" s="24"/>
    </row>
    <row r="19" spans="1:32" ht="62.4" x14ac:dyDescent="0.3">
      <c r="A19" s="23">
        <v>40575</v>
      </c>
      <c r="B19" s="24" t="s">
        <v>571</v>
      </c>
      <c r="C19" s="24">
        <v>30264</v>
      </c>
      <c r="D19" s="24" t="s">
        <v>585</v>
      </c>
      <c r="E19" s="24" t="s">
        <v>586</v>
      </c>
      <c r="F19" s="24" t="s">
        <v>574</v>
      </c>
      <c r="G19" s="24">
        <v>774689</v>
      </c>
      <c r="H19" s="25">
        <v>5910</v>
      </c>
      <c r="I19" s="26">
        <v>5910</v>
      </c>
      <c r="J19" s="24" t="s">
        <v>613</v>
      </c>
      <c r="K19" s="24" t="s">
        <v>605</v>
      </c>
      <c r="L19" s="24" t="s">
        <v>577</v>
      </c>
      <c r="M19" s="24" t="s">
        <v>589</v>
      </c>
      <c r="N19" s="24" t="s">
        <v>590</v>
      </c>
      <c r="O19" s="24">
        <v>214694</v>
      </c>
      <c r="P19" s="25"/>
      <c r="Q19" s="25"/>
      <c r="R19" s="24" t="s">
        <v>595</v>
      </c>
      <c r="S19" s="24" t="s">
        <v>581</v>
      </c>
      <c r="T19" s="27">
        <v>40598</v>
      </c>
      <c r="U19" s="25">
        <v>698374</v>
      </c>
      <c r="V19" s="24" t="s">
        <v>582</v>
      </c>
      <c r="W19" s="24" t="s">
        <v>583</v>
      </c>
      <c r="X19" s="24" t="s">
        <v>584</v>
      </c>
      <c r="Y19" s="24">
        <v>4020</v>
      </c>
      <c r="Z19" s="24">
        <v>204216</v>
      </c>
      <c r="AA19" s="24">
        <v>572010</v>
      </c>
      <c r="AB19" s="24">
        <v>0</v>
      </c>
      <c r="AC19" s="24"/>
      <c r="AD19" s="24"/>
      <c r="AE19" s="24"/>
      <c r="AF19" s="24"/>
    </row>
    <row r="20" spans="1:32" ht="62.4" x14ac:dyDescent="0.3">
      <c r="A20" s="23">
        <v>40603</v>
      </c>
      <c r="B20" s="24" t="s">
        <v>571</v>
      </c>
      <c r="C20" s="24">
        <v>30264</v>
      </c>
      <c r="D20" s="24" t="s">
        <v>572</v>
      </c>
      <c r="E20" s="24" t="s">
        <v>586</v>
      </c>
      <c r="F20" s="24" t="s">
        <v>574</v>
      </c>
      <c r="G20" s="24">
        <v>812113</v>
      </c>
      <c r="H20" s="25">
        <v>1107.93</v>
      </c>
      <c r="I20" s="26">
        <v>1107.93</v>
      </c>
      <c r="J20" s="24" t="s">
        <v>614</v>
      </c>
      <c r="K20" s="24" t="s">
        <v>576</v>
      </c>
      <c r="L20" s="24" t="s">
        <v>577</v>
      </c>
      <c r="M20" s="24" t="s">
        <v>589</v>
      </c>
      <c r="N20" s="24" t="s">
        <v>579</v>
      </c>
      <c r="O20" s="24">
        <v>216471</v>
      </c>
      <c r="P20" s="25"/>
      <c r="Q20" s="25"/>
      <c r="R20" s="24" t="s">
        <v>615</v>
      </c>
      <c r="S20" s="24" t="s">
        <v>581</v>
      </c>
      <c r="T20" s="27">
        <v>40613</v>
      </c>
      <c r="U20" s="25">
        <v>741558</v>
      </c>
      <c r="V20" s="24" t="s">
        <v>582</v>
      </c>
      <c r="W20" s="24" t="s">
        <v>583</v>
      </c>
      <c r="X20" s="24" t="s">
        <v>584</v>
      </c>
      <c r="Y20" s="24">
        <v>4020</v>
      </c>
      <c r="Z20" s="24">
        <v>204216</v>
      </c>
      <c r="AA20" s="24">
        <v>572010</v>
      </c>
      <c r="AB20" s="24">
        <v>0</v>
      </c>
      <c r="AC20" s="24"/>
      <c r="AD20" s="24"/>
      <c r="AE20" s="24"/>
      <c r="AF20" s="24"/>
    </row>
    <row r="21" spans="1:32" ht="62.4" x14ac:dyDescent="0.3">
      <c r="A21" s="23">
        <v>40603</v>
      </c>
      <c r="B21" s="24" t="s">
        <v>571</v>
      </c>
      <c r="C21" s="24">
        <v>30264</v>
      </c>
      <c r="D21" s="24" t="s">
        <v>572</v>
      </c>
      <c r="E21" s="24" t="s">
        <v>586</v>
      </c>
      <c r="F21" s="24" t="s">
        <v>574</v>
      </c>
      <c r="G21" s="24">
        <v>812113</v>
      </c>
      <c r="H21" s="25">
        <v>2610</v>
      </c>
      <c r="I21" s="26">
        <v>2610</v>
      </c>
      <c r="J21" s="24" t="s">
        <v>616</v>
      </c>
      <c r="K21" s="24" t="s">
        <v>576</v>
      </c>
      <c r="L21" s="24" t="s">
        <v>577</v>
      </c>
      <c r="M21" s="24" t="s">
        <v>589</v>
      </c>
      <c r="N21" s="24" t="s">
        <v>579</v>
      </c>
      <c r="O21" s="24">
        <v>216471</v>
      </c>
      <c r="P21" s="25"/>
      <c r="Q21" s="25"/>
      <c r="R21" s="24" t="s">
        <v>615</v>
      </c>
      <c r="S21" s="24" t="s">
        <v>581</v>
      </c>
      <c r="T21" s="27">
        <v>40613</v>
      </c>
      <c r="U21" s="25">
        <v>741559</v>
      </c>
      <c r="V21" s="24" t="s">
        <v>582</v>
      </c>
      <c r="W21" s="24" t="s">
        <v>583</v>
      </c>
      <c r="X21" s="24" t="s">
        <v>584</v>
      </c>
      <c r="Y21" s="24">
        <v>4020</v>
      </c>
      <c r="Z21" s="24">
        <v>204216</v>
      </c>
      <c r="AA21" s="24">
        <v>572010</v>
      </c>
      <c r="AB21" s="24">
        <v>0</v>
      </c>
      <c r="AC21" s="24"/>
      <c r="AD21" s="24"/>
      <c r="AE21" s="24"/>
      <c r="AF21" s="24"/>
    </row>
    <row r="22" spans="1:32" ht="62.4" x14ac:dyDescent="0.3">
      <c r="A22" s="23">
        <v>40603</v>
      </c>
      <c r="B22" s="24" t="s">
        <v>571</v>
      </c>
      <c r="C22" s="24">
        <v>30264</v>
      </c>
      <c r="D22" s="24" t="s">
        <v>572</v>
      </c>
      <c r="E22" s="24" t="s">
        <v>573</v>
      </c>
      <c r="F22" s="24" t="s">
        <v>574</v>
      </c>
      <c r="G22" s="24">
        <v>806857</v>
      </c>
      <c r="H22" s="25">
        <v>2610</v>
      </c>
      <c r="I22" s="26">
        <v>2610</v>
      </c>
      <c r="J22" s="24" t="s">
        <v>617</v>
      </c>
      <c r="K22" s="24" t="s">
        <v>576</v>
      </c>
      <c r="L22" s="24" t="s">
        <v>577</v>
      </c>
      <c r="M22" s="24" t="s">
        <v>578</v>
      </c>
      <c r="N22" s="24" t="s">
        <v>579</v>
      </c>
      <c r="O22" s="24">
        <v>216241</v>
      </c>
      <c r="P22" s="25"/>
      <c r="Q22" s="25"/>
      <c r="R22" s="24" t="s">
        <v>595</v>
      </c>
      <c r="S22" s="24" t="s">
        <v>581</v>
      </c>
      <c r="T22" s="27">
        <v>40611</v>
      </c>
      <c r="U22" s="25">
        <v>735552</v>
      </c>
      <c r="V22" s="24" t="s">
        <v>582</v>
      </c>
      <c r="W22" s="24" t="s">
        <v>583</v>
      </c>
      <c r="X22" s="24" t="s">
        <v>584</v>
      </c>
      <c r="Y22" s="24">
        <v>4020</v>
      </c>
      <c r="Z22" s="24">
        <v>204216</v>
      </c>
      <c r="AA22" s="24">
        <v>630120</v>
      </c>
      <c r="AB22" s="24">
        <v>0</v>
      </c>
      <c r="AC22" s="24"/>
      <c r="AD22" s="24"/>
      <c r="AE22" s="24"/>
      <c r="AF22" s="24"/>
    </row>
    <row r="23" spans="1:32" ht="62.4" x14ac:dyDescent="0.3">
      <c r="A23" s="23">
        <v>40603</v>
      </c>
      <c r="B23" s="24" t="s">
        <v>571</v>
      </c>
      <c r="C23" s="24">
        <v>30264</v>
      </c>
      <c r="D23" s="24" t="s">
        <v>572</v>
      </c>
      <c r="E23" s="24" t="s">
        <v>573</v>
      </c>
      <c r="F23" s="24" t="s">
        <v>574</v>
      </c>
      <c r="G23" s="24">
        <v>817573</v>
      </c>
      <c r="H23" s="25">
        <v>2610</v>
      </c>
      <c r="I23" s="26">
        <v>2610</v>
      </c>
      <c r="J23" s="24" t="s">
        <v>618</v>
      </c>
      <c r="K23" s="24" t="s">
        <v>576</v>
      </c>
      <c r="L23" s="24" t="s">
        <v>577</v>
      </c>
      <c r="M23" s="24" t="s">
        <v>578</v>
      </c>
      <c r="N23" s="24" t="s">
        <v>579</v>
      </c>
      <c r="O23" s="24">
        <v>216766</v>
      </c>
      <c r="P23" s="25"/>
      <c r="Q23" s="25"/>
      <c r="R23" s="24" t="s">
        <v>615</v>
      </c>
      <c r="S23" s="24" t="s">
        <v>581</v>
      </c>
      <c r="T23" s="27">
        <v>40616</v>
      </c>
      <c r="U23" s="25">
        <v>743199</v>
      </c>
      <c r="V23" s="24" t="s">
        <v>582</v>
      </c>
      <c r="W23" s="24" t="s">
        <v>583</v>
      </c>
      <c r="X23" s="24" t="s">
        <v>584</v>
      </c>
      <c r="Y23" s="24">
        <v>4020</v>
      </c>
      <c r="Z23" s="24">
        <v>204216</v>
      </c>
      <c r="AA23" s="24">
        <v>630120</v>
      </c>
      <c r="AB23" s="24">
        <v>0</v>
      </c>
      <c r="AC23" s="24"/>
      <c r="AD23" s="24"/>
      <c r="AE23" s="24"/>
      <c r="AF23" s="24"/>
    </row>
    <row r="24" spans="1:32" ht="62.4" x14ac:dyDescent="0.3">
      <c r="A24" s="23">
        <v>40603</v>
      </c>
      <c r="B24" s="24" t="s">
        <v>571</v>
      </c>
      <c r="C24" s="24">
        <v>30264</v>
      </c>
      <c r="D24" s="24" t="s">
        <v>572</v>
      </c>
      <c r="E24" s="24" t="s">
        <v>573</v>
      </c>
      <c r="F24" s="24" t="s">
        <v>574</v>
      </c>
      <c r="G24" s="24">
        <v>835399</v>
      </c>
      <c r="H24" s="25">
        <v>3190</v>
      </c>
      <c r="I24" s="26">
        <v>3190</v>
      </c>
      <c r="J24" s="24" t="s">
        <v>619</v>
      </c>
      <c r="K24" s="24" t="s">
        <v>576</v>
      </c>
      <c r="L24" s="24" t="s">
        <v>577</v>
      </c>
      <c r="M24" s="24" t="s">
        <v>578</v>
      </c>
      <c r="N24" s="24" t="s">
        <v>579</v>
      </c>
      <c r="O24" s="24">
        <v>217597</v>
      </c>
      <c r="P24" s="25"/>
      <c r="Q24" s="25"/>
      <c r="R24" s="24" t="s">
        <v>615</v>
      </c>
      <c r="S24" s="24" t="s">
        <v>581</v>
      </c>
      <c r="T24" s="27">
        <v>40624</v>
      </c>
      <c r="U24" s="25">
        <v>767821</v>
      </c>
      <c r="V24" s="24" t="s">
        <v>582</v>
      </c>
      <c r="W24" s="24" t="s">
        <v>583</v>
      </c>
      <c r="X24" s="24" t="s">
        <v>584</v>
      </c>
      <c r="Y24" s="24">
        <v>4020</v>
      </c>
      <c r="Z24" s="24">
        <v>204216</v>
      </c>
      <c r="AA24" s="24">
        <v>630120</v>
      </c>
      <c r="AB24" s="24">
        <v>0</v>
      </c>
      <c r="AC24" s="24"/>
      <c r="AD24" s="24"/>
      <c r="AE24" s="24"/>
      <c r="AF24" s="24"/>
    </row>
    <row r="25" spans="1:32" ht="62.4" x14ac:dyDescent="0.3">
      <c r="A25" s="23">
        <v>40603</v>
      </c>
      <c r="B25" s="24" t="s">
        <v>571</v>
      </c>
      <c r="C25" s="24">
        <v>30264</v>
      </c>
      <c r="D25" s="24" t="s">
        <v>572</v>
      </c>
      <c r="E25" s="24" t="s">
        <v>573</v>
      </c>
      <c r="F25" s="24" t="s">
        <v>574</v>
      </c>
      <c r="G25" s="24">
        <v>835399</v>
      </c>
      <c r="H25" s="25">
        <v>2886</v>
      </c>
      <c r="I25" s="26">
        <v>2886</v>
      </c>
      <c r="J25" s="24" t="s">
        <v>620</v>
      </c>
      <c r="K25" s="24" t="s">
        <v>576</v>
      </c>
      <c r="L25" s="24" t="s">
        <v>577</v>
      </c>
      <c r="M25" s="24" t="s">
        <v>578</v>
      </c>
      <c r="N25" s="24" t="s">
        <v>579</v>
      </c>
      <c r="O25" s="24">
        <v>217598</v>
      </c>
      <c r="P25" s="25"/>
      <c r="Q25" s="25"/>
      <c r="R25" s="24" t="s">
        <v>615</v>
      </c>
      <c r="S25" s="24" t="s">
        <v>581</v>
      </c>
      <c r="T25" s="27">
        <v>40624</v>
      </c>
      <c r="U25" s="25">
        <v>767822</v>
      </c>
      <c r="V25" s="24" t="s">
        <v>582</v>
      </c>
      <c r="W25" s="24" t="s">
        <v>583</v>
      </c>
      <c r="X25" s="24" t="s">
        <v>584</v>
      </c>
      <c r="Y25" s="24">
        <v>4020</v>
      </c>
      <c r="Z25" s="24">
        <v>204216</v>
      </c>
      <c r="AA25" s="24">
        <v>630120</v>
      </c>
      <c r="AB25" s="24">
        <v>0</v>
      </c>
      <c r="AC25" s="24"/>
      <c r="AD25" s="24"/>
      <c r="AE25" s="24"/>
      <c r="AF25" s="24"/>
    </row>
    <row r="26" spans="1:32" ht="62.4" x14ac:dyDescent="0.3">
      <c r="A26" s="23">
        <v>40603</v>
      </c>
      <c r="B26" s="24" t="s">
        <v>571</v>
      </c>
      <c r="C26" s="24">
        <v>30264</v>
      </c>
      <c r="D26" s="24" t="s">
        <v>572</v>
      </c>
      <c r="E26" s="24" t="s">
        <v>573</v>
      </c>
      <c r="F26" s="24" t="s">
        <v>574</v>
      </c>
      <c r="G26" s="24">
        <v>835399</v>
      </c>
      <c r="H26" s="25">
        <v>1107.93</v>
      </c>
      <c r="I26" s="26">
        <v>1107.93</v>
      </c>
      <c r="J26" s="24" t="s">
        <v>621</v>
      </c>
      <c r="K26" s="24" t="s">
        <v>576</v>
      </c>
      <c r="L26" s="24" t="s">
        <v>577</v>
      </c>
      <c r="M26" s="24" t="s">
        <v>578</v>
      </c>
      <c r="N26" s="24" t="s">
        <v>579</v>
      </c>
      <c r="O26" s="24">
        <v>217600</v>
      </c>
      <c r="P26" s="25"/>
      <c r="Q26" s="25"/>
      <c r="R26" s="24" t="s">
        <v>615</v>
      </c>
      <c r="S26" s="24" t="s">
        <v>581</v>
      </c>
      <c r="T26" s="27">
        <v>40624</v>
      </c>
      <c r="U26" s="25">
        <v>767824</v>
      </c>
      <c r="V26" s="24" t="s">
        <v>582</v>
      </c>
      <c r="W26" s="24" t="s">
        <v>583</v>
      </c>
      <c r="X26" s="24" t="s">
        <v>584</v>
      </c>
      <c r="Y26" s="24">
        <v>4020</v>
      </c>
      <c r="Z26" s="24">
        <v>204216</v>
      </c>
      <c r="AA26" s="24">
        <v>630120</v>
      </c>
      <c r="AB26" s="24">
        <v>0</v>
      </c>
      <c r="AC26" s="24"/>
      <c r="AD26" s="24"/>
      <c r="AE26" s="24"/>
      <c r="AF26" s="24"/>
    </row>
    <row r="27" spans="1:32" ht="62.4" x14ac:dyDescent="0.3">
      <c r="A27" s="23">
        <v>40603</v>
      </c>
      <c r="B27" s="24" t="s">
        <v>571</v>
      </c>
      <c r="C27" s="24">
        <v>30264</v>
      </c>
      <c r="D27" s="24" t="s">
        <v>572</v>
      </c>
      <c r="E27" s="24" t="s">
        <v>573</v>
      </c>
      <c r="F27" s="24" t="s">
        <v>574</v>
      </c>
      <c r="G27" s="24">
        <v>843223</v>
      </c>
      <c r="H27" s="25">
        <v>1107.93</v>
      </c>
      <c r="I27" s="26">
        <v>1107.93</v>
      </c>
      <c r="J27" s="24" t="s">
        <v>622</v>
      </c>
      <c r="K27" s="24" t="s">
        <v>576</v>
      </c>
      <c r="L27" s="24" t="s">
        <v>577</v>
      </c>
      <c r="M27" s="24" t="s">
        <v>578</v>
      </c>
      <c r="N27" s="24" t="s">
        <v>579</v>
      </c>
      <c r="O27" s="24">
        <v>218019</v>
      </c>
      <c r="P27" s="25"/>
      <c r="Q27" s="25"/>
      <c r="R27" s="24" t="s">
        <v>615</v>
      </c>
      <c r="S27" s="24" t="s">
        <v>581</v>
      </c>
      <c r="T27" s="27">
        <v>40627</v>
      </c>
      <c r="U27" s="25">
        <v>774899</v>
      </c>
      <c r="V27" s="24" t="s">
        <v>582</v>
      </c>
      <c r="W27" s="24" t="s">
        <v>583</v>
      </c>
      <c r="X27" s="24" t="s">
        <v>584</v>
      </c>
      <c r="Y27" s="24">
        <v>4020</v>
      </c>
      <c r="Z27" s="24">
        <v>204216</v>
      </c>
      <c r="AA27" s="24">
        <v>630120</v>
      </c>
      <c r="AB27" s="24">
        <v>0</v>
      </c>
      <c r="AC27" s="24"/>
      <c r="AD27" s="24"/>
      <c r="AE27" s="24"/>
      <c r="AF27" s="24"/>
    </row>
    <row r="28" spans="1:32" ht="62.4" x14ac:dyDescent="0.3">
      <c r="A28" s="23">
        <v>40603</v>
      </c>
      <c r="B28" s="24" t="s">
        <v>571</v>
      </c>
      <c r="C28" s="24">
        <v>30264</v>
      </c>
      <c r="D28" s="24" t="s">
        <v>572</v>
      </c>
      <c r="E28" s="24" t="s">
        <v>573</v>
      </c>
      <c r="F28" s="24" t="s">
        <v>574</v>
      </c>
      <c r="G28" s="24">
        <v>843223</v>
      </c>
      <c r="H28" s="25">
        <v>3190</v>
      </c>
      <c r="I28" s="26">
        <v>3190</v>
      </c>
      <c r="J28" s="24" t="s">
        <v>622</v>
      </c>
      <c r="K28" s="24" t="s">
        <v>576</v>
      </c>
      <c r="L28" s="24" t="s">
        <v>577</v>
      </c>
      <c r="M28" s="24" t="s">
        <v>578</v>
      </c>
      <c r="N28" s="24" t="s">
        <v>579</v>
      </c>
      <c r="O28" s="24">
        <v>218019</v>
      </c>
      <c r="P28" s="25"/>
      <c r="Q28" s="25"/>
      <c r="R28" s="24" t="s">
        <v>615</v>
      </c>
      <c r="S28" s="24" t="s">
        <v>581</v>
      </c>
      <c r="T28" s="27">
        <v>40627</v>
      </c>
      <c r="U28" s="25">
        <v>774900</v>
      </c>
      <c r="V28" s="24" t="s">
        <v>582</v>
      </c>
      <c r="W28" s="24" t="s">
        <v>583</v>
      </c>
      <c r="X28" s="24" t="s">
        <v>584</v>
      </c>
      <c r="Y28" s="24">
        <v>4020</v>
      </c>
      <c r="Z28" s="24">
        <v>204216</v>
      </c>
      <c r="AA28" s="24">
        <v>630120</v>
      </c>
      <c r="AB28" s="24">
        <v>0</v>
      </c>
      <c r="AC28" s="24"/>
      <c r="AD28" s="24"/>
      <c r="AE28" s="24"/>
      <c r="AF28" s="24"/>
    </row>
    <row r="29" spans="1:32" ht="62.4" x14ac:dyDescent="0.3">
      <c r="A29" s="23">
        <v>40603</v>
      </c>
      <c r="B29" s="24" t="s">
        <v>571</v>
      </c>
      <c r="C29" s="24">
        <v>30264</v>
      </c>
      <c r="D29" s="24" t="s">
        <v>572</v>
      </c>
      <c r="E29" s="24" t="s">
        <v>573</v>
      </c>
      <c r="F29" s="24" t="s">
        <v>574</v>
      </c>
      <c r="G29" s="24">
        <v>849007</v>
      </c>
      <c r="H29" s="25">
        <v>1107.93</v>
      </c>
      <c r="I29" s="26">
        <v>1107.93</v>
      </c>
      <c r="J29" s="24" t="s">
        <v>622</v>
      </c>
      <c r="K29" s="24" t="s">
        <v>576</v>
      </c>
      <c r="L29" s="24" t="s">
        <v>577</v>
      </c>
      <c r="M29" s="24" t="s">
        <v>578</v>
      </c>
      <c r="N29" s="24" t="s">
        <v>579</v>
      </c>
      <c r="O29" s="24">
        <v>218019</v>
      </c>
      <c r="P29" s="25"/>
      <c r="Q29" s="25"/>
      <c r="R29" s="24" t="s">
        <v>623</v>
      </c>
      <c r="S29" s="24" t="s">
        <v>581</v>
      </c>
      <c r="T29" s="27">
        <v>40630</v>
      </c>
      <c r="U29" s="25">
        <v>777421</v>
      </c>
      <c r="V29" s="24" t="s">
        <v>582</v>
      </c>
      <c r="W29" s="24" t="s">
        <v>583</v>
      </c>
      <c r="X29" s="24" t="s">
        <v>584</v>
      </c>
      <c r="Y29" s="24">
        <v>4020</v>
      </c>
      <c r="Z29" s="24">
        <v>204216</v>
      </c>
      <c r="AA29" s="24">
        <v>630120</v>
      </c>
      <c r="AB29" s="24">
        <v>0</v>
      </c>
      <c r="AC29" s="24"/>
      <c r="AD29" s="24"/>
      <c r="AE29" s="24"/>
      <c r="AF29" s="24"/>
    </row>
    <row r="30" spans="1:32" ht="62.4" x14ac:dyDescent="0.3">
      <c r="A30" s="23">
        <v>40603</v>
      </c>
      <c r="B30" s="24" t="s">
        <v>571</v>
      </c>
      <c r="C30" s="24">
        <v>30264</v>
      </c>
      <c r="D30" s="24" t="s">
        <v>572</v>
      </c>
      <c r="E30" s="24" t="s">
        <v>573</v>
      </c>
      <c r="F30" s="24" t="s">
        <v>574</v>
      </c>
      <c r="G30" s="24">
        <v>854520</v>
      </c>
      <c r="H30" s="25">
        <v>3684</v>
      </c>
      <c r="I30" s="26">
        <v>3684</v>
      </c>
      <c r="J30" s="24" t="s">
        <v>622</v>
      </c>
      <c r="K30" s="24" t="s">
        <v>576</v>
      </c>
      <c r="L30" s="24" t="s">
        <v>577</v>
      </c>
      <c r="M30" s="24" t="s">
        <v>578</v>
      </c>
      <c r="N30" s="24" t="s">
        <v>579</v>
      </c>
      <c r="O30" s="24">
        <v>218019</v>
      </c>
      <c r="P30" s="25"/>
      <c r="Q30" s="25"/>
      <c r="R30" s="24" t="s">
        <v>615</v>
      </c>
      <c r="S30" s="24" t="s">
        <v>581</v>
      </c>
      <c r="T30" s="27">
        <v>40632</v>
      </c>
      <c r="U30" s="25">
        <v>788333</v>
      </c>
      <c r="V30" s="24" t="s">
        <v>582</v>
      </c>
      <c r="W30" s="24" t="s">
        <v>583</v>
      </c>
      <c r="X30" s="24" t="s">
        <v>584</v>
      </c>
      <c r="Y30" s="24">
        <v>4020</v>
      </c>
      <c r="Z30" s="24">
        <v>204216</v>
      </c>
      <c r="AA30" s="24">
        <v>630120</v>
      </c>
      <c r="AB30" s="24">
        <v>0</v>
      </c>
      <c r="AC30" s="24"/>
      <c r="AD30" s="24"/>
      <c r="AE30" s="24"/>
      <c r="AF30" s="24"/>
    </row>
    <row r="31" spans="1:32" ht="62.4" x14ac:dyDescent="0.3">
      <c r="A31" s="23">
        <v>40603</v>
      </c>
      <c r="B31" s="24" t="s">
        <v>571</v>
      </c>
      <c r="C31" s="24">
        <v>30264</v>
      </c>
      <c r="D31" s="24" t="s">
        <v>572</v>
      </c>
      <c r="E31" s="24" t="s">
        <v>573</v>
      </c>
      <c r="F31" s="24" t="s">
        <v>574</v>
      </c>
      <c r="G31" s="24">
        <v>854520</v>
      </c>
      <c r="H31" s="25">
        <v>3190</v>
      </c>
      <c r="I31" s="26">
        <v>3190</v>
      </c>
      <c r="J31" s="24" t="s">
        <v>622</v>
      </c>
      <c r="K31" s="24" t="s">
        <v>576</v>
      </c>
      <c r="L31" s="24" t="s">
        <v>577</v>
      </c>
      <c r="M31" s="24" t="s">
        <v>578</v>
      </c>
      <c r="N31" s="24" t="s">
        <v>579</v>
      </c>
      <c r="O31" s="24">
        <v>218019</v>
      </c>
      <c r="P31" s="25"/>
      <c r="Q31" s="25"/>
      <c r="R31" s="24" t="s">
        <v>624</v>
      </c>
      <c r="S31" s="24" t="s">
        <v>581</v>
      </c>
      <c r="T31" s="27">
        <v>40632</v>
      </c>
      <c r="U31" s="25">
        <v>788334</v>
      </c>
      <c r="V31" s="24" t="s">
        <v>582</v>
      </c>
      <c r="W31" s="24" t="s">
        <v>583</v>
      </c>
      <c r="X31" s="24" t="s">
        <v>584</v>
      </c>
      <c r="Y31" s="24">
        <v>4020</v>
      </c>
      <c r="Z31" s="24">
        <v>204216</v>
      </c>
      <c r="AA31" s="24">
        <v>630120</v>
      </c>
      <c r="AB31" s="24">
        <v>0</v>
      </c>
      <c r="AC31" s="24"/>
      <c r="AD31" s="24"/>
      <c r="AE31" s="24"/>
      <c r="AF31" s="24"/>
    </row>
    <row r="32" spans="1:32" ht="62.4" x14ac:dyDescent="0.3">
      <c r="A32" s="23">
        <v>40603</v>
      </c>
      <c r="B32" s="24" t="s">
        <v>571</v>
      </c>
      <c r="C32" s="24">
        <v>30264</v>
      </c>
      <c r="D32" s="24" t="s">
        <v>572</v>
      </c>
      <c r="E32" s="24" t="s">
        <v>573</v>
      </c>
      <c r="F32" s="24" t="s">
        <v>574</v>
      </c>
      <c r="G32" s="24">
        <v>854520</v>
      </c>
      <c r="H32" s="25">
        <v>1107.93</v>
      </c>
      <c r="I32" s="26">
        <v>1107.93</v>
      </c>
      <c r="J32" s="24" t="s">
        <v>622</v>
      </c>
      <c r="K32" s="24" t="s">
        <v>576</v>
      </c>
      <c r="L32" s="24" t="s">
        <v>577</v>
      </c>
      <c r="M32" s="24" t="s">
        <v>578</v>
      </c>
      <c r="N32" s="24" t="s">
        <v>579</v>
      </c>
      <c r="O32" s="24">
        <v>218019</v>
      </c>
      <c r="P32" s="25"/>
      <c r="Q32" s="25"/>
      <c r="R32" s="24" t="s">
        <v>615</v>
      </c>
      <c r="S32" s="24" t="s">
        <v>581</v>
      </c>
      <c r="T32" s="27">
        <v>40632</v>
      </c>
      <c r="U32" s="25">
        <v>788335</v>
      </c>
      <c r="V32" s="24" t="s">
        <v>582</v>
      </c>
      <c r="W32" s="24" t="s">
        <v>583</v>
      </c>
      <c r="X32" s="24" t="s">
        <v>584</v>
      </c>
      <c r="Y32" s="24">
        <v>4020</v>
      </c>
      <c r="Z32" s="24">
        <v>204216</v>
      </c>
      <c r="AA32" s="24">
        <v>630120</v>
      </c>
      <c r="AB32" s="24">
        <v>0</v>
      </c>
      <c r="AC32" s="24"/>
      <c r="AD32" s="24"/>
      <c r="AE32" s="24"/>
      <c r="AF32" s="24"/>
    </row>
    <row r="33" spans="1:32" ht="62.4" x14ac:dyDescent="0.3">
      <c r="A33" s="23">
        <v>40603</v>
      </c>
      <c r="B33" s="24" t="s">
        <v>571</v>
      </c>
      <c r="C33" s="24">
        <v>30264</v>
      </c>
      <c r="D33" s="24" t="s">
        <v>625</v>
      </c>
      <c r="E33" s="24" t="s">
        <v>586</v>
      </c>
      <c r="F33" s="24" t="s">
        <v>574</v>
      </c>
      <c r="G33" s="24">
        <v>817573</v>
      </c>
      <c r="H33" s="25">
        <v>7481.4</v>
      </c>
      <c r="I33" s="26">
        <v>7481.4</v>
      </c>
      <c r="J33" s="24" t="s">
        <v>626</v>
      </c>
      <c r="K33" s="24" t="s">
        <v>627</v>
      </c>
      <c r="L33" s="24" t="s">
        <v>577</v>
      </c>
      <c r="M33" s="24" t="s">
        <v>589</v>
      </c>
      <c r="N33" s="24" t="s">
        <v>628</v>
      </c>
      <c r="O33" s="24">
        <v>216833</v>
      </c>
      <c r="P33" s="25"/>
      <c r="Q33" s="25"/>
      <c r="R33" s="24" t="s">
        <v>629</v>
      </c>
      <c r="S33" s="24" t="s">
        <v>581</v>
      </c>
      <c r="T33" s="27">
        <v>40616</v>
      </c>
      <c r="U33" s="25">
        <v>743204</v>
      </c>
      <c r="V33" s="24" t="s">
        <v>582</v>
      </c>
      <c r="W33" s="24" t="s">
        <v>583</v>
      </c>
      <c r="X33" s="24" t="s">
        <v>584</v>
      </c>
      <c r="Y33" s="24">
        <v>4020</v>
      </c>
      <c r="Z33" s="24">
        <v>204216</v>
      </c>
      <c r="AA33" s="24">
        <v>572010</v>
      </c>
      <c r="AB33" s="24">
        <v>0</v>
      </c>
      <c r="AC33" s="24"/>
      <c r="AD33" s="24"/>
      <c r="AE33" s="24"/>
      <c r="AF33" s="24"/>
    </row>
    <row r="34" spans="1:32" ht="62.4" x14ac:dyDescent="0.3">
      <c r="A34" s="23">
        <v>40603</v>
      </c>
      <c r="B34" s="24" t="s">
        <v>571</v>
      </c>
      <c r="C34" s="24">
        <v>30264</v>
      </c>
      <c r="D34" s="24" t="s">
        <v>625</v>
      </c>
      <c r="E34" s="24" t="s">
        <v>586</v>
      </c>
      <c r="F34" s="24" t="s">
        <v>574</v>
      </c>
      <c r="G34" s="24">
        <v>817573</v>
      </c>
      <c r="H34" s="25">
        <v>17240</v>
      </c>
      <c r="I34" s="26">
        <v>17240</v>
      </c>
      <c r="J34" s="24" t="s">
        <v>630</v>
      </c>
      <c r="K34" s="24" t="s">
        <v>627</v>
      </c>
      <c r="L34" s="24" t="s">
        <v>577</v>
      </c>
      <c r="M34" s="24" t="s">
        <v>589</v>
      </c>
      <c r="N34" s="24" t="s">
        <v>628</v>
      </c>
      <c r="O34" s="24">
        <v>216834</v>
      </c>
      <c r="P34" s="25"/>
      <c r="Q34" s="25"/>
      <c r="R34" s="24" t="s">
        <v>615</v>
      </c>
      <c r="S34" s="24" t="s">
        <v>581</v>
      </c>
      <c r="T34" s="27">
        <v>40616</v>
      </c>
      <c r="U34" s="25">
        <v>743205</v>
      </c>
      <c r="V34" s="24" t="s">
        <v>582</v>
      </c>
      <c r="W34" s="24" t="s">
        <v>583</v>
      </c>
      <c r="X34" s="24" t="s">
        <v>584</v>
      </c>
      <c r="Y34" s="24">
        <v>4020</v>
      </c>
      <c r="Z34" s="24">
        <v>204216</v>
      </c>
      <c r="AA34" s="24">
        <v>572010</v>
      </c>
      <c r="AB34" s="24">
        <v>0</v>
      </c>
      <c r="AC34" s="24"/>
      <c r="AD34" s="24"/>
      <c r="AE34" s="24"/>
      <c r="AF34" s="24"/>
    </row>
    <row r="35" spans="1:32" ht="62.4" x14ac:dyDescent="0.3">
      <c r="A35" s="23">
        <v>40603</v>
      </c>
      <c r="B35" s="24" t="s">
        <v>571</v>
      </c>
      <c r="C35" s="24">
        <v>30264</v>
      </c>
      <c r="D35" s="24" t="s">
        <v>585</v>
      </c>
      <c r="E35" s="24" t="s">
        <v>586</v>
      </c>
      <c r="F35" s="24" t="s">
        <v>574</v>
      </c>
      <c r="G35" s="24">
        <v>790958</v>
      </c>
      <c r="H35" s="25">
        <v>480</v>
      </c>
      <c r="I35" s="25">
        <v>480</v>
      </c>
      <c r="J35" s="24" t="s">
        <v>631</v>
      </c>
      <c r="K35" s="24" t="s">
        <v>632</v>
      </c>
      <c r="L35" s="24" t="s">
        <v>633</v>
      </c>
      <c r="M35" s="24" t="s">
        <v>589</v>
      </c>
      <c r="N35" s="24" t="s">
        <v>590</v>
      </c>
      <c r="O35" s="24">
        <v>215516</v>
      </c>
      <c r="P35" s="25"/>
      <c r="Q35" s="25"/>
      <c r="R35" s="24" t="s">
        <v>634</v>
      </c>
      <c r="S35" s="24" t="s">
        <v>581</v>
      </c>
      <c r="T35" s="27">
        <v>40603</v>
      </c>
      <c r="U35" s="25">
        <v>715504</v>
      </c>
      <c r="V35" s="24" t="s">
        <v>582</v>
      </c>
      <c r="W35" s="24" t="s">
        <v>583</v>
      </c>
      <c r="X35" s="24" t="s">
        <v>584</v>
      </c>
      <c r="Y35" s="24">
        <v>4020</v>
      </c>
      <c r="Z35" s="24">
        <v>204216</v>
      </c>
      <c r="AA35" s="24">
        <v>572010</v>
      </c>
      <c r="AB35" s="24">
        <v>0</v>
      </c>
      <c r="AC35" s="24"/>
      <c r="AD35" s="24"/>
      <c r="AE35" s="24"/>
      <c r="AF35" s="24"/>
    </row>
    <row r="36" spans="1:32" ht="62.4" x14ac:dyDescent="0.3">
      <c r="A36" s="23">
        <v>40603</v>
      </c>
      <c r="B36" s="24" t="s">
        <v>571</v>
      </c>
      <c r="C36" s="24">
        <v>30264</v>
      </c>
      <c r="D36" s="24" t="s">
        <v>585</v>
      </c>
      <c r="E36" s="24" t="s">
        <v>586</v>
      </c>
      <c r="F36" s="24" t="s">
        <v>574</v>
      </c>
      <c r="G36" s="24">
        <v>817573</v>
      </c>
      <c r="H36" s="25">
        <v>2199</v>
      </c>
      <c r="I36" s="26">
        <v>2199</v>
      </c>
      <c r="J36" s="24" t="s">
        <v>635</v>
      </c>
      <c r="K36" s="24" t="s">
        <v>605</v>
      </c>
      <c r="L36" s="24" t="s">
        <v>577</v>
      </c>
      <c r="M36" s="24" t="s">
        <v>589</v>
      </c>
      <c r="N36" s="24" t="s">
        <v>590</v>
      </c>
      <c r="O36" s="24">
        <v>216759</v>
      </c>
      <c r="P36" s="25"/>
      <c r="Q36" s="25"/>
      <c r="R36" s="24" t="s">
        <v>615</v>
      </c>
      <c r="S36" s="24" t="s">
        <v>581</v>
      </c>
      <c r="T36" s="27">
        <v>40616</v>
      </c>
      <c r="U36" s="25">
        <v>743189</v>
      </c>
      <c r="V36" s="24" t="s">
        <v>582</v>
      </c>
      <c r="W36" s="24" t="s">
        <v>583</v>
      </c>
      <c r="X36" s="24" t="s">
        <v>584</v>
      </c>
      <c r="Y36" s="24">
        <v>4020</v>
      </c>
      <c r="Z36" s="24">
        <v>204216</v>
      </c>
      <c r="AA36" s="24">
        <v>572010</v>
      </c>
      <c r="AB36" s="24">
        <v>0</v>
      </c>
      <c r="AC36" s="24"/>
      <c r="AD36" s="24"/>
      <c r="AE36" s="24"/>
      <c r="AF36" s="24"/>
    </row>
    <row r="37" spans="1:32" ht="62.4" x14ac:dyDescent="0.3">
      <c r="A37" s="23">
        <v>40603</v>
      </c>
      <c r="B37" s="24" t="s">
        <v>571</v>
      </c>
      <c r="C37" s="24">
        <v>30264</v>
      </c>
      <c r="D37" s="24" t="s">
        <v>585</v>
      </c>
      <c r="E37" s="24" t="s">
        <v>586</v>
      </c>
      <c r="F37" s="24" t="s">
        <v>574</v>
      </c>
      <c r="G37" s="24">
        <v>817573</v>
      </c>
      <c r="H37" s="25">
        <v>5910</v>
      </c>
      <c r="I37" s="26">
        <v>5910</v>
      </c>
      <c r="J37" s="24" t="s">
        <v>636</v>
      </c>
      <c r="K37" s="24" t="s">
        <v>605</v>
      </c>
      <c r="L37" s="24" t="s">
        <v>577</v>
      </c>
      <c r="M37" s="24" t="s">
        <v>589</v>
      </c>
      <c r="N37" s="24" t="s">
        <v>590</v>
      </c>
      <c r="O37" s="24">
        <v>216759</v>
      </c>
      <c r="P37" s="25"/>
      <c r="Q37" s="25"/>
      <c r="R37" s="24" t="s">
        <v>615</v>
      </c>
      <c r="S37" s="24" t="s">
        <v>581</v>
      </c>
      <c r="T37" s="27">
        <v>40616</v>
      </c>
      <c r="U37" s="25">
        <v>743190</v>
      </c>
      <c r="V37" s="24" t="s">
        <v>582</v>
      </c>
      <c r="W37" s="24" t="s">
        <v>583</v>
      </c>
      <c r="X37" s="24" t="s">
        <v>584</v>
      </c>
      <c r="Y37" s="24">
        <v>4020</v>
      </c>
      <c r="Z37" s="24">
        <v>204216</v>
      </c>
      <c r="AA37" s="24">
        <v>572010</v>
      </c>
      <c r="AB37" s="24">
        <v>0</v>
      </c>
      <c r="AC37" s="24"/>
      <c r="AD37" s="24"/>
      <c r="AE37" s="24"/>
      <c r="AF37" s="24"/>
    </row>
    <row r="38" spans="1:32" ht="62.4" x14ac:dyDescent="0.3">
      <c r="A38" s="23">
        <v>40603</v>
      </c>
      <c r="B38" s="24" t="s">
        <v>571</v>
      </c>
      <c r="C38" s="24">
        <v>30264</v>
      </c>
      <c r="D38" s="24" t="s">
        <v>585</v>
      </c>
      <c r="E38" s="24" t="s">
        <v>586</v>
      </c>
      <c r="F38" s="24" t="s">
        <v>574</v>
      </c>
      <c r="G38" s="24">
        <v>817573</v>
      </c>
      <c r="H38" s="25">
        <v>240</v>
      </c>
      <c r="I38" s="25">
        <v>240</v>
      </c>
      <c r="J38" s="24" t="s">
        <v>637</v>
      </c>
      <c r="K38" s="24" t="s">
        <v>638</v>
      </c>
      <c r="L38" s="24" t="s">
        <v>577</v>
      </c>
      <c r="M38" s="24" t="s">
        <v>589</v>
      </c>
      <c r="N38" s="24" t="s">
        <v>590</v>
      </c>
      <c r="O38" s="24">
        <v>216767</v>
      </c>
      <c r="P38" s="25"/>
      <c r="Q38" s="25"/>
      <c r="R38" s="24" t="s">
        <v>615</v>
      </c>
      <c r="S38" s="24" t="s">
        <v>581</v>
      </c>
      <c r="T38" s="27">
        <v>40616</v>
      </c>
      <c r="U38" s="25">
        <v>743200</v>
      </c>
      <c r="V38" s="24" t="s">
        <v>582</v>
      </c>
      <c r="W38" s="24" t="s">
        <v>583</v>
      </c>
      <c r="X38" s="24" t="s">
        <v>584</v>
      </c>
      <c r="Y38" s="24">
        <v>4020</v>
      </c>
      <c r="Z38" s="24">
        <v>204216</v>
      </c>
      <c r="AA38" s="24">
        <v>572010</v>
      </c>
      <c r="AB38" s="24">
        <v>0</v>
      </c>
      <c r="AC38" s="24"/>
      <c r="AD38" s="24"/>
      <c r="AE38" s="24"/>
      <c r="AF38" s="24"/>
    </row>
    <row r="39" spans="1:32" ht="62.4" x14ac:dyDescent="0.3">
      <c r="A39" s="23">
        <v>40603</v>
      </c>
      <c r="B39" s="24" t="s">
        <v>571</v>
      </c>
      <c r="C39" s="24">
        <v>30264</v>
      </c>
      <c r="D39" s="24" t="s">
        <v>585</v>
      </c>
      <c r="E39" s="24" t="s">
        <v>586</v>
      </c>
      <c r="F39" s="24" t="s">
        <v>574</v>
      </c>
      <c r="G39" s="24">
        <v>819562</v>
      </c>
      <c r="H39" s="25">
        <v>630</v>
      </c>
      <c r="I39" s="25">
        <v>630</v>
      </c>
      <c r="J39" s="24" t="s">
        <v>639</v>
      </c>
      <c r="K39" s="24" t="s">
        <v>632</v>
      </c>
      <c r="L39" s="24" t="s">
        <v>577</v>
      </c>
      <c r="M39" s="24" t="s">
        <v>589</v>
      </c>
      <c r="N39" s="24" t="s">
        <v>590</v>
      </c>
      <c r="O39" s="24">
        <v>215516</v>
      </c>
      <c r="P39" s="25"/>
      <c r="Q39" s="25"/>
      <c r="R39" s="24" t="s">
        <v>640</v>
      </c>
      <c r="S39" s="24" t="s">
        <v>581</v>
      </c>
      <c r="T39" s="27">
        <v>40617</v>
      </c>
      <c r="U39" s="25">
        <v>749038</v>
      </c>
      <c r="V39" s="24" t="s">
        <v>582</v>
      </c>
      <c r="W39" s="24" t="s">
        <v>583</v>
      </c>
      <c r="X39" s="24" t="s">
        <v>584</v>
      </c>
      <c r="Y39" s="24">
        <v>4020</v>
      </c>
      <c r="Z39" s="24">
        <v>204216</v>
      </c>
      <c r="AA39" s="24">
        <v>572010</v>
      </c>
      <c r="AB39" s="24">
        <v>0</v>
      </c>
      <c r="AC39" s="24"/>
      <c r="AD39" s="24"/>
      <c r="AE39" s="24"/>
      <c r="AF39" s="24"/>
    </row>
    <row r="40" spans="1:32" ht="62.4" x14ac:dyDescent="0.3">
      <c r="A40" s="23">
        <v>40603</v>
      </c>
      <c r="B40" s="24" t="s">
        <v>571</v>
      </c>
      <c r="C40" s="24">
        <v>30264</v>
      </c>
      <c r="D40" s="24" t="s">
        <v>585</v>
      </c>
      <c r="E40" s="24" t="s">
        <v>586</v>
      </c>
      <c r="F40" s="24" t="s">
        <v>574</v>
      </c>
      <c r="G40" s="24">
        <v>819562</v>
      </c>
      <c r="H40" s="25">
        <v>1250</v>
      </c>
      <c r="I40" s="26">
        <v>1250</v>
      </c>
      <c r="J40" s="24" t="s">
        <v>641</v>
      </c>
      <c r="K40" s="24" t="s">
        <v>632</v>
      </c>
      <c r="L40" s="24" t="s">
        <v>577</v>
      </c>
      <c r="M40" s="24" t="s">
        <v>589</v>
      </c>
      <c r="N40" s="24" t="s">
        <v>590</v>
      </c>
      <c r="O40" s="24">
        <v>215516</v>
      </c>
      <c r="P40" s="25"/>
      <c r="Q40" s="25"/>
      <c r="R40" s="24" t="s">
        <v>640</v>
      </c>
      <c r="S40" s="24" t="s">
        <v>581</v>
      </c>
      <c r="T40" s="27">
        <v>40617</v>
      </c>
      <c r="U40" s="25">
        <v>749043</v>
      </c>
      <c r="V40" s="24" t="s">
        <v>582</v>
      </c>
      <c r="W40" s="24" t="s">
        <v>583</v>
      </c>
      <c r="X40" s="24" t="s">
        <v>584</v>
      </c>
      <c r="Y40" s="24">
        <v>4020</v>
      </c>
      <c r="Z40" s="24">
        <v>204216</v>
      </c>
      <c r="AA40" s="24">
        <v>572010</v>
      </c>
      <c r="AB40" s="24">
        <v>0</v>
      </c>
      <c r="AC40" s="24"/>
      <c r="AD40" s="24"/>
      <c r="AE40" s="24"/>
      <c r="AF40" s="24"/>
    </row>
    <row r="41" spans="1:32" ht="62.4" x14ac:dyDescent="0.3">
      <c r="A41" s="23">
        <v>40603</v>
      </c>
      <c r="B41" s="24" t="s">
        <v>571</v>
      </c>
      <c r="C41" s="24">
        <v>30264</v>
      </c>
      <c r="D41" s="24" t="s">
        <v>585</v>
      </c>
      <c r="E41" s="24" t="s">
        <v>586</v>
      </c>
      <c r="F41" s="24" t="s">
        <v>574</v>
      </c>
      <c r="G41" s="24">
        <v>832779</v>
      </c>
      <c r="H41" s="25">
        <v>11817.6</v>
      </c>
      <c r="I41" s="26">
        <v>11817.6</v>
      </c>
      <c r="J41" s="24" t="s">
        <v>642</v>
      </c>
      <c r="K41" s="24" t="s">
        <v>605</v>
      </c>
      <c r="L41" s="24" t="s">
        <v>577</v>
      </c>
      <c r="M41" s="24" t="s">
        <v>589</v>
      </c>
      <c r="N41" s="24" t="s">
        <v>590</v>
      </c>
      <c r="O41" s="24">
        <v>217477</v>
      </c>
      <c r="P41" s="25"/>
      <c r="Q41" s="25"/>
      <c r="R41" s="24" t="s">
        <v>615</v>
      </c>
      <c r="S41" s="24" t="s">
        <v>581</v>
      </c>
      <c r="T41" s="27">
        <v>40623</v>
      </c>
      <c r="U41" s="25">
        <v>760854</v>
      </c>
      <c r="V41" s="24" t="s">
        <v>582</v>
      </c>
      <c r="W41" s="24" t="s">
        <v>583</v>
      </c>
      <c r="X41" s="24" t="s">
        <v>584</v>
      </c>
      <c r="Y41" s="24">
        <v>4020</v>
      </c>
      <c r="Z41" s="24">
        <v>204216</v>
      </c>
      <c r="AA41" s="24">
        <v>572010</v>
      </c>
      <c r="AB41" s="24">
        <v>0</v>
      </c>
      <c r="AC41" s="24"/>
      <c r="AD41" s="24"/>
      <c r="AE41" s="24"/>
      <c r="AF41" s="24"/>
    </row>
    <row r="42" spans="1:32" ht="62.4" x14ac:dyDescent="0.3">
      <c r="A42" s="23">
        <v>40603</v>
      </c>
      <c r="B42" s="24" t="s">
        <v>571</v>
      </c>
      <c r="C42" s="24">
        <v>30264</v>
      </c>
      <c r="D42" s="24" t="s">
        <v>585</v>
      </c>
      <c r="E42" s="24" t="s">
        <v>586</v>
      </c>
      <c r="F42" s="24" t="s">
        <v>574</v>
      </c>
      <c r="G42" s="24">
        <v>842270</v>
      </c>
      <c r="H42" s="25">
        <v>6256</v>
      </c>
      <c r="I42" s="26">
        <v>6256</v>
      </c>
      <c r="J42" s="24" t="s">
        <v>643</v>
      </c>
      <c r="K42" s="24" t="s">
        <v>644</v>
      </c>
      <c r="L42" s="24" t="s">
        <v>633</v>
      </c>
      <c r="M42" s="24" t="s">
        <v>589</v>
      </c>
      <c r="N42" s="24" t="s">
        <v>590</v>
      </c>
      <c r="O42" s="24">
        <v>217605</v>
      </c>
      <c r="P42" s="25"/>
      <c r="Q42" s="25"/>
      <c r="R42" s="24" t="s">
        <v>645</v>
      </c>
      <c r="S42" s="24" t="s">
        <v>581</v>
      </c>
      <c r="T42" s="27">
        <v>40626</v>
      </c>
      <c r="U42" s="25">
        <v>770785</v>
      </c>
      <c r="V42" s="24" t="s">
        <v>582</v>
      </c>
      <c r="W42" s="24" t="s">
        <v>583</v>
      </c>
      <c r="X42" s="24" t="s">
        <v>584</v>
      </c>
      <c r="Y42" s="24">
        <v>4020</v>
      </c>
      <c r="Z42" s="24">
        <v>204216</v>
      </c>
      <c r="AA42" s="24">
        <v>572010</v>
      </c>
      <c r="AB42" s="24">
        <v>0</v>
      </c>
      <c r="AC42" s="24"/>
      <c r="AD42" s="24"/>
      <c r="AE42" s="24"/>
      <c r="AF42" s="24"/>
    </row>
    <row r="43" spans="1:32" ht="62.4" x14ac:dyDescent="0.3">
      <c r="A43" s="23">
        <v>40634</v>
      </c>
      <c r="B43" s="24" t="s">
        <v>571</v>
      </c>
      <c r="C43" s="24">
        <v>30264</v>
      </c>
      <c r="D43" s="24" t="s">
        <v>572</v>
      </c>
      <c r="E43" s="24" t="s">
        <v>573</v>
      </c>
      <c r="F43" s="24" t="s">
        <v>574</v>
      </c>
      <c r="G43" s="24">
        <v>881283</v>
      </c>
      <c r="H43" s="25">
        <v>2939</v>
      </c>
      <c r="I43" s="26">
        <v>2939</v>
      </c>
      <c r="J43" s="24" t="s">
        <v>622</v>
      </c>
      <c r="K43" s="24" t="s">
        <v>576</v>
      </c>
      <c r="L43" s="24" t="s">
        <v>577</v>
      </c>
      <c r="M43" s="24" t="s">
        <v>578</v>
      </c>
      <c r="N43" s="24" t="s">
        <v>579</v>
      </c>
      <c r="O43" s="24">
        <v>218019</v>
      </c>
      <c r="P43" s="25"/>
      <c r="Q43" s="25"/>
      <c r="R43" s="24" t="s">
        <v>615</v>
      </c>
      <c r="S43" s="24" t="s">
        <v>581</v>
      </c>
      <c r="T43" s="27">
        <v>40634</v>
      </c>
      <c r="U43" s="25">
        <v>798088</v>
      </c>
      <c r="V43" s="24" t="s">
        <v>582</v>
      </c>
      <c r="W43" s="24" t="s">
        <v>583</v>
      </c>
      <c r="X43" s="24" t="s">
        <v>584</v>
      </c>
      <c r="Y43" s="24">
        <v>4020</v>
      </c>
      <c r="Z43" s="24">
        <v>204216</v>
      </c>
      <c r="AA43" s="24">
        <v>630120</v>
      </c>
      <c r="AB43" s="24">
        <v>0</v>
      </c>
      <c r="AC43" s="24"/>
      <c r="AD43" s="24"/>
      <c r="AE43" s="24"/>
      <c r="AF43" s="24"/>
    </row>
    <row r="44" spans="1:32" ht="62.4" x14ac:dyDescent="0.3">
      <c r="A44" s="23">
        <v>40634</v>
      </c>
      <c r="B44" s="24" t="s">
        <v>571</v>
      </c>
      <c r="C44" s="24">
        <v>30264</v>
      </c>
      <c r="D44" s="24" t="s">
        <v>572</v>
      </c>
      <c r="E44" s="24" t="s">
        <v>573</v>
      </c>
      <c r="F44" s="24" t="s">
        <v>574</v>
      </c>
      <c r="G44" s="24">
        <v>911401</v>
      </c>
      <c r="H44" s="25">
        <v>3190</v>
      </c>
      <c r="I44" s="26">
        <v>3190</v>
      </c>
      <c r="J44" s="24" t="s">
        <v>622</v>
      </c>
      <c r="K44" s="24" t="s">
        <v>576</v>
      </c>
      <c r="L44" s="24" t="s">
        <v>577</v>
      </c>
      <c r="M44" s="24" t="s">
        <v>578</v>
      </c>
      <c r="N44" s="24" t="s">
        <v>579</v>
      </c>
      <c r="O44" s="24">
        <v>218019</v>
      </c>
      <c r="P44" s="25"/>
      <c r="Q44" s="25"/>
      <c r="R44" s="24" t="s">
        <v>615</v>
      </c>
      <c r="S44" s="24" t="s">
        <v>581</v>
      </c>
      <c r="T44" s="27">
        <v>40646</v>
      </c>
      <c r="U44" s="25">
        <v>828961</v>
      </c>
      <c r="V44" s="24" t="s">
        <v>582</v>
      </c>
      <c r="W44" s="24" t="s">
        <v>583</v>
      </c>
      <c r="X44" s="24" t="s">
        <v>584</v>
      </c>
      <c r="Y44" s="24">
        <v>4020</v>
      </c>
      <c r="Z44" s="24">
        <v>204216</v>
      </c>
      <c r="AA44" s="24">
        <v>630120</v>
      </c>
      <c r="AB44" s="24">
        <v>0</v>
      </c>
      <c r="AC44" s="24"/>
      <c r="AD44" s="24"/>
      <c r="AE44" s="24"/>
      <c r="AF44" s="24"/>
    </row>
    <row r="45" spans="1:32" ht="62.4" x14ac:dyDescent="0.3">
      <c r="A45" s="23">
        <v>40634</v>
      </c>
      <c r="B45" s="24" t="s">
        <v>571</v>
      </c>
      <c r="C45" s="24">
        <v>30264</v>
      </c>
      <c r="D45" s="24" t="s">
        <v>572</v>
      </c>
      <c r="E45" s="24" t="s">
        <v>573</v>
      </c>
      <c r="F45" s="24" t="s">
        <v>574</v>
      </c>
      <c r="G45" s="24">
        <v>911401</v>
      </c>
      <c r="H45" s="25">
        <v>1107.93</v>
      </c>
      <c r="I45" s="26">
        <v>1107.93</v>
      </c>
      <c r="J45" s="24" t="s">
        <v>622</v>
      </c>
      <c r="K45" s="24" t="s">
        <v>576</v>
      </c>
      <c r="L45" s="24" t="s">
        <v>577</v>
      </c>
      <c r="M45" s="24" t="s">
        <v>578</v>
      </c>
      <c r="N45" s="24" t="s">
        <v>579</v>
      </c>
      <c r="O45" s="24">
        <v>218019</v>
      </c>
      <c r="P45" s="25"/>
      <c r="Q45" s="25"/>
      <c r="R45" s="24" t="s">
        <v>615</v>
      </c>
      <c r="S45" s="24" t="s">
        <v>581</v>
      </c>
      <c r="T45" s="27">
        <v>40646</v>
      </c>
      <c r="U45" s="25">
        <v>828962</v>
      </c>
      <c r="V45" s="24" t="s">
        <v>582</v>
      </c>
      <c r="W45" s="24" t="s">
        <v>583</v>
      </c>
      <c r="X45" s="24" t="s">
        <v>584</v>
      </c>
      <c r="Y45" s="24">
        <v>4020</v>
      </c>
      <c r="Z45" s="24">
        <v>204216</v>
      </c>
      <c r="AA45" s="24">
        <v>630120</v>
      </c>
      <c r="AB45" s="24">
        <v>0</v>
      </c>
      <c r="AC45" s="24"/>
      <c r="AD45" s="24"/>
      <c r="AE45" s="24"/>
      <c r="AF45" s="24"/>
    </row>
    <row r="46" spans="1:32" ht="62.4" x14ac:dyDescent="0.3">
      <c r="A46" s="23">
        <v>40634</v>
      </c>
      <c r="B46" s="24" t="s">
        <v>571</v>
      </c>
      <c r="C46" s="24">
        <v>30264</v>
      </c>
      <c r="D46" s="24" t="s">
        <v>572</v>
      </c>
      <c r="E46" s="24" t="s">
        <v>573</v>
      </c>
      <c r="F46" s="24" t="s">
        <v>574</v>
      </c>
      <c r="G46" s="24">
        <v>914115</v>
      </c>
      <c r="H46" s="25">
        <v>3190</v>
      </c>
      <c r="I46" s="26">
        <v>3190</v>
      </c>
      <c r="J46" s="24" t="s">
        <v>622</v>
      </c>
      <c r="K46" s="24" t="s">
        <v>576</v>
      </c>
      <c r="L46" s="24" t="s">
        <v>577</v>
      </c>
      <c r="M46" s="24" t="s">
        <v>578</v>
      </c>
      <c r="N46" s="24" t="s">
        <v>579</v>
      </c>
      <c r="O46" s="24">
        <v>218019</v>
      </c>
      <c r="P46" s="25"/>
      <c r="Q46" s="25"/>
      <c r="R46" s="24" t="s">
        <v>615</v>
      </c>
      <c r="S46" s="24" t="s">
        <v>581</v>
      </c>
      <c r="T46" s="27">
        <v>40647</v>
      </c>
      <c r="U46" s="25">
        <v>830110</v>
      </c>
      <c r="V46" s="24" t="s">
        <v>582</v>
      </c>
      <c r="W46" s="24" t="s">
        <v>583</v>
      </c>
      <c r="X46" s="24" t="s">
        <v>584</v>
      </c>
      <c r="Y46" s="24">
        <v>4020</v>
      </c>
      <c r="Z46" s="24">
        <v>204216</v>
      </c>
      <c r="AA46" s="24">
        <v>630120</v>
      </c>
      <c r="AB46" s="24">
        <v>0</v>
      </c>
      <c r="AC46" s="24"/>
      <c r="AD46" s="24"/>
      <c r="AE46" s="24"/>
      <c r="AF46" s="24"/>
    </row>
    <row r="47" spans="1:32" ht="62.4" x14ac:dyDescent="0.3">
      <c r="A47" s="23">
        <v>40634</v>
      </c>
      <c r="B47" s="24" t="s">
        <v>571</v>
      </c>
      <c r="C47" s="24">
        <v>30264</v>
      </c>
      <c r="D47" s="24" t="s">
        <v>572</v>
      </c>
      <c r="E47" s="24" t="s">
        <v>573</v>
      </c>
      <c r="F47" s="24" t="s">
        <v>574</v>
      </c>
      <c r="G47" s="24">
        <v>943672</v>
      </c>
      <c r="H47" s="25">
        <v>3190</v>
      </c>
      <c r="I47" s="26">
        <v>3190</v>
      </c>
      <c r="J47" s="24" t="s">
        <v>622</v>
      </c>
      <c r="K47" s="24" t="s">
        <v>576</v>
      </c>
      <c r="L47" s="24" t="s">
        <v>577</v>
      </c>
      <c r="M47" s="24" t="s">
        <v>578</v>
      </c>
      <c r="N47" s="24" t="s">
        <v>579</v>
      </c>
      <c r="O47" s="24">
        <v>218019</v>
      </c>
      <c r="P47" s="25"/>
      <c r="Q47" s="25"/>
      <c r="R47" s="24" t="s">
        <v>615</v>
      </c>
      <c r="S47" s="24" t="s">
        <v>581</v>
      </c>
      <c r="T47" s="27">
        <v>40661</v>
      </c>
      <c r="U47" s="25">
        <v>857214</v>
      </c>
      <c r="V47" s="24" t="s">
        <v>582</v>
      </c>
      <c r="W47" s="24" t="s">
        <v>583</v>
      </c>
      <c r="X47" s="24" t="s">
        <v>584</v>
      </c>
      <c r="Y47" s="24">
        <v>4020</v>
      </c>
      <c r="Z47" s="24">
        <v>204216</v>
      </c>
      <c r="AA47" s="24">
        <v>630120</v>
      </c>
      <c r="AB47" s="24">
        <v>0</v>
      </c>
      <c r="AC47" s="24"/>
      <c r="AD47" s="24"/>
      <c r="AE47" s="24"/>
      <c r="AF47" s="24"/>
    </row>
    <row r="48" spans="1:32" ht="62.4" x14ac:dyDescent="0.3">
      <c r="A48" s="23">
        <v>40634</v>
      </c>
      <c r="B48" s="24" t="s">
        <v>571</v>
      </c>
      <c r="C48" s="24">
        <v>30264</v>
      </c>
      <c r="D48" s="24" t="s">
        <v>572</v>
      </c>
      <c r="E48" s="24" t="s">
        <v>573</v>
      </c>
      <c r="F48" s="24" t="s">
        <v>574</v>
      </c>
      <c r="G48" s="24">
        <v>956007</v>
      </c>
      <c r="H48" s="25">
        <v>3245</v>
      </c>
      <c r="I48" s="26">
        <v>3245</v>
      </c>
      <c r="J48" s="24" t="s">
        <v>622</v>
      </c>
      <c r="K48" s="24" t="s">
        <v>576</v>
      </c>
      <c r="L48" s="24" t="s">
        <v>633</v>
      </c>
      <c r="M48" s="24" t="s">
        <v>578</v>
      </c>
      <c r="N48" s="24" t="s">
        <v>579</v>
      </c>
      <c r="O48" s="24">
        <v>218019</v>
      </c>
      <c r="P48" s="25"/>
      <c r="Q48" s="25"/>
      <c r="R48" s="24" t="s">
        <v>615</v>
      </c>
      <c r="S48" s="24" t="s">
        <v>581</v>
      </c>
      <c r="T48" s="27">
        <v>40660</v>
      </c>
      <c r="U48" s="25">
        <v>869080</v>
      </c>
      <c r="V48" s="24" t="s">
        <v>582</v>
      </c>
      <c r="W48" s="24" t="s">
        <v>583</v>
      </c>
      <c r="X48" s="24" t="s">
        <v>584</v>
      </c>
      <c r="Y48" s="24">
        <v>4020</v>
      </c>
      <c r="Z48" s="24">
        <v>204216</v>
      </c>
      <c r="AA48" s="24">
        <v>630120</v>
      </c>
      <c r="AB48" s="24">
        <v>0</v>
      </c>
      <c r="AC48" s="24"/>
      <c r="AD48" s="24"/>
      <c r="AE48" s="24"/>
      <c r="AF48" s="24"/>
    </row>
    <row r="49" spans="1:32" ht="62.4" x14ac:dyDescent="0.3">
      <c r="A49" s="23">
        <v>40634</v>
      </c>
      <c r="B49" s="24" t="s">
        <v>571</v>
      </c>
      <c r="C49" s="24">
        <v>30264</v>
      </c>
      <c r="D49" s="24" t="s">
        <v>625</v>
      </c>
      <c r="E49" s="24" t="s">
        <v>586</v>
      </c>
      <c r="F49" s="24" t="s">
        <v>574</v>
      </c>
      <c r="G49" s="24">
        <v>943672</v>
      </c>
      <c r="H49" s="25">
        <v>480</v>
      </c>
      <c r="I49" s="25">
        <v>480</v>
      </c>
      <c r="J49" s="24" t="s">
        <v>646</v>
      </c>
      <c r="K49" s="24" t="s">
        <v>627</v>
      </c>
      <c r="L49" s="24" t="s">
        <v>577</v>
      </c>
      <c r="M49" s="24" t="s">
        <v>589</v>
      </c>
      <c r="N49" s="24" t="s">
        <v>628</v>
      </c>
      <c r="O49" s="24">
        <v>218026</v>
      </c>
      <c r="P49" s="25"/>
      <c r="Q49" s="25"/>
      <c r="R49" s="24" t="s">
        <v>615</v>
      </c>
      <c r="S49" s="24" t="s">
        <v>581</v>
      </c>
      <c r="T49" s="27">
        <v>40661</v>
      </c>
      <c r="U49" s="25">
        <v>857217</v>
      </c>
      <c r="V49" s="24" t="s">
        <v>582</v>
      </c>
      <c r="W49" s="24" t="s">
        <v>583</v>
      </c>
      <c r="X49" s="24" t="s">
        <v>584</v>
      </c>
      <c r="Y49" s="24">
        <v>4020</v>
      </c>
      <c r="Z49" s="24">
        <v>204216</v>
      </c>
      <c r="AA49" s="24">
        <v>572010</v>
      </c>
      <c r="AB49" s="24">
        <v>0</v>
      </c>
      <c r="AC49" s="24"/>
      <c r="AD49" s="24"/>
      <c r="AE49" s="24"/>
      <c r="AF49" s="24"/>
    </row>
    <row r="50" spans="1:32" ht="62.4" x14ac:dyDescent="0.3">
      <c r="A50" s="23">
        <v>40634</v>
      </c>
      <c r="B50" s="24" t="s">
        <v>571</v>
      </c>
      <c r="C50" s="24">
        <v>30264</v>
      </c>
      <c r="D50" s="24" t="s">
        <v>585</v>
      </c>
      <c r="E50" s="24" t="s">
        <v>647</v>
      </c>
      <c r="F50" s="24" t="s">
        <v>574</v>
      </c>
      <c r="G50" s="24">
        <v>893988</v>
      </c>
      <c r="H50" s="25">
        <v>480</v>
      </c>
      <c r="I50" s="25">
        <v>480</v>
      </c>
      <c r="J50" s="24" t="s">
        <v>648</v>
      </c>
      <c r="K50" s="24" t="s">
        <v>632</v>
      </c>
      <c r="L50" s="24" t="s">
        <v>577</v>
      </c>
      <c r="M50" s="24" t="s">
        <v>589</v>
      </c>
      <c r="N50" s="24" t="s">
        <v>590</v>
      </c>
      <c r="O50" s="24">
        <v>219349</v>
      </c>
      <c r="P50" s="25"/>
      <c r="Q50" s="25"/>
      <c r="R50" s="24" t="s">
        <v>649</v>
      </c>
      <c r="S50" s="24" t="s">
        <v>581</v>
      </c>
      <c r="T50" s="27">
        <v>40639</v>
      </c>
      <c r="U50" s="25">
        <v>811849</v>
      </c>
      <c r="V50" s="24" t="s">
        <v>582</v>
      </c>
      <c r="W50" s="24" t="s">
        <v>583</v>
      </c>
      <c r="X50" s="24" t="s">
        <v>584</v>
      </c>
      <c r="Y50" s="24">
        <v>4020</v>
      </c>
      <c r="Z50" s="24">
        <v>204216</v>
      </c>
      <c r="AA50" s="24">
        <v>572070</v>
      </c>
      <c r="AB50" s="24">
        <v>0</v>
      </c>
      <c r="AC50" s="24"/>
      <c r="AD50" s="24"/>
      <c r="AE50" s="24"/>
      <c r="AF50" s="24"/>
    </row>
    <row r="51" spans="1:32" ht="62.4" x14ac:dyDescent="0.3">
      <c r="A51" s="23">
        <v>40634</v>
      </c>
      <c r="B51" s="24" t="s">
        <v>571</v>
      </c>
      <c r="C51" s="24">
        <v>30264</v>
      </c>
      <c r="D51" s="24" t="s">
        <v>585</v>
      </c>
      <c r="E51" s="24" t="s">
        <v>586</v>
      </c>
      <c r="F51" s="24" t="s">
        <v>574</v>
      </c>
      <c r="G51" s="24">
        <v>943672</v>
      </c>
      <c r="H51" s="25">
        <v>2199</v>
      </c>
      <c r="I51" s="26">
        <v>2199</v>
      </c>
      <c r="J51" s="24" t="s">
        <v>650</v>
      </c>
      <c r="K51" s="24" t="s">
        <v>605</v>
      </c>
      <c r="L51" s="24" t="s">
        <v>577</v>
      </c>
      <c r="M51" s="24" t="s">
        <v>589</v>
      </c>
      <c r="N51" s="24" t="s">
        <v>590</v>
      </c>
      <c r="O51" s="24">
        <v>218017</v>
      </c>
      <c r="P51" s="25"/>
      <c r="Q51" s="25"/>
      <c r="R51" s="24" t="s">
        <v>615</v>
      </c>
      <c r="S51" s="24" t="s">
        <v>581</v>
      </c>
      <c r="T51" s="27">
        <v>40661</v>
      </c>
      <c r="U51" s="25">
        <v>857211</v>
      </c>
      <c r="V51" s="24" t="s">
        <v>582</v>
      </c>
      <c r="W51" s="24" t="s">
        <v>583</v>
      </c>
      <c r="X51" s="24" t="s">
        <v>584</v>
      </c>
      <c r="Y51" s="24">
        <v>4020</v>
      </c>
      <c r="Z51" s="24">
        <v>204216</v>
      </c>
      <c r="AA51" s="24">
        <v>572010</v>
      </c>
      <c r="AB51" s="24">
        <v>0</v>
      </c>
      <c r="AC51" s="24"/>
      <c r="AD51" s="24"/>
      <c r="AE51" s="24"/>
      <c r="AF51" s="24"/>
    </row>
    <row r="52" spans="1:32" ht="62.4" x14ac:dyDescent="0.3">
      <c r="A52" s="23">
        <v>40634</v>
      </c>
      <c r="B52" s="24" t="s">
        <v>571</v>
      </c>
      <c r="C52" s="24">
        <v>30264</v>
      </c>
      <c r="D52" s="24" t="s">
        <v>585</v>
      </c>
      <c r="E52" s="24" t="s">
        <v>586</v>
      </c>
      <c r="F52" s="24" t="s">
        <v>574</v>
      </c>
      <c r="G52" s="24">
        <v>943672</v>
      </c>
      <c r="H52" s="25">
        <v>8000</v>
      </c>
      <c r="I52" s="26">
        <v>8000</v>
      </c>
      <c r="J52" s="24" t="s">
        <v>651</v>
      </c>
      <c r="K52" s="24" t="s">
        <v>652</v>
      </c>
      <c r="L52" s="24" t="s">
        <v>577</v>
      </c>
      <c r="M52" s="24" t="s">
        <v>589</v>
      </c>
      <c r="N52" s="24" t="s">
        <v>590</v>
      </c>
      <c r="O52" s="24">
        <v>221083</v>
      </c>
      <c r="P52" s="25"/>
      <c r="Q52" s="25"/>
      <c r="R52" s="24" t="s">
        <v>653</v>
      </c>
      <c r="S52" s="24" t="s">
        <v>581</v>
      </c>
      <c r="T52" s="27">
        <v>40661</v>
      </c>
      <c r="U52" s="25">
        <v>857433</v>
      </c>
      <c r="V52" s="24" t="s">
        <v>582</v>
      </c>
      <c r="W52" s="24" t="s">
        <v>583</v>
      </c>
      <c r="X52" s="24" t="s">
        <v>584</v>
      </c>
      <c r="Y52" s="24">
        <v>4020</v>
      </c>
      <c r="Z52" s="24">
        <v>204216</v>
      </c>
      <c r="AA52" s="24">
        <v>572010</v>
      </c>
      <c r="AB52" s="24">
        <v>0</v>
      </c>
      <c r="AC52" s="24"/>
      <c r="AD52" s="24"/>
      <c r="AE52" s="24"/>
      <c r="AF52" s="24"/>
    </row>
    <row r="53" spans="1:32" ht="62.4" x14ac:dyDescent="0.3">
      <c r="A53" s="23">
        <v>40634</v>
      </c>
      <c r="B53" s="24" t="s">
        <v>571</v>
      </c>
      <c r="C53" s="24">
        <v>30264</v>
      </c>
      <c r="D53" s="24" t="s">
        <v>585</v>
      </c>
      <c r="E53" s="24" t="s">
        <v>586</v>
      </c>
      <c r="F53" s="24" t="s">
        <v>574</v>
      </c>
      <c r="G53" s="24">
        <v>946775</v>
      </c>
      <c r="H53" s="25">
        <v>5125</v>
      </c>
      <c r="I53" s="26">
        <v>5125</v>
      </c>
      <c r="J53" s="24" t="s">
        <v>654</v>
      </c>
      <c r="K53" s="24" t="s">
        <v>655</v>
      </c>
      <c r="L53" s="24" t="s">
        <v>577</v>
      </c>
      <c r="M53" s="24" t="s">
        <v>589</v>
      </c>
      <c r="N53" s="24" t="s">
        <v>590</v>
      </c>
      <c r="O53" s="24">
        <v>218036</v>
      </c>
      <c r="P53" s="25"/>
      <c r="Q53" s="25"/>
      <c r="R53" s="24" t="s">
        <v>656</v>
      </c>
      <c r="S53" s="24" t="s">
        <v>581</v>
      </c>
      <c r="T53" s="27">
        <v>40662</v>
      </c>
      <c r="U53" s="25">
        <v>860587</v>
      </c>
      <c r="V53" s="24" t="s">
        <v>582</v>
      </c>
      <c r="W53" s="24" t="s">
        <v>583</v>
      </c>
      <c r="X53" s="24" t="s">
        <v>584</v>
      </c>
      <c r="Y53" s="24">
        <v>4020</v>
      </c>
      <c r="Z53" s="24">
        <v>204216</v>
      </c>
      <c r="AA53" s="24">
        <v>572010</v>
      </c>
      <c r="AB53" s="24">
        <v>0</v>
      </c>
      <c r="AC53" s="24"/>
      <c r="AD53" s="24"/>
      <c r="AE53" s="24"/>
      <c r="AF53" s="24"/>
    </row>
    <row r="54" spans="1:32" ht="62.4" x14ac:dyDescent="0.3">
      <c r="A54" s="23">
        <v>40664</v>
      </c>
      <c r="B54" s="24" t="s">
        <v>571</v>
      </c>
      <c r="C54" s="24">
        <v>30264</v>
      </c>
      <c r="D54" s="24" t="s">
        <v>572</v>
      </c>
      <c r="E54" s="24" t="s">
        <v>573</v>
      </c>
      <c r="F54" s="24" t="s">
        <v>574</v>
      </c>
      <c r="G54" s="24">
        <v>1020754</v>
      </c>
      <c r="H54" s="25">
        <v>3190</v>
      </c>
      <c r="I54" s="26">
        <v>3190</v>
      </c>
      <c r="J54" s="24" t="s">
        <v>622</v>
      </c>
      <c r="K54" s="24" t="s">
        <v>576</v>
      </c>
      <c r="L54" s="24" t="s">
        <v>577</v>
      </c>
      <c r="M54" s="24" t="s">
        <v>578</v>
      </c>
      <c r="N54" s="24" t="s">
        <v>579</v>
      </c>
      <c r="O54" s="24">
        <v>218019</v>
      </c>
      <c r="P54" s="25"/>
      <c r="Q54" s="25"/>
      <c r="R54" s="24" t="s">
        <v>615</v>
      </c>
      <c r="S54" s="24" t="s">
        <v>581</v>
      </c>
      <c r="T54" s="27">
        <v>40694</v>
      </c>
      <c r="U54" s="25">
        <v>949472</v>
      </c>
      <c r="V54" s="24" t="s">
        <v>582</v>
      </c>
      <c r="W54" s="24" t="s">
        <v>583</v>
      </c>
      <c r="X54" s="24" t="s">
        <v>584</v>
      </c>
      <c r="Y54" s="24">
        <v>4020</v>
      </c>
      <c r="Z54" s="24">
        <v>204216</v>
      </c>
      <c r="AA54" s="24">
        <v>630120</v>
      </c>
      <c r="AB54" s="24">
        <v>0</v>
      </c>
      <c r="AC54" s="24"/>
      <c r="AD54" s="24"/>
      <c r="AE54" s="24"/>
      <c r="AF54" s="24"/>
    </row>
    <row r="55" spans="1:32" ht="62.4" x14ac:dyDescent="0.3">
      <c r="A55" s="23">
        <v>40664</v>
      </c>
      <c r="B55" s="24" t="s">
        <v>571</v>
      </c>
      <c r="C55" s="24">
        <v>30264</v>
      </c>
      <c r="D55" s="24" t="s">
        <v>572</v>
      </c>
      <c r="E55" s="24" t="s">
        <v>573</v>
      </c>
      <c r="F55" s="24" t="s">
        <v>574</v>
      </c>
      <c r="G55" s="24">
        <v>964634</v>
      </c>
      <c r="H55" s="25">
        <v>3190</v>
      </c>
      <c r="I55" s="26">
        <v>3190</v>
      </c>
      <c r="J55" s="24" t="s">
        <v>622</v>
      </c>
      <c r="K55" s="24" t="s">
        <v>576</v>
      </c>
      <c r="L55" s="24" t="s">
        <v>633</v>
      </c>
      <c r="M55" s="24" t="s">
        <v>578</v>
      </c>
      <c r="N55" s="24" t="s">
        <v>579</v>
      </c>
      <c r="O55" s="24">
        <v>218019</v>
      </c>
      <c r="P55" s="25"/>
      <c r="Q55" s="25"/>
      <c r="R55" s="24" t="s">
        <v>615</v>
      </c>
      <c r="S55" s="24" t="s">
        <v>581</v>
      </c>
      <c r="T55" s="27">
        <v>40668</v>
      </c>
      <c r="U55" s="25">
        <v>878419</v>
      </c>
      <c r="V55" s="24" t="s">
        <v>582</v>
      </c>
      <c r="W55" s="24" t="s">
        <v>583</v>
      </c>
      <c r="X55" s="24" t="s">
        <v>584</v>
      </c>
      <c r="Y55" s="24">
        <v>4020</v>
      </c>
      <c r="Z55" s="24">
        <v>204216</v>
      </c>
      <c r="AA55" s="24">
        <v>630120</v>
      </c>
      <c r="AB55" s="24">
        <v>0</v>
      </c>
      <c r="AC55" s="24"/>
      <c r="AD55" s="24"/>
      <c r="AE55" s="24"/>
      <c r="AF55" s="24"/>
    </row>
    <row r="56" spans="1:32" ht="62.4" x14ac:dyDescent="0.3">
      <c r="A56" s="23">
        <v>40664</v>
      </c>
      <c r="B56" s="24" t="s">
        <v>571</v>
      </c>
      <c r="C56" s="24">
        <v>30264</v>
      </c>
      <c r="D56" s="24" t="s">
        <v>572</v>
      </c>
      <c r="E56" s="24" t="s">
        <v>573</v>
      </c>
      <c r="F56" s="24" t="s">
        <v>574</v>
      </c>
      <c r="G56" s="24">
        <v>980934</v>
      </c>
      <c r="H56" s="25">
        <v>1107.93</v>
      </c>
      <c r="I56" s="26">
        <v>1107.93</v>
      </c>
      <c r="J56" s="24" t="s">
        <v>622</v>
      </c>
      <c r="K56" s="24" t="s">
        <v>576</v>
      </c>
      <c r="L56" s="24" t="s">
        <v>577</v>
      </c>
      <c r="M56" s="24" t="s">
        <v>578</v>
      </c>
      <c r="N56" s="24" t="s">
        <v>579</v>
      </c>
      <c r="O56" s="24">
        <v>218019</v>
      </c>
      <c r="P56" s="25"/>
      <c r="Q56" s="25"/>
      <c r="R56" s="24" t="s">
        <v>615</v>
      </c>
      <c r="S56" s="24" t="s">
        <v>581</v>
      </c>
      <c r="T56" s="27">
        <v>40675</v>
      </c>
      <c r="U56" s="25">
        <v>895821</v>
      </c>
      <c r="V56" s="24" t="s">
        <v>582</v>
      </c>
      <c r="W56" s="24" t="s">
        <v>583</v>
      </c>
      <c r="X56" s="24" t="s">
        <v>584</v>
      </c>
      <c r="Y56" s="24">
        <v>4020</v>
      </c>
      <c r="Z56" s="24">
        <v>204216</v>
      </c>
      <c r="AA56" s="24">
        <v>630120</v>
      </c>
      <c r="AB56" s="24">
        <v>0</v>
      </c>
      <c r="AC56" s="24"/>
      <c r="AD56" s="24"/>
      <c r="AE56" s="24"/>
      <c r="AF56" s="24"/>
    </row>
    <row r="57" spans="1:32" ht="62.4" x14ac:dyDescent="0.3">
      <c r="A57" s="23">
        <v>40664</v>
      </c>
      <c r="B57" s="24" t="s">
        <v>571</v>
      </c>
      <c r="C57" s="24">
        <v>30264</v>
      </c>
      <c r="D57" s="24" t="s">
        <v>572</v>
      </c>
      <c r="E57" s="24" t="s">
        <v>573</v>
      </c>
      <c r="F57" s="24" t="s">
        <v>574</v>
      </c>
      <c r="G57" s="24">
        <v>980934</v>
      </c>
      <c r="H57" s="25">
        <v>3990</v>
      </c>
      <c r="I57" s="26">
        <v>3990</v>
      </c>
      <c r="J57" s="24" t="s">
        <v>622</v>
      </c>
      <c r="K57" s="24" t="s">
        <v>576</v>
      </c>
      <c r="L57" s="24" t="s">
        <v>577</v>
      </c>
      <c r="M57" s="24" t="s">
        <v>578</v>
      </c>
      <c r="N57" s="24" t="s">
        <v>579</v>
      </c>
      <c r="O57" s="24">
        <v>218019</v>
      </c>
      <c r="P57" s="25"/>
      <c r="Q57" s="25"/>
      <c r="R57" s="24" t="s">
        <v>615</v>
      </c>
      <c r="S57" s="24" t="s">
        <v>581</v>
      </c>
      <c r="T57" s="27">
        <v>40675</v>
      </c>
      <c r="U57" s="25">
        <v>895822</v>
      </c>
      <c r="V57" s="24" t="s">
        <v>582</v>
      </c>
      <c r="W57" s="24" t="s">
        <v>583</v>
      </c>
      <c r="X57" s="24" t="s">
        <v>584</v>
      </c>
      <c r="Y57" s="24">
        <v>4020</v>
      </c>
      <c r="Z57" s="24">
        <v>204216</v>
      </c>
      <c r="AA57" s="24">
        <v>630120</v>
      </c>
      <c r="AB57" s="24">
        <v>0</v>
      </c>
      <c r="AC57" s="24"/>
      <c r="AD57" s="24"/>
      <c r="AE57" s="24"/>
      <c r="AF57" s="24"/>
    </row>
    <row r="58" spans="1:32" ht="62.4" x14ac:dyDescent="0.3">
      <c r="A58" s="23">
        <v>40664</v>
      </c>
      <c r="B58" s="24" t="s">
        <v>571</v>
      </c>
      <c r="C58" s="24">
        <v>30264</v>
      </c>
      <c r="D58" s="24" t="s">
        <v>572</v>
      </c>
      <c r="E58" s="24" t="s">
        <v>573</v>
      </c>
      <c r="F58" s="24" t="s">
        <v>574</v>
      </c>
      <c r="G58" s="24">
        <v>995023</v>
      </c>
      <c r="H58" s="25">
        <v>3666</v>
      </c>
      <c r="I58" s="26">
        <v>3666</v>
      </c>
      <c r="J58" s="24" t="s">
        <v>622</v>
      </c>
      <c r="K58" s="24" t="s">
        <v>576</v>
      </c>
      <c r="L58" s="24" t="s">
        <v>577</v>
      </c>
      <c r="M58" s="24" t="s">
        <v>578</v>
      </c>
      <c r="N58" s="24" t="s">
        <v>579</v>
      </c>
      <c r="O58" s="24">
        <v>218019</v>
      </c>
      <c r="P58" s="25"/>
      <c r="Q58" s="25"/>
      <c r="R58" s="24" t="s">
        <v>615</v>
      </c>
      <c r="S58" s="24" t="s">
        <v>581</v>
      </c>
      <c r="T58" s="27">
        <v>40681</v>
      </c>
      <c r="U58" s="25">
        <v>911894</v>
      </c>
      <c r="V58" s="24" t="s">
        <v>582</v>
      </c>
      <c r="W58" s="24" t="s">
        <v>583</v>
      </c>
      <c r="X58" s="24" t="s">
        <v>584</v>
      </c>
      <c r="Y58" s="24">
        <v>4020</v>
      </c>
      <c r="Z58" s="24">
        <v>204216</v>
      </c>
      <c r="AA58" s="24">
        <v>630120</v>
      </c>
      <c r="AB58" s="24">
        <v>0</v>
      </c>
      <c r="AC58" s="24"/>
      <c r="AD58" s="24"/>
      <c r="AE58" s="24"/>
      <c r="AF58" s="24"/>
    </row>
    <row r="59" spans="1:32" ht="62.4" x14ac:dyDescent="0.3">
      <c r="A59" s="23">
        <v>40664</v>
      </c>
      <c r="B59" s="24" t="s">
        <v>571</v>
      </c>
      <c r="C59" s="24">
        <v>30264</v>
      </c>
      <c r="D59" s="24" t="s">
        <v>625</v>
      </c>
      <c r="E59" s="24" t="s">
        <v>586</v>
      </c>
      <c r="F59" s="24" t="s">
        <v>574</v>
      </c>
      <c r="G59" s="24">
        <v>1017878</v>
      </c>
      <c r="H59" s="25">
        <v>2905</v>
      </c>
      <c r="I59" s="26">
        <v>2905</v>
      </c>
      <c r="J59" s="24" t="s">
        <v>646</v>
      </c>
      <c r="K59" s="24" t="s">
        <v>627</v>
      </c>
      <c r="L59" s="24" t="s">
        <v>577</v>
      </c>
      <c r="M59" s="24" t="s">
        <v>589</v>
      </c>
      <c r="N59" s="24" t="s">
        <v>628</v>
      </c>
      <c r="O59" s="24">
        <v>218026</v>
      </c>
      <c r="P59" s="25"/>
      <c r="Q59" s="25"/>
      <c r="R59" s="24" t="s">
        <v>657</v>
      </c>
      <c r="S59" s="24" t="s">
        <v>581</v>
      </c>
      <c r="T59" s="27">
        <v>40693</v>
      </c>
      <c r="U59" s="25">
        <v>934282</v>
      </c>
      <c r="V59" s="24" t="s">
        <v>582</v>
      </c>
      <c r="W59" s="24" t="s">
        <v>583</v>
      </c>
      <c r="X59" s="24" t="s">
        <v>584</v>
      </c>
      <c r="Y59" s="24">
        <v>4020</v>
      </c>
      <c r="Z59" s="24">
        <v>204216</v>
      </c>
      <c r="AA59" s="24">
        <v>572010</v>
      </c>
      <c r="AB59" s="24">
        <v>0</v>
      </c>
      <c r="AC59" s="24"/>
      <c r="AD59" s="24"/>
      <c r="AE59" s="24"/>
      <c r="AF59" s="24"/>
    </row>
    <row r="60" spans="1:32" ht="62.4" x14ac:dyDescent="0.3">
      <c r="A60" s="23">
        <v>40664</v>
      </c>
      <c r="B60" s="24" t="s">
        <v>571</v>
      </c>
      <c r="C60" s="24">
        <v>30264</v>
      </c>
      <c r="D60" s="24" t="s">
        <v>585</v>
      </c>
      <c r="E60" s="24" t="s">
        <v>586</v>
      </c>
      <c r="F60" s="24" t="s">
        <v>574</v>
      </c>
      <c r="G60" s="24">
        <v>965130</v>
      </c>
      <c r="H60" s="25">
        <v>20976.77</v>
      </c>
      <c r="I60" s="26">
        <v>20976.77</v>
      </c>
      <c r="J60" s="24" t="s">
        <v>658</v>
      </c>
      <c r="K60" s="24" t="s">
        <v>605</v>
      </c>
      <c r="L60" s="24" t="s">
        <v>633</v>
      </c>
      <c r="M60" s="24" t="s">
        <v>589</v>
      </c>
      <c r="N60" s="24" t="s">
        <v>590</v>
      </c>
      <c r="O60" s="24">
        <v>218308</v>
      </c>
      <c r="P60" s="25"/>
      <c r="Q60" s="25"/>
      <c r="R60" s="24" t="s">
        <v>615</v>
      </c>
      <c r="S60" s="24" t="s">
        <v>581</v>
      </c>
      <c r="T60" s="27">
        <v>40668</v>
      </c>
      <c r="U60" s="25">
        <v>879007</v>
      </c>
      <c r="V60" s="24" t="s">
        <v>582</v>
      </c>
      <c r="W60" s="24" t="s">
        <v>583</v>
      </c>
      <c r="X60" s="24" t="s">
        <v>584</v>
      </c>
      <c r="Y60" s="24">
        <v>4020</v>
      </c>
      <c r="Z60" s="24">
        <v>204216</v>
      </c>
      <c r="AA60" s="24">
        <v>572010</v>
      </c>
      <c r="AB60" s="24">
        <v>0</v>
      </c>
      <c r="AC60" s="24"/>
      <c r="AD60" s="24"/>
      <c r="AE60" s="24"/>
      <c r="AF60" s="24"/>
    </row>
    <row r="61" spans="1:32" ht="62.4" x14ac:dyDescent="0.3">
      <c r="A61" s="23">
        <v>40664</v>
      </c>
      <c r="B61" s="24" t="s">
        <v>571</v>
      </c>
      <c r="C61" s="24">
        <v>30264</v>
      </c>
      <c r="D61" s="24" t="s">
        <v>585</v>
      </c>
      <c r="E61" s="24" t="s">
        <v>586</v>
      </c>
      <c r="F61" s="24" t="s">
        <v>574</v>
      </c>
      <c r="G61" s="24">
        <v>966148</v>
      </c>
      <c r="H61" s="25">
        <v>23729.21</v>
      </c>
      <c r="I61" s="26">
        <v>23729.21</v>
      </c>
      <c r="J61" s="24" t="s">
        <v>659</v>
      </c>
      <c r="K61" s="24" t="s">
        <v>605</v>
      </c>
      <c r="L61" s="24" t="s">
        <v>577</v>
      </c>
      <c r="M61" s="24" t="s">
        <v>589</v>
      </c>
      <c r="N61" s="24" t="s">
        <v>590</v>
      </c>
      <c r="O61" s="24">
        <v>218016</v>
      </c>
      <c r="P61" s="25"/>
      <c r="Q61" s="25"/>
      <c r="R61" s="24" t="s">
        <v>615</v>
      </c>
      <c r="S61" s="24" t="s">
        <v>581</v>
      </c>
      <c r="T61" s="27">
        <v>40669</v>
      </c>
      <c r="U61" s="25">
        <v>880933</v>
      </c>
      <c r="V61" s="24" t="s">
        <v>582</v>
      </c>
      <c r="W61" s="24" t="s">
        <v>583</v>
      </c>
      <c r="X61" s="24" t="s">
        <v>584</v>
      </c>
      <c r="Y61" s="24">
        <v>4020</v>
      </c>
      <c r="Z61" s="24">
        <v>204216</v>
      </c>
      <c r="AA61" s="24">
        <v>572010</v>
      </c>
      <c r="AB61" s="24">
        <v>0</v>
      </c>
      <c r="AC61" s="24"/>
      <c r="AD61" s="24"/>
      <c r="AE61" s="24"/>
      <c r="AF61" s="24"/>
    </row>
    <row r="62" spans="1:32" ht="62.4" x14ac:dyDescent="0.3">
      <c r="A62" s="23">
        <v>40695</v>
      </c>
      <c r="B62" s="24" t="s">
        <v>571</v>
      </c>
      <c r="C62" s="24">
        <v>30264</v>
      </c>
      <c r="D62" s="24" t="s">
        <v>572</v>
      </c>
      <c r="E62" s="24" t="s">
        <v>573</v>
      </c>
      <c r="F62" s="24" t="s">
        <v>574</v>
      </c>
      <c r="G62" s="24">
        <v>1077400</v>
      </c>
      <c r="H62" s="25">
        <v>456</v>
      </c>
      <c r="I62" s="25">
        <v>456</v>
      </c>
      <c r="J62" s="24" t="s">
        <v>622</v>
      </c>
      <c r="K62" s="24" t="s">
        <v>576</v>
      </c>
      <c r="L62" s="24" t="s">
        <v>577</v>
      </c>
      <c r="M62" s="24" t="s">
        <v>578</v>
      </c>
      <c r="N62" s="24" t="s">
        <v>579</v>
      </c>
      <c r="O62" s="24">
        <v>218019</v>
      </c>
      <c r="P62" s="25"/>
      <c r="Q62" s="25"/>
      <c r="R62" s="24" t="s">
        <v>615</v>
      </c>
      <c r="S62" s="24" t="s">
        <v>581</v>
      </c>
      <c r="T62" s="27">
        <v>40716</v>
      </c>
      <c r="U62" s="25">
        <v>1010772</v>
      </c>
      <c r="V62" s="24" t="s">
        <v>582</v>
      </c>
      <c r="W62" s="24" t="s">
        <v>583</v>
      </c>
      <c r="X62" s="24" t="s">
        <v>584</v>
      </c>
      <c r="Y62" s="24">
        <v>4020</v>
      </c>
      <c r="Z62" s="24">
        <v>204216</v>
      </c>
      <c r="AA62" s="24">
        <v>630120</v>
      </c>
      <c r="AB62" s="24">
        <v>0</v>
      </c>
      <c r="AC62" s="24"/>
      <c r="AD62" s="24"/>
      <c r="AE62" s="24"/>
      <c r="AF62" s="24"/>
    </row>
    <row r="63" spans="1:32" ht="62.4" x14ac:dyDescent="0.3">
      <c r="A63" s="23">
        <v>40695</v>
      </c>
      <c r="B63" s="24" t="s">
        <v>571</v>
      </c>
      <c r="C63" s="24">
        <v>30264</v>
      </c>
      <c r="D63" s="24" t="s">
        <v>585</v>
      </c>
      <c r="E63" s="24" t="s">
        <v>586</v>
      </c>
      <c r="F63" s="24" t="s">
        <v>574</v>
      </c>
      <c r="G63" s="24">
        <v>1024327</v>
      </c>
      <c r="H63" s="25">
        <v>2199</v>
      </c>
      <c r="I63" s="26">
        <v>2199</v>
      </c>
      <c r="J63" s="24" t="s">
        <v>650</v>
      </c>
      <c r="K63" s="24" t="s">
        <v>605</v>
      </c>
      <c r="L63" s="24" t="s">
        <v>577</v>
      </c>
      <c r="M63" s="24" t="s">
        <v>589</v>
      </c>
      <c r="N63" s="24" t="s">
        <v>590</v>
      </c>
      <c r="O63" s="24">
        <v>218017</v>
      </c>
      <c r="P63" s="25"/>
      <c r="Q63" s="25"/>
      <c r="R63" s="24" t="s">
        <v>615</v>
      </c>
      <c r="S63" s="24" t="s">
        <v>581</v>
      </c>
      <c r="T63" s="27">
        <v>40695</v>
      </c>
      <c r="U63" s="25">
        <v>953242</v>
      </c>
      <c r="V63" s="24" t="s">
        <v>582</v>
      </c>
      <c r="W63" s="24" t="s">
        <v>583</v>
      </c>
      <c r="X63" s="24" t="s">
        <v>584</v>
      </c>
      <c r="Y63" s="24">
        <v>4020</v>
      </c>
      <c r="Z63" s="24">
        <v>204216</v>
      </c>
      <c r="AA63" s="24">
        <v>572010</v>
      </c>
      <c r="AB63" s="24">
        <v>0</v>
      </c>
      <c r="AC63" s="24"/>
      <c r="AD63" s="24"/>
      <c r="AE63" s="24"/>
      <c r="AF63" s="24"/>
    </row>
    <row r="64" spans="1:32" ht="62.4" x14ac:dyDescent="0.3">
      <c r="A64" s="23">
        <v>40695</v>
      </c>
      <c r="B64" s="24" t="s">
        <v>571</v>
      </c>
      <c r="C64" s="24">
        <v>30264</v>
      </c>
      <c r="D64" s="24" t="s">
        <v>585</v>
      </c>
      <c r="E64" s="24" t="s">
        <v>586</v>
      </c>
      <c r="F64" s="24" t="s">
        <v>574</v>
      </c>
      <c r="G64" s="24">
        <v>1024327</v>
      </c>
      <c r="H64" s="25">
        <v>20976.77</v>
      </c>
      <c r="I64" s="26">
        <v>20976.77</v>
      </c>
      <c r="J64" s="24" t="s">
        <v>658</v>
      </c>
      <c r="K64" s="24" t="s">
        <v>605</v>
      </c>
      <c r="L64" s="24" t="s">
        <v>577</v>
      </c>
      <c r="M64" s="24" t="s">
        <v>589</v>
      </c>
      <c r="N64" s="24" t="s">
        <v>590</v>
      </c>
      <c r="O64" s="24">
        <v>218308</v>
      </c>
      <c r="P64" s="25"/>
      <c r="Q64" s="25"/>
      <c r="R64" s="24" t="s">
        <v>615</v>
      </c>
      <c r="S64" s="24" t="s">
        <v>581</v>
      </c>
      <c r="T64" s="27">
        <v>40695</v>
      </c>
      <c r="U64" s="25">
        <v>953244</v>
      </c>
      <c r="V64" s="24" t="s">
        <v>582</v>
      </c>
      <c r="W64" s="24" t="s">
        <v>583</v>
      </c>
      <c r="X64" s="24" t="s">
        <v>584</v>
      </c>
      <c r="Y64" s="24">
        <v>4020</v>
      </c>
      <c r="Z64" s="24">
        <v>204216</v>
      </c>
      <c r="AA64" s="24">
        <v>572010</v>
      </c>
      <c r="AB64" s="24">
        <v>0</v>
      </c>
      <c r="AC64" s="24"/>
      <c r="AD64" s="24"/>
      <c r="AE64" s="24"/>
      <c r="AF64" s="24"/>
    </row>
    <row r="65" spans="1:32" ht="62.4" x14ac:dyDescent="0.3">
      <c r="A65" s="23">
        <v>40695</v>
      </c>
      <c r="B65" s="24" t="s">
        <v>571</v>
      </c>
      <c r="C65" s="24">
        <v>30264</v>
      </c>
      <c r="D65" s="24" t="s">
        <v>585</v>
      </c>
      <c r="E65" s="24" t="s">
        <v>586</v>
      </c>
      <c r="F65" s="24" t="s">
        <v>574</v>
      </c>
      <c r="G65" s="24">
        <v>1056455</v>
      </c>
      <c r="H65" s="25">
        <v>3460</v>
      </c>
      <c r="I65" s="26">
        <v>3460</v>
      </c>
      <c r="J65" s="24" t="s">
        <v>660</v>
      </c>
      <c r="K65" s="24" t="s">
        <v>588</v>
      </c>
      <c r="L65" s="24" t="s">
        <v>577</v>
      </c>
      <c r="M65" s="24" t="s">
        <v>589</v>
      </c>
      <c r="N65" s="24" t="s">
        <v>590</v>
      </c>
      <c r="O65" s="24">
        <v>225756</v>
      </c>
      <c r="P65" s="25"/>
      <c r="Q65" s="25"/>
      <c r="R65" s="24" t="s">
        <v>661</v>
      </c>
      <c r="S65" s="24" t="s">
        <v>581</v>
      </c>
      <c r="T65" s="27">
        <v>40708</v>
      </c>
      <c r="U65" s="25">
        <v>988232</v>
      </c>
      <c r="V65" s="24" t="s">
        <v>582</v>
      </c>
      <c r="W65" s="24" t="s">
        <v>583</v>
      </c>
      <c r="X65" s="24" t="s">
        <v>584</v>
      </c>
      <c r="Y65" s="24">
        <v>4020</v>
      </c>
      <c r="Z65" s="24">
        <v>204216</v>
      </c>
      <c r="AA65" s="24">
        <v>572010</v>
      </c>
      <c r="AB65" s="24">
        <v>0</v>
      </c>
      <c r="AC65" s="24"/>
      <c r="AD65" s="24"/>
      <c r="AE65" s="24"/>
      <c r="AF65" s="24"/>
    </row>
    <row r="66" spans="1:32" ht="62.4" x14ac:dyDescent="0.3">
      <c r="A66" s="23">
        <v>40695</v>
      </c>
      <c r="B66" s="24" t="s">
        <v>571</v>
      </c>
      <c r="C66" s="24">
        <v>30264</v>
      </c>
      <c r="D66" s="24" t="s">
        <v>585</v>
      </c>
      <c r="E66" s="24" t="s">
        <v>586</v>
      </c>
      <c r="F66" s="24" t="s">
        <v>574</v>
      </c>
      <c r="G66" s="24">
        <v>1061910</v>
      </c>
      <c r="H66" s="25">
        <v>3990</v>
      </c>
      <c r="I66" s="26">
        <v>3990</v>
      </c>
      <c r="J66" s="24" t="s">
        <v>662</v>
      </c>
      <c r="K66" s="24" t="s">
        <v>663</v>
      </c>
      <c r="L66" s="24" t="s">
        <v>577</v>
      </c>
      <c r="M66" s="24" t="s">
        <v>589</v>
      </c>
      <c r="N66" s="24" t="s">
        <v>590</v>
      </c>
      <c r="O66" s="24">
        <v>222399</v>
      </c>
      <c r="P66" s="25"/>
      <c r="Q66" s="25"/>
      <c r="R66" s="24" t="s">
        <v>615</v>
      </c>
      <c r="S66" s="24" t="s">
        <v>581</v>
      </c>
      <c r="T66" s="27">
        <v>40710</v>
      </c>
      <c r="U66" s="25">
        <v>993755</v>
      </c>
      <c r="V66" s="24" t="s">
        <v>582</v>
      </c>
      <c r="W66" s="24" t="s">
        <v>583</v>
      </c>
      <c r="X66" s="24" t="s">
        <v>584</v>
      </c>
      <c r="Y66" s="24">
        <v>4020</v>
      </c>
      <c r="Z66" s="24">
        <v>204216</v>
      </c>
      <c r="AA66" s="24">
        <v>572010</v>
      </c>
      <c r="AB66" s="24">
        <v>0</v>
      </c>
      <c r="AC66" s="24"/>
      <c r="AD66" s="24"/>
      <c r="AE66" s="24"/>
      <c r="AF66" s="24"/>
    </row>
    <row r="67" spans="1:32" ht="62.4" x14ac:dyDescent="0.3">
      <c r="A67" s="23">
        <v>40695</v>
      </c>
      <c r="B67" s="24" t="s">
        <v>571</v>
      </c>
      <c r="C67" s="24">
        <v>30264</v>
      </c>
      <c r="D67" s="24" t="s">
        <v>585</v>
      </c>
      <c r="E67" s="24" t="s">
        <v>586</v>
      </c>
      <c r="F67" s="24" t="s">
        <v>574</v>
      </c>
      <c r="G67" s="24">
        <v>1098953</v>
      </c>
      <c r="H67" s="25">
        <v>2199</v>
      </c>
      <c r="I67" s="26">
        <v>2199</v>
      </c>
      <c r="J67" s="24" t="s">
        <v>650</v>
      </c>
      <c r="K67" s="24" t="s">
        <v>605</v>
      </c>
      <c r="L67" s="24" t="s">
        <v>577</v>
      </c>
      <c r="M67" s="24" t="s">
        <v>589</v>
      </c>
      <c r="N67" s="24" t="s">
        <v>590</v>
      </c>
      <c r="O67" s="24">
        <v>218017</v>
      </c>
      <c r="P67" s="25"/>
      <c r="Q67" s="25"/>
      <c r="R67" s="24" t="s">
        <v>615</v>
      </c>
      <c r="S67" s="24" t="s">
        <v>581</v>
      </c>
      <c r="T67" s="27">
        <v>40724</v>
      </c>
      <c r="U67" s="25">
        <v>1040870</v>
      </c>
      <c r="V67" s="24" t="s">
        <v>582</v>
      </c>
      <c r="W67" s="24" t="s">
        <v>583</v>
      </c>
      <c r="X67" s="24" t="s">
        <v>584</v>
      </c>
      <c r="Y67" s="24">
        <v>4020</v>
      </c>
      <c r="Z67" s="24">
        <v>204216</v>
      </c>
      <c r="AA67" s="24">
        <v>572010</v>
      </c>
      <c r="AB67" s="24">
        <v>0</v>
      </c>
      <c r="AC67" s="24"/>
      <c r="AD67" s="24"/>
      <c r="AE67" s="24"/>
      <c r="AF67" s="24"/>
    </row>
    <row r="68" spans="1:32" ht="62.4" x14ac:dyDescent="0.3">
      <c r="A68" s="23">
        <v>40695</v>
      </c>
      <c r="B68" s="24" t="s">
        <v>571</v>
      </c>
      <c r="C68" s="24">
        <v>30264</v>
      </c>
      <c r="D68" s="24" t="s">
        <v>585</v>
      </c>
      <c r="E68" s="24" t="s">
        <v>586</v>
      </c>
      <c r="F68" s="24" t="s">
        <v>574</v>
      </c>
      <c r="G68" s="24">
        <v>1098953</v>
      </c>
      <c r="H68" s="25">
        <v>5910</v>
      </c>
      <c r="I68" s="26">
        <v>5910</v>
      </c>
      <c r="J68" s="24" t="s">
        <v>658</v>
      </c>
      <c r="K68" s="24" t="s">
        <v>605</v>
      </c>
      <c r="L68" s="24" t="s">
        <v>577</v>
      </c>
      <c r="M68" s="24" t="s">
        <v>589</v>
      </c>
      <c r="N68" s="24" t="s">
        <v>590</v>
      </c>
      <c r="O68" s="24">
        <v>218308</v>
      </c>
      <c r="P68" s="25"/>
      <c r="Q68" s="25"/>
      <c r="R68" s="24" t="s">
        <v>615</v>
      </c>
      <c r="S68" s="24" t="s">
        <v>581</v>
      </c>
      <c r="T68" s="27">
        <v>40724</v>
      </c>
      <c r="U68" s="25">
        <v>1040872</v>
      </c>
      <c r="V68" s="24" t="s">
        <v>582</v>
      </c>
      <c r="W68" s="24" t="s">
        <v>583</v>
      </c>
      <c r="X68" s="24" t="s">
        <v>584</v>
      </c>
      <c r="Y68" s="24">
        <v>4020</v>
      </c>
      <c r="Z68" s="24">
        <v>204216</v>
      </c>
      <c r="AA68" s="24">
        <v>572010</v>
      </c>
      <c r="AB68" s="24">
        <v>0</v>
      </c>
      <c r="AC68" s="24"/>
      <c r="AD68" s="24"/>
      <c r="AE68" s="24"/>
      <c r="AF68" s="24"/>
    </row>
    <row r="69" spans="1:32" ht="62.4" x14ac:dyDescent="0.3">
      <c r="A69" s="23">
        <v>40725</v>
      </c>
      <c r="B69" s="24" t="s">
        <v>571</v>
      </c>
      <c r="C69" s="24">
        <v>30264</v>
      </c>
      <c r="D69" s="24" t="s">
        <v>572</v>
      </c>
      <c r="E69" s="24" t="s">
        <v>573</v>
      </c>
      <c r="F69" s="24" t="s">
        <v>574</v>
      </c>
      <c r="G69" s="24">
        <v>1115219</v>
      </c>
      <c r="H69" s="25">
        <v>5136.0200000000004</v>
      </c>
      <c r="I69" s="26">
        <v>5136.0200000000004</v>
      </c>
      <c r="J69" s="24" t="s">
        <v>622</v>
      </c>
      <c r="K69" s="24" t="s">
        <v>576</v>
      </c>
      <c r="L69" s="24" t="s">
        <v>577</v>
      </c>
      <c r="M69" s="24" t="s">
        <v>578</v>
      </c>
      <c r="N69" s="24" t="s">
        <v>579</v>
      </c>
      <c r="O69" s="24" t="s">
        <v>664</v>
      </c>
      <c r="P69" s="25"/>
      <c r="Q69" s="25"/>
      <c r="R69" s="24"/>
      <c r="S69" s="24" t="s">
        <v>581</v>
      </c>
      <c r="T69" s="27">
        <v>40704</v>
      </c>
      <c r="U69" s="25">
        <v>1070587</v>
      </c>
      <c r="V69" s="24" t="s">
        <v>665</v>
      </c>
      <c r="W69" s="24" t="s">
        <v>583</v>
      </c>
      <c r="X69" s="24" t="s">
        <v>584</v>
      </c>
      <c r="Y69" s="24">
        <v>4020</v>
      </c>
      <c r="Z69" s="24">
        <v>204216</v>
      </c>
      <c r="AA69" s="24">
        <v>630120</v>
      </c>
      <c r="AB69" s="24">
        <v>0</v>
      </c>
      <c r="AC69" s="24"/>
      <c r="AD69" s="24"/>
      <c r="AE69" s="24"/>
      <c r="AF69" s="24"/>
    </row>
    <row r="70" spans="1:32" ht="62.4" x14ac:dyDescent="0.3">
      <c r="A70" s="23">
        <v>40725</v>
      </c>
      <c r="B70" s="24" t="s">
        <v>571</v>
      </c>
      <c r="C70" s="24">
        <v>30264</v>
      </c>
      <c r="D70" s="24" t="s">
        <v>572</v>
      </c>
      <c r="E70" s="24" t="s">
        <v>573</v>
      </c>
      <c r="F70" s="24" t="s">
        <v>574</v>
      </c>
      <c r="G70" s="24">
        <v>1150698</v>
      </c>
      <c r="H70" s="25">
        <v>3567.2</v>
      </c>
      <c r="I70" s="26">
        <v>3567.2</v>
      </c>
      <c r="J70" s="24" t="s">
        <v>622</v>
      </c>
      <c r="K70" s="24" t="s">
        <v>576</v>
      </c>
      <c r="L70" s="24" t="s">
        <v>577</v>
      </c>
      <c r="M70" s="24" t="s">
        <v>578</v>
      </c>
      <c r="N70" s="24" t="s">
        <v>579</v>
      </c>
      <c r="O70" s="24">
        <v>218019</v>
      </c>
      <c r="P70" s="25"/>
      <c r="Q70" s="25"/>
      <c r="R70" s="24" t="s">
        <v>666</v>
      </c>
      <c r="S70" s="24" t="s">
        <v>581</v>
      </c>
      <c r="T70" s="27">
        <v>40744</v>
      </c>
      <c r="U70" s="25">
        <v>1098645</v>
      </c>
      <c r="V70" s="24" t="s">
        <v>582</v>
      </c>
      <c r="W70" s="24" t="s">
        <v>583</v>
      </c>
      <c r="X70" s="24" t="s">
        <v>584</v>
      </c>
      <c r="Y70" s="24">
        <v>4020</v>
      </c>
      <c r="Z70" s="24">
        <v>204216</v>
      </c>
      <c r="AA70" s="24">
        <v>630120</v>
      </c>
      <c r="AB70" s="24">
        <v>0</v>
      </c>
      <c r="AC70" s="24"/>
      <c r="AD70" s="24"/>
      <c r="AE70" s="24"/>
      <c r="AF70" s="24"/>
    </row>
    <row r="71" spans="1:32" ht="62.4" x14ac:dyDescent="0.3">
      <c r="A71" s="23">
        <v>40725</v>
      </c>
      <c r="B71" s="24" t="s">
        <v>571</v>
      </c>
      <c r="C71" s="24">
        <v>30264</v>
      </c>
      <c r="D71" s="24" t="s">
        <v>585</v>
      </c>
      <c r="E71" s="24" t="s">
        <v>586</v>
      </c>
      <c r="F71" s="24" t="s">
        <v>574</v>
      </c>
      <c r="G71" s="24">
        <v>1130981</v>
      </c>
      <c r="H71" s="25">
        <v>47469.52</v>
      </c>
      <c r="I71" s="26">
        <v>47469.52</v>
      </c>
      <c r="J71" s="24" t="s">
        <v>658</v>
      </c>
      <c r="K71" s="24" t="s">
        <v>605</v>
      </c>
      <c r="L71" s="24" t="s">
        <v>577</v>
      </c>
      <c r="M71" s="24" t="s">
        <v>589</v>
      </c>
      <c r="N71" s="24" t="s">
        <v>590</v>
      </c>
      <c r="O71" s="24">
        <v>218308</v>
      </c>
      <c r="P71" s="25"/>
      <c r="Q71" s="25"/>
      <c r="R71" s="24" t="s">
        <v>667</v>
      </c>
      <c r="S71" s="24" t="s">
        <v>581</v>
      </c>
      <c r="T71" s="27">
        <v>40736</v>
      </c>
      <c r="U71" s="25">
        <v>1081803</v>
      </c>
      <c r="V71" s="24" t="s">
        <v>582</v>
      </c>
      <c r="W71" s="24" t="s">
        <v>583</v>
      </c>
      <c r="X71" s="24" t="s">
        <v>584</v>
      </c>
      <c r="Y71" s="24">
        <v>4020</v>
      </c>
      <c r="Z71" s="24">
        <v>204216</v>
      </c>
      <c r="AA71" s="24">
        <v>572010</v>
      </c>
      <c r="AB71" s="24">
        <v>0</v>
      </c>
      <c r="AC71" s="24"/>
      <c r="AD71" s="24"/>
      <c r="AE71" s="24"/>
      <c r="AF71" s="24"/>
    </row>
    <row r="72" spans="1:32" ht="62.4" x14ac:dyDescent="0.3">
      <c r="A72" s="23">
        <v>40725</v>
      </c>
      <c r="B72" s="24" t="s">
        <v>571</v>
      </c>
      <c r="C72" s="24">
        <v>30264</v>
      </c>
      <c r="D72" s="24" t="s">
        <v>585</v>
      </c>
      <c r="E72" s="24" t="s">
        <v>586</v>
      </c>
      <c r="F72" s="24" t="s">
        <v>574</v>
      </c>
      <c r="G72" s="24">
        <v>1130981</v>
      </c>
      <c r="H72" s="25">
        <v>9709</v>
      </c>
      <c r="I72" s="26">
        <v>9709</v>
      </c>
      <c r="J72" s="24" t="s">
        <v>668</v>
      </c>
      <c r="K72" s="24" t="s">
        <v>655</v>
      </c>
      <c r="L72" s="24" t="s">
        <v>577</v>
      </c>
      <c r="M72" s="24" t="s">
        <v>589</v>
      </c>
      <c r="N72" s="24" t="s">
        <v>590</v>
      </c>
      <c r="O72" s="24">
        <v>219350</v>
      </c>
      <c r="P72" s="25"/>
      <c r="Q72" s="25"/>
      <c r="R72" s="24" t="s">
        <v>656</v>
      </c>
      <c r="S72" s="24" t="s">
        <v>581</v>
      </c>
      <c r="T72" s="27">
        <v>40736</v>
      </c>
      <c r="U72" s="25">
        <v>1081804</v>
      </c>
      <c r="V72" s="24" t="s">
        <v>582</v>
      </c>
      <c r="W72" s="24" t="s">
        <v>583</v>
      </c>
      <c r="X72" s="24" t="s">
        <v>584</v>
      </c>
      <c r="Y72" s="24">
        <v>4020</v>
      </c>
      <c r="Z72" s="24">
        <v>204216</v>
      </c>
      <c r="AA72" s="24">
        <v>572010</v>
      </c>
      <c r="AB72" s="24">
        <v>0</v>
      </c>
      <c r="AC72" s="24"/>
      <c r="AD72" s="24"/>
      <c r="AE72" s="24"/>
      <c r="AF72" s="24"/>
    </row>
    <row r="73" spans="1:32" ht="62.4" x14ac:dyDescent="0.3">
      <c r="A73" s="23">
        <v>40725</v>
      </c>
      <c r="B73" s="24" t="s">
        <v>571</v>
      </c>
      <c r="C73" s="24">
        <v>30264</v>
      </c>
      <c r="D73" s="24" t="s">
        <v>585</v>
      </c>
      <c r="E73" s="24" t="s">
        <v>586</v>
      </c>
      <c r="F73" s="24" t="s">
        <v>574</v>
      </c>
      <c r="G73" s="24">
        <v>1139514</v>
      </c>
      <c r="H73" s="25">
        <v>9600</v>
      </c>
      <c r="I73" s="26">
        <v>9600</v>
      </c>
      <c r="J73" s="24" t="s">
        <v>669</v>
      </c>
      <c r="K73" s="24" t="s">
        <v>670</v>
      </c>
      <c r="L73" s="24" t="s">
        <v>577</v>
      </c>
      <c r="M73" s="24" t="s">
        <v>589</v>
      </c>
      <c r="N73" s="24" t="s">
        <v>590</v>
      </c>
      <c r="O73" s="24">
        <v>229132</v>
      </c>
      <c r="P73" s="25"/>
      <c r="Q73" s="25"/>
      <c r="R73" s="24" t="s">
        <v>671</v>
      </c>
      <c r="S73" s="24" t="s">
        <v>581</v>
      </c>
      <c r="T73" s="27">
        <v>40739</v>
      </c>
      <c r="U73" s="25">
        <v>1087380</v>
      </c>
      <c r="V73" s="24" t="s">
        <v>582</v>
      </c>
      <c r="W73" s="24" t="s">
        <v>583</v>
      </c>
      <c r="X73" s="24" t="s">
        <v>584</v>
      </c>
      <c r="Y73" s="24">
        <v>4020</v>
      </c>
      <c r="Z73" s="24">
        <v>204216</v>
      </c>
      <c r="AA73" s="24">
        <v>572010</v>
      </c>
      <c r="AB73" s="24">
        <v>0</v>
      </c>
      <c r="AC73" s="24"/>
      <c r="AD73" s="24"/>
      <c r="AE73" s="24"/>
      <c r="AF73" s="24"/>
    </row>
    <row r="74" spans="1:32" ht="62.4" x14ac:dyDescent="0.3">
      <c r="A74" s="23">
        <v>40725</v>
      </c>
      <c r="B74" s="24" t="s">
        <v>571</v>
      </c>
      <c r="C74" s="24">
        <v>30264</v>
      </c>
      <c r="D74" s="24" t="s">
        <v>585</v>
      </c>
      <c r="E74" s="24" t="s">
        <v>586</v>
      </c>
      <c r="F74" s="24" t="s">
        <v>574</v>
      </c>
      <c r="G74" s="24">
        <v>1148068</v>
      </c>
      <c r="H74" s="25">
        <v>2309</v>
      </c>
      <c r="I74" s="26">
        <v>2309</v>
      </c>
      <c r="J74" s="24" t="s">
        <v>650</v>
      </c>
      <c r="K74" s="24" t="s">
        <v>605</v>
      </c>
      <c r="L74" s="24" t="s">
        <v>577</v>
      </c>
      <c r="M74" s="24" t="s">
        <v>589</v>
      </c>
      <c r="N74" s="24" t="s">
        <v>590</v>
      </c>
      <c r="O74" s="24">
        <v>218017</v>
      </c>
      <c r="P74" s="25"/>
      <c r="Q74" s="25"/>
      <c r="R74" s="24" t="s">
        <v>672</v>
      </c>
      <c r="S74" s="24" t="s">
        <v>581</v>
      </c>
      <c r="T74" s="27">
        <v>40743</v>
      </c>
      <c r="U74" s="25">
        <v>1096304</v>
      </c>
      <c r="V74" s="24" t="s">
        <v>582</v>
      </c>
      <c r="W74" s="24" t="s">
        <v>583</v>
      </c>
      <c r="X74" s="24" t="s">
        <v>584</v>
      </c>
      <c r="Y74" s="24">
        <v>4020</v>
      </c>
      <c r="Z74" s="24">
        <v>204216</v>
      </c>
      <c r="AA74" s="24">
        <v>572010</v>
      </c>
      <c r="AB74" s="24">
        <v>0</v>
      </c>
      <c r="AC74" s="24"/>
      <c r="AD74" s="24"/>
      <c r="AE74" s="24"/>
      <c r="AF74" s="24"/>
    </row>
    <row r="75" spans="1:32" ht="62.4" x14ac:dyDescent="0.3">
      <c r="A75" s="23">
        <v>40725</v>
      </c>
      <c r="B75" s="24" t="s">
        <v>571</v>
      </c>
      <c r="C75" s="24">
        <v>30264</v>
      </c>
      <c r="D75" s="24" t="s">
        <v>585</v>
      </c>
      <c r="E75" s="24" t="s">
        <v>586</v>
      </c>
      <c r="F75" s="24" t="s">
        <v>574</v>
      </c>
      <c r="G75" s="24">
        <v>1148068</v>
      </c>
      <c r="H75" s="25">
        <v>5780</v>
      </c>
      <c r="I75" s="26">
        <v>5780</v>
      </c>
      <c r="J75" s="24" t="s">
        <v>673</v>
      </c>
      <c r="K75" s="24" t="s">
        <v>674</v>
      </c>
      <c r="L75" s="24" t="s">
        <v>577</v>
      </c>
      <c r="M75" s="24" t="s">
        <v>589</v>
      </c>
      <c r="N75" s="24" t="s">
        <v>590</v>
      </c>
      <c r="O75" s="24">
        <v>228708</v>
      </c>
      <c r="P75" s="25"/>
      <c r="Q75" s="25"/>
      <c r="R75" s="24" t="s">
        <v>675</v>
      </c>
      <c r="S75" s="24" t="s">
        <v>581</v>
      </c>
      <c r="T75" s="27">
        <v>40743</v>
      </c>
      <c r="U75" s="25">
        <v>1096495</v>
      </c>
      <c r="V75" s="24" t="s">
        <v>582</v>
      </c>
      <c r="W75" s="24" t="s">
        <v>583</v>
      </c>
      <c r="X75" s="24" t="s">
        <v>584</v>
      </c>
      <c r="Y75" s="24">
        <v>4020</v>
      </c>
      <c r="Z75" s="24">
        <v>204216</v>
      </c>
      <c r="AA75" s="24">
        <v>572010</v>
      </c>
      <c r="AB75" s="24">
        <v>0</v>
      </c>
      <c r="AC75" s="24"/>
      <c r="AD75" s="24"/>
      <c r="AE75" s="24"/>
      <c r="AF75" s="24"/>
    </row>
    <row r="76" spans="1:32" ht="62.4" x14ac:dyDescent="0.3">
      <c r="A76" s="23">
        <v>40725</v>
      </c>
      <c r="B76" s="24" t="s">
        <v>571</v>
      </c>
      <c r="C76" s="24">
        <v>30264</v>
      </c>
      <c r="D76" s="24" t="s">
        <v>585</v>
      </c>
      <c r="E76" s="24" t="s">
        <v>586</v>
      </c>
      <c r="F76" s="24" t="s">
        <v>574</v>
      </c>
      <c r="G76" s="24">
        <v>1172929</v>
      </c>
      <c r="H76" s="25">
        <v>21618.41</v>
      </c>
      <c r="I76" s="26">
        <v>21618.41</v>
      </c>
      <c r="J76" s="24" t="s">
        <v>659</v>
      </c>
      <c r="K76" s="24" t="s">
        <v>605</v>
      </c>
      <c r="L76" s="24" t="s">
        <v>577</v>
      </c>
      <c r="M76" s="24" t="s">
        <v>589</v>
      </c>
      <c r="N76" s="24" t="s">
        <v>590</v>
      </c>
      <c r="O76" s="24">
        <v>218016</v>
      </c>
      <c r="P76" s="25"/>
      <c r="Q76" s="25"/>
      <c r="R76" s="24" t="s">
        <v>676</v>
      </c>
      <c r="S76" s="24" t="s">
        <v>581</v>
      </c>
      <c r="T76" s="27">
        <v>40753</v>
      </c>
      <c r="U76" s="25">
        <v>1122448</v>
      </c>
      <c r="V76" s="24" t="s">
        <v>582</v>
      </c>
      <c r="W76" s="24" t="s">
        <v>583</v>
      </c>
      <c r="X76" s="24" t="s">
        <v>584</v>
      </c>
      <c r="Y76" s="24">
        <v>4020</v>
      </c>
      <c r="Z76" s="24">
        <v>204216</v>
      </c>
      <c r="AA76" s="24">
        <v>572010</v>
      </c>
      <c r="AB76" s="24">
        <v>0</v>
      </c>
      <c r="AC76" s="24"/>
      <c r="AD76" s="24"/>
      <c r="AE76" s="24"/>
      <c r="AF76" s="24"/>
    </row>
    <row r="77" spans="1:32" ht="62.4" x14ac:dyDescent="0.3">
      <c r="A77" s="23">
        <v>40756</v>
      </c>
      <c r="B77" s="24" t="s">
        <v>571</v>
      </c>
      <c r="C77" s="24">
        <v>30264</v>
      </c>
      <c r="D77" s="24" t="s">
        <v>572</v>
      </c>
      <c r="E77" s="24" t="s">
        <v>573</v>
      </c>
      <c r="F77" s="24" t="s">
        <v>574</v>
      </c>
      <c r="G77" s="24">
        <v>1201881</v>
      </c>
      <c r="H77" s="25">
        <v>4669.1099999999997</v>
      </c>
      <c r="I77" s="26">
        <v>4669.1099999999997</v>
      </c>
      <c r="J77" s="24" t="s">
        <v>622</v>
      </c>
      <c r="K77" s="24" t="s">
        <v>576</v>
      </c>
      <c r="L77" s="24" t="s">
        <v>577</v>
      </c>
      <c r="M77" s="24" t="s">
        <v>578</v>
      </c>
      <c r="N77" s="24" t="s">
        <v>579</v>
      </c>
      <c r="O77" s="24">
        <v>218019</v>
      </c>
      <c r="P77" s="25"/>
      <c r="Q77" s="25"/>
      <c r="R77" s="24" t="s">
        <v>677</v>
      </c>
      <c r="S77" s="24" t="s">
        <v>581</v>
      </c>
      <c r="T77" s="27">
        <v>40764</v>
      </c>
      <c r="U77" s="25">
        <v>1159019</v>
      </c>
      <c r="V77" s="24" t="s">
        <v>582</v>
      </c>
      <c r="W77" s="24" t="s">
        <v>583</v>
      </c>
      <c r="X77" s="24" t="s">
        <v>584</v>
      </c>
      <c r="Y77" s="24">
        <v>4020</v>
      </c>
      <c r="Z77" s="24">
        <v>204216</v>
      </c>
      <c r="AA77" s="24">
        <v>630120</v>
      </c>
      <c r="AB77" s="24">
        <v>0</v>
      </c>
      <c r="AC77" s="24"/>
      <c r="AD77" s="24"/>
      <c r="AE77" s="24"/>
      <c r="AF77" s="24"/>
    </row>
    <row r="78" spans="1:32" ht="62.4" x14ac:dyDescent="0.3">
      <c r="A78" s="23">
        <v>40756</v>
      </c>
      <c r="B78" s="24" t="s">
        <v>571</v>
      </c>
      <c r="C78" s="24">
        <v>30264</v>
      </c>
      <c r="D78" s="24" t="s">
        <v>572</v>
      </c>
      <c r="E78" s="24" t="s">
        <v>573</v>
      </c>
      <c r="F78" s="24" t="s">
        <v>574</v>
      </c>
      <c r="G78" s="24">
        <v>1237370</v>
      </c>
      <c r="H78" s="25">
        <v>4669.1099999999997</v>
      </c>
      <c r="I78" s="26">
        <v>4669.1099999999997</v>
      </c>
      <c r="J78" s="24" t="s">
        <v>678</v>
      </c>
      <c r="K78" s="24" t="s">
        <v>576</v>
      </c>
      <c r="L78" s="24" t="s">
        <v>577</v>
      </c>
      <c r="M78" s="24" t="s">
        <v>578</v>
      </c>
      <c r="N78" s="24" t="s">
        <v>579</v>
      </c>
      <c r="O78" s="24">
        <v>231976</v>
      </c>
      <c r="P78" s="25"/>
      <c r="Q78" s="25"/>
      <c r="R78" s="24" t="s">
        <v>679</v>
      </c>
      <c r="S78" s="24" t="s">
        <v>581</v>
      </c>
      <c r="T78" s="27">
        <v>40779</v>
      </c>
      <c r="U78" s="25">
        <v>1196142</v>
      </c>
      <c r="V78" s="24" t="s">
        <v>582</v>
      </c>
      <c r="W78" s="24" t="s">
        <v>583</v>
      </c>
      <c r="X78" s="24" t="s">
        <v>584</v>
      </c>
      <c r="Y78" s="24">
        <v>4020</v>
      </c>
      <c r="Z78" s="24">
        <v>204216</v>
      </c>
      <c r="AA78" s="24">
        <v>630120</v>
      </c>
      <c r="AB78" s="24">
        <v>0</v>
      </c>
      <c r="AC78" s="24"/>
      <c r="AD78" s="24"/>
      <c r="AE78" s="24"/>
      <c r="AF78" s="24"/>
    </row>
    <row r="79" spans="1:32" ht="62.4" x14ac:dyDescent="0.3">
      <c r="A79" s="23">
        <v>40756</v>
      </c>
      <c r="B79" s="24" t="s">
        <v>571</v>
      </c>
      <c r="C79" s="24">
        <v>30264</v>
      </c>
      <c r="D79" s="24" t="s">
        <v>585</v>
      </c>
      <c r="E79" s="24" t="s">
        <v>586</v>
      </c>
      <c r="F79" s="24" t="s">
        <v>574</v>
      </c>
      <c r="G79" s="24">
        <v>1210093</v>
      </c>
      <c r="H79" s="25">
        <v>2309</v>
      </c>
      <c r="I79" s="26">
        <v>2309</v>
      </c>
      <c r="J79" s="24" t="s">
        <v>680</v>
      </c>
      <c r="K79" s="24" t="s">
        <v>605</v>
      </c>
      <c r="L79" s="24" t="s">
        <v>577</v>
      </c>
      <c r="M79" s="24" t="s">
        <v>589</v>
      </c>
      <c r="N79" s="24" t="s">
        <v>590</v>
      </c>
      <c r="O79" s="24">
        <v>231985</v>
      </c>
      <c r="P79" s="25"/>
      <c r="Q79" s="25"/>
      <c r="R79" s="24" t="s">
        <v>681</v>
      </c>
      <c r="S79" s="24" t="s">
        <v>581</v>
      </c>
      <c r="T79" s="27">
        <v>40767</v>
      </c>
      <c r="U79" s="25">
        <v>1165221</v>
      </c>
      <c r="V79" s="24" t="s">
        <v>582</v>
      </c>
      <c r="W79" s="24" t="s">
        <v>583</v>
      </c>
      <c r="X79" s="24" t="s">
        <v>584</v>
      </c>
      <c r="Y79" s="24">
        <v>4020</v>
      </c>
      <c r="Z79" s="24">
        <v>204216</v>
      </c>
      <c r="AA79" s="24">
        <v>572010</v>
      </c>
      <c r="AB79" s="24">
        <v>0</v>
      </c>
      <c r="AC79" s="24"/>
      <c r="AD79" s="24"/>
      <c r="AE79" s="24"/>
      <c r="AF79" s="24"/>
    </row>
    <row r="80" spans="1:32" ht="62.4" x14ac:dyDescent="0.3">
      <c r="A80" s="23">
        <v>40756</v>
      </c>
      <c r="B80" s="24" t="s">
        <v>571</v>
      </c>
      <c r="C80" s="24">
        <v>30264</v>
      </c>
      <c r="D80" s="24" t="s">
        <v>585</v>
      </c>
      <c r="E80" s="24" t="s">
        <v>586</v>
      </c>
      <c r="F80" s="24" t="s">
        <v>574</v>
      </c>
      <c r="G80" s="24">
        <v>1216028</v>
      </c>
      <c r="H80" s="25">
        <v>10520</v>
      </c>
      <c r="I80" s="26">
        <v>10520</v>
      </c>
      <c r="J80" s="24" t="s">
        <v>682</v>
      </c>
      <c r="K80" s="24" t="s">
        <v>674</v>
      </c>
      <c r="L80" s="24" t="s">
        <v>577</v>
      </c>
      <c r="M80" s="24" t="s">
        <v>589</v>
      </c>
      <c r="N80" s="24" t="s">
        <v>590</v>
      </c>
      <c r="O80" s="24">
        <v>230658</v>
      </c>
      <c r="P80" s="25"/>
      <c r="Q80" s="25"/>
      <c r="R80" s="24" t="s">
        <v>656</v>
      </c>
      <c r="S80" s="24" t="s">
        <v>581</v>
      </c>
      <c r="T80" s="27">
        <v>40770</v>
      </c>
      <c r="U80" s="25">
        <v>1167828</v>
      </c>
      <c r="V80" s="24" t="s">
        <v>582</v>
      </c>
      <c r="W80" s="24" t="s">
        <v>583</v>
      </c>
      <c r="X80" s="24" t="s">
        <v>584</v>
      </c>
      <c r="Y80" s="24">
        <v>4020</v>
      </c>
      <c r="Z80" s="24">
        <v>204216</v>
      </c>
      <c r="AA80" s="24">
        <v>572010</v>
      </c>
      <c r="AB80" s="24">
        <v>0</v>
      </c>
      <c r="AC80" s="24"/>
      <c r="AD80" s="24"/>
      <c r="AE80" s="24"/>
      <c r="AF80" s="24"/>
    </row>
    <row r="81" spans="1:32" ht="62.4" x14ac:dyDescent="0.3">
      <c r="A81" s="23">
        <v>40756</v>
      </c>
      <c r="B81" s="24" t="s">
        <v>571</v>
      </c>
      <c r="C81" s="24">
        <v>30264</v>
      </c>
      <c r="D81" s="24" t="s">
        <v>585</v>
      </c>
      <c r="E81" s="24" t="s">
        <v>586</v>
      </c>
      <c r="F81" s="24" t="s">
        <v>574</v>
      </c>
      <c r="G81" s="24">
        <v>1216028</v>
      </c>
      <c r="H81" s="25">
        <v>4880</v>
      </c>
      <c r="I81" s="26">
        <v>4880</v>
      </c>
      <c r="J81" s="24" t="s">
        <v>683</v>
      </c>
      <c r="K81" s="24" t="s">
        <v>674</v>
      </c>
      <c r="L81" s="24" t="s">
        <v>577</v>
      </c>
      <c r="M81" s="24" t="s">
        <v>589</v>
      </c>
      <c r="N81" s="24" t="s">
        <v>590</v>
      </c>
      <c r="O81" s="24">
        <v>232014</v>
      </c>
      <c r="P81" s="25"/>
      <c r="Q81" s="25"/>
      <c r="R81" s="24" t="s">
        <v>656</v>
      </c>
      <c r="S81" s="24" t="s">
        <v>581</v>
      </c>
      <c r="T81" s="27">
        <v>40770</v>
      </c>
      <c r="U81" s="25">
        <v>1167836</v>
      </c>
      <c r="V81" s="24" t="s">
        <v>582</v>
      </c>
      <c r="W81" s="24" t="s">
        <v>583</v>
      </c>
      <c r="X81" s="24" t="s">
        <v>584</v>
      </c>
      <c r="Y81" s="24">
        <v>4020</v>
      </c>
      <c r="Z81" s="24">
        <v>204216</v>
      </c>
      <c r="AA81" s="24">
        <v>572010</v>
      </c>
      <c r="AB81" s="24">
        <v>0</v>
      </c>
      <c r="AC81" s="24"/>
      <c r="AD81" s="24"/>
      <c r="AE81" s="24"/>
      <c r="AF81" s="24"/>
    </row>
    <row r="82" spans="1:32" ht="62.4" x14ac:dyDescent="0.3">
      <c r="A82" s="23">
        <v>40756</v>
      </c>
      <c r="B82" s="24" t="s">
        <v>571</v>
      </c>
      <c r="C82" s="24">
        <v>30264</v>
      </c>
      <c r="D82" s="24" t="s">
        <v>585</v>
      </c>
      <c r="E82" s="24" t="s">
        <v>586</v>
      </c>
      <c r="F82" s="24" t="s">
        <v>574</v>
      </c>
      <c r="G82" s="24">
        <v>1218603</v>
      </c>
      <c r="H82" s="25">
        <v>23734.76</v>
      </c>
      <c r="I82" s="26">
        <v>23734.76</v>
      </c>
      <c r="J82" s="24" t="s">
        <v>684</v>
      </c>
      <c r="K82" s="24" t="s">
        <v>605</v>
      </c>
      <c r="L82" s="24" t="s">
        <v>577</v>
      </c>
      <c r="M82" s="24" t="s">
        <v>589</v>
      </c>
      <c r="N82" s="24" t="s">
        <v>590</v>
      </c>
      <c r="O82" s="24">
        <v>232084</v>
      </c>
      <c r="P82" s="25"/>
      <c r="Q82" s="25"/>
      <c r="R82" s="24" t="s">
        <v>685</v>
      </c>
      <c r="S82" s="24" t="s">
        <v>581</v>
      </c>
      <c r="T82" s="27">
        <v>40771</v>
      </c>
      <c r="U82" s="25">
        <v>1174955</v>
      </c>
      <c r="V82" s="24" t="s">
        <v>582</v>
      </c>
      <c r="W82" s="24" t="s">
        <v>583</v>
      </c>
      <c r="X82" s="24" t="s">
        <v>584</v>
      </c>
      <c r="Y82" s="24">
        <v>4020</v>
      </c>
      <c r="Z82" s="24">
        <v>204216</v>
      </c>
      <c r="AA82" s="24">
        <v>572010</v>
      </c>
      <c r="AB82" s="24">
        <v>0</v>
      </c>
      <c r="AC82" s="24"/>
      <c r="AD82" s="24"/>
      <c r="AE82" s="24"/>
      <c r="AF82" s="24"/>
    </row>
    <row r="83" spans="1:32" ht="62.4" x14ac:dyDescent="0.3">
      <c r="A83" s="23">
        <v>40756</v>
      </c>
      <c r="B83" s="24" t="s">
        <v>571</v>
      </c>
      <c r="C83" s="24">
        <v>30264</v>
      </c>
      <c r="D83" s="24" t="s">
        <v>585</v>
      </c>
      <c r="E83" s="24" t="s">
        <v>586</v>
      </c>
      <c r="F83" s="24" t="s">
        <v>574</v>
      </c>
      <c r="G83" s="24">
        <v>1218603</v>
      </c>
      <c r="H83" s="25">
        <v>5890</v>
      </c>
      <c r="I83" s="26">
        <v>5890</v>
      </c>
      <c r="J83" s="24" t="s">
        <v>686</v>
      </c>
      <c r="K83" s="24" t="s">
        <v>588</v>
      </c>
      <c r="L83" s="24" t="s">
        <v>577</v>
      </c>
      <c r="M83" s="24" t="s">
        <v>589</v>
      </c>
      <c r="N83" s="24" t="s">
        <v>590</v>
      </c>
      <c r="O83" s="24">
        <v>232730</v>
      </c>
      <c r="P83" s="25"/>
      <c r="Q83" s="25"/>
      <c r="R83" s="24" t="s">
        <v>661</v>
      </c>
      <c r="S83" s="24" t="s">
        <v>581</v>
      </c>
      <c r="T83" s="27">
        <v>40771</v>
      </c>
      <c r="U83" s="25">
        <v>1175146</v>
      </c>
      <c r="V83" s="24" t="s">
        <v>582</v>
      </c>
      <c r="W83" s="24" t="s">
        <v>583</v>
      </c>
      <c r="X83" s="24" t="s">
        <v>584</v>
      </c>
      <c r="Y83" s="24">
        <v>4020</v>
      </c>
      <c r="Z83" s="24">
        <v>204216</v>
      </c>
      <c r="AA83" s="24">
        <v>572010</v>
      </c>
      <c r="AB83" s="24">
        <v>0</v>
      </c>
      <c r="AC83" s="24"/>
      <c r="AD83" s="24"/>
      <c r="AE83" s="24"/>
      <c r="AF83" s="24"/>
    </row>
    <row r="84" spans="1:32" ht="62.4" x14ac:dyDescent="0.3">
      <c r="A84" s="23">
        <v>40756</v>
      </c>
      <c r="B84" s="24" t="s">
        <v>571</v>
      </c>
      <c r="C84" s="24">
        <v>30264</v>
      </c>
      <c r="D84" s="24" t="s">
        <v>585</v>
      </c>
      <c r="E84" s="24" t="s">
        <v>586</v>
      </c>
      <c r="F84" s="24" t="s">
        <v>574</v>
      </c>
      <c r="G84" s="24">
        <v>1237370</v>
      </c>
      <c r="H84" s="25">
        <v>5910</v>
      </c>
      <c r="I84" s="26">
        <v>5910</v>
      </c>
      <c r="J84" s="24" t="s">
        <v>684</v>
      </c>
      <c r="K84" s="24" t="s">
        <v>605</v>
      </c>
      <c r="L84" s="24" t="s">
        <v>577</v>
      </c>
      <c r="M84" s="24" t="s">
        <v>589</v>
      </c>
      <c r="N84" s="24" t="s">
        <v>590</v>
      </c>
      <c r="O84" s="24">
        <v>232084</v>
      </c>
      <c r="P84" s="25"/>
      <c r="Q84" s="25"/>
      <c r="R84" s="24" t="s">
        <v>687</v>
      </c>
      <c r="S84" s="24" t="s">
        <v>581</v>
      </c>
      <c r="T84" s="27">
        <v>40779</v>
      </c>
      <c r="U84" s="25">
        <v>1196152</v>
      </c>
      <c r="V84" s="24" t="s">
        <v>582</v>
      </c>
      <c r="W84" s="24" t="s">
        <v>583</v>
      </c>
      <c r="X84" s="24" t="s">
        <v>584</v>
      </c>
      <c r="Y84" s="24">
        <v>4020</v>
      </c>
      <c r="Z84" s="24">
        <v>204216</v>
      </c>
      <c r="AA84" s="24">
        <v>572010</v>
      </c>
      <c r="AB84" s="24">
        <v>0</v>
      </c>
      <c r="AC84" s="24"/>
      <c r="AD84" s="24"/>
      <c r="AE84" s="24"/>
      <c r="AF84" s="24"/>
    </row>
    <row r="85" spans="1:32" ht="62.4" x14ac:dyDescent="0.3">
      <c r="A85" s="23">
        <v>40756</v>
      </c>
      <c r="B85" s="24" t="s">
        <v>571</v>
      </c>
      <c r="C85" s="24">
        <v>30264</v>
      </c>
      <c r="D85" s="24" t="s">
        <v>585</v>
      </c>
      <c r="E85" s="24" t="s">
        <v>586</v>
      </c>
      <c r="F85" s="24" t="s">
        <v>574</v>
      </c>
      <c r="G85" s="24">
        <v>1237370</v>
      </c>
      <c r="H85" s="25">
        <v>8759.66</v>
      </c>
      <c r="I85" s="26">
        <v>8759.66</v>
      </c>
      <c r="J85" s="24" t="s">
        <v>688</v>
      </c>
      <c r="K85" s="24" t="s">
        <v>605</v>
      </c>
      <c r="L85" s="24" t="s">
        <v>577</v>
      </c>
      <c r="M85" s="24" t="s">
        <v>589</v>
      </c>
      <c r="N85" s="24" t="s">
        <v>590</v>
      </c>
      <c r="O85" s="24">
        <v>232145</v>
      </c>
      <c r="P85" s="25"/>
      <c r="Q85" s="25"/>
      <c r="R85" s="24" t="s">
        <v>689</v>
      </c>
      <c r="S85" s="24" t="s">
        <v>581</v>
      </c>
      <c r="T85" s="27">
        <v>40779</v>
      </c>
      <c r="U85" s="25">
        <v>1196156</v>
      </c>
      <c r="V85" s="24" t="s">
        <v>582</v>
      </c>
      <c r="W85" s="24" t="s">
        <v>583</v>
      </c>
      <c r="X85" s="24" t="s">
        <v>584</v>
      </c>
      <c r="Y85" s="24">
        <v>4020</v>
      </c>
      <c r="Z85" s="24">
        <v>204216</v>
      </c>
      <c r="AA85" s="24">
        <v>572010</v>
      </c>
      <c r="AB85" s="24">
        <v>0</v>
      </c>
      <c r="AC85" s="24"/>
      <c r="AD85" s="24"/>
      <c r="AE85" s="24"/>
      <c r="AF85" s="24"/>
    </row>
    <row r="86" spans="1:32" ht="62.4" x14ac:dyDescent="0.3">
      <c r="A86" s="23">
        <v>40756</v>
      </c>
      <c r="B86" s="24" t="s">
        <v>571</v>
      </c>
      <c r="C86" s="24">
        <v>30264</v>
      </c>
      <c r="D86" s="24" t="s">
        <v>585</v>
      </c>
      <c r="E86" s="24" t="s">
        <v>586</v>
      </c>
      <c r="F86" s="24" t="s">
        <v>574</v>
      </c>
      <c r="G86" s="24">
        <v>1237370</v>
      </c>
      <c r="H86" s="25">
        <v>67210.94</v>
      </c>
      <c r="I86" s="26">
        <v>67210.94</v>
      </c>
      <c r="J86" s="24" t="s">
        <v>688</v>
      </c>
      <c r="K86" s="24" t="s">
        <v>605</v>
      </c>
      <c r="L86" s="24" t="s">
        <v>577</v>
      </c>
      <c r="M86" s="24" t="s">
        <v>589</v>
      </c>
      <c r="N86" s="24" t="s">
        <v>590</v>
      </c>
      <c r="O86" s="24">
        <v>232145</v>
      </c>
      <c r="P86" s="25"/>
      <c r="Q86" s="25"/>
      <c r="R86" s="24" t="s">
        <v>690</v>
      </c>
      <c r="S86" s="24" t="s">
        <v>581</v>
      </c>
      <c r="T86" s="27">
        <v>40779</v>
      </c>
      <c r="U86" s="25">
        <v>1196157</v>
      </c>
      <c r="V86" s="24" t="s">
        <v>582</v>
      </c>
      <c r="W86" s="24" t="s">
        <v>583</v>
      </c>
      <c r="X86" s="24" t="s">
        <v>584</v>
      </c>
      <c r="Y86" s="24">
        <v>4020</v>
      </c>
      <c r="Z86" s="24">
        <v>204216</v>
      </c>
      <c r="AA86" s="24">
        <v>572010</v>
      </c>
      <c r="AB86" s="24">
        <v>0</v>
      </c>
      <c r="AC86" s="24"/>
      <c r="AD86" s="24"/>
      <c r="AE86" s="24"/>
      <c r="AF86" s="24"/>
    </row>
    <row r="87" spans="1:32" ht="62.4" x14ac:dyDescent="0.3">
      <c r="A87" s="23">
        <v>40787</v>
      </c>
      <c r="B87" s="24" t="s">
        <v>571</v>
      </c>
      <c r="C87" s="24">
        <v>30264</v>
      </c>
      <c r="D87" s="24" t="s">
        <v>572</v>
      </c>
      <c r="E87" s="24" t="s">
        <v>573</v>
      </c>
      <c r="F87" s="24" t="s">
        <v>574</v>
      </c>
      <c r="G87" s="24">
        <v>1289623</v>
      </c>
      <c r="H87" s="25">
        <v>4860.54</v>
      </c>
      <c r="I87" s="26">
        <v>4860.54</v>
      </c>
      <c r="J87" s="24" t="s">
        <v>678</v>
      </c>
      <c r="K87" s="24" t="s">
        <v>576</v>
      </c>
      <c r="L87" s="24" t="s">
        <v>633</v>
      </c>
      <c r="M87" s="24" t="s">
        <v>578</v>
      </c>
      <c r="N87" s="24" t="s">
        <v>579</v>
      </c>
      <c r="O87" s="24">
        <v>231976</v>
      </c>
      <c r="P87" s="25"/>
      <c r="Q87" s="25"/>
      <c r="R87" s="24" t="s">
        <v>691</v>
      </c>
      <c r="S87" s="24" t="s">
        <v>581</v>
      </c>
      <c r="T87" s="27">
        <v>40800</v>
      </c>
      <c r="U87" s="25">
        <v>1257665</v>
      </c>
      <c r="V87" s="24" t="s">
        <v>582</v>
      </c>
      <c r="W87" s="24" t="s">
        <v>583</v>
      </c>
      <c r="X87" s="24" t="s">
        <v>584</v>
      </c>
      <c r="Y87" s="24">
        <v>4020</v>
      </c>
      <c r="Z87" s="24">
        <v>204216</v>
      </c>
      <c r="AA87" s="24">
        <v>630120</v>
      </c>
      <c r="AB87" s="24">
        <v>0</v>
      </c>
      <c r="AC87" s="24"/>
      <c r="AD87" s="24"/>
      <c r="AE87" s="24"/>
      <c r="AF87" s="24"/>
    </row>
    <row r="88" spans="1:32" ht="62.4" x14ac:dyDescent="0.3">
      <c r="A88" s="23">
        <v>40787</v>
      </c>
      <c r="B88" s="24" t="s">
        <v>571</v>
      </c>
      <c r="C88" s="24">
        <v>30264</v>
      </c>
      <c r="D88" s="24" t="s">
        <v>572</v>
      </c>
      <c r="E88" s="24" t="s">
        <v>573</v>
      </c>
      <c r="F88" s="24" t="s">
        <v>574</v>
      </c>
      <c r="G88" s="24">
        <v>1303673</v>
      </c>
      <c r="H88" s="25">
        <v>988</v>
      </c>
      <c r="I88" s="25">
        <v>988</v>
      </c>
      <c r="J88" s="24" t="s">
        <v>678</v>
      </c>
      <c r="K88" s="24" t="s">
        <v>576</v>
      </c>
      <c r="L88" s="24" t="s">
        <v>633</v>
      </c>
      <c r="M88" s="24" t="s">
        <v>578</v>
      </c>
      <c r="N88" s="24" t="s">
        <v>579</v>
      </c>
      <c r="O88" s="24">
        <v>231976</v>
      </c>
      <c r="P88" s="25"/>
      <c r="Q88" s="25"/>
      <c r="R88" s="24" t="s">
        <v>692</v>
      </c>
      <c r="S88" s="24" t="s">
        <v>581</v>
      </c>
      <c r="T88" s="27">
        <v>40806</v>
      </c>
      <c r="U88" s="25">
        <v>1274583</v>
      </c>
      <c r="V88" s="24" t="s">
        <v>582</v>
      </c>
      <c r="W88" s="24" t="s">
        <v>583</v>
      </c>
      <c r="X88" s="24" t="s">
        <v>584</v>
      </c>
      <c r="Y88" s="24">
        <v>4020</v>
      </c>
      <c r="Z88" s="24">
        <v>204216</v>
      </c>
      <c r="AA88" s="24">
        <v>630120</v>
      </c>
      <c r="AB88" s="24">
        <v>0</v>
      </c>
      <c r="AC88" s="24"/>
      <c r="AD88" s="24"/>
      <c r="AE88" s="24"/>
      <c r="AF88" s="24"/>
    </row>
    <row r="89" spans="1:32" ht="62.4" x14ac:dyDescent="0.3">
      <c r="A89" s="23">
        <v>40787</v>
      </c>
      <c r="B89" s="24" t="s">
        <v>571</v>
      </c>
      <c r="C89" s="24">
        <v>30264</v>
      </c>
      <c r="D89" s="24" t="s">
        <v>572</v>
      </c>
      <c r="E89" s="24" t="s">
        <v>573</v>
      </c>
      <c r="F89" s="24" t="s">
        <v>574</v>
      </c>
      <c r="G89" s="24">
        <v>1305094</v>
      </c>
      <c r="H89" s="25">
        <v>5136.0200000000004</v>
      </c>
      <c r="I89" s="26">
        <v>5136.0200000000004</v>
      </c>
      <c r="J89" s="24" t="s">
        <v>622</v>
      </c>
      <c r="K89" s="24" t="s">
        <v>576</v>
      </c>
      <c r="L89" s="24" t="s">
        <v>577</v>
      </c>
      <c r="M89" s="24" t="s">
        <v>578</v>
      </c>
      <c r="N89" s="24" t="s">
        <v>579</v>
      </c>
      <c r="O89" s="24">
        <v>218019</v>
      </c>
      <c r="P89" s="25"/>
      <c r="Q89" s="25"/>
      <c r="R89" s="24" t="s">
        <v>693</v>
      </c>
      <c r="S89" s="24" t="s">
        <v>581</v>
      </c>
      <c r="T89" s="27">
        <v>40807</v>
      </c>
      <c r="U89" s="25">
        <v>1277433</v>
      </c>
      <c r="V89" s="24" t="s">
        <v>582</v>
      </c>
      <c r="W89" s="24" t="s">
        <v>583</v>
      </c>
      <c r="X89" s="24" t="s">
        <v>584</v>
      </c>
      <c r="Y89" s="24">
        <v>4020</v>
      </c>
      <c r="Z89" s="24">
        <v>204216</v>
      </c>
      <c r="AA89" s="24">
        <v>630120</v>
      </c>
      <c r="AB89" s="24">
        <v>0</v>
      </c>
      <c r="AC89" s="24"/>
      <c r="AD89" s="24"/>
      <c r="AE89" s="24"/>
      <c r="AF89" s="24"/>
    </row>
    <row r="90" spans="1:32" ht="62.4" x14ac:dyDescent="0.3">
      <c r="A90" s="23">
        <v>40787</v>
      </c>
      <c r="B90" s="24" t="s">
        <v>571</v>
      </c>
      <c r="C90" s="24">
        <v>30264</v>
      </c>
      <c r="D90" s="24" t="s">
        <v>572</v>
      </c>
      <c r="E90" s="24" t="s">
        <v>573</v>
      </c>
      <c r="F90" s="24" t="s">
        <v>574</v>
      </c>
      <c r="G90" s="24">
        <v>1308376</v>
      </c>
      <c r="H90" s="25">
        <v>988</v>
      </c>
      <c r="I90" s="25">
        <v>988</v>
      </c>
      <c r="J90" s="24" t="s">
        <v>678</v>
      </c>
      <c r="K90" s="24" t="s">
        <v>576</v>
      </c>
      <c r="L90" s="24" t="s">
        <v>633</v>
      </c>
      <c r="M90" s="24" t="s">
        <v>578</v>
      </c>
      <c r="N90" s="24" t="s">
        <v>579</v>
      </c>
      <c r="O90" s="24">
        <v>231976</v>
      </c>
      <c r="P90" s="25"/>
      <c r="Q90" s="25"/>
      <c r="R90" s="24" t="s">
        <v>694</v>
      </c>
      <c r="S90" s="24" t="s">
        <v>581</v>
      </c>
      <c r="T90" s="27">
        <v>40808</v>
      </c>
      <c r="U90" s="25">
        <v>1277967</v>
      </c>
      <c r="V90" s="24" t="s">
        <v>582</v>
      </c>
      <c r="W90" s="24" t="s">
        <v>583</v>
      </c>
      <c r="X90" s="24" t="s">
        <v>584</v>
      </c>
      <c r="Y90" s="24">
        <v>4020</v>
      </c>
      <c r="Z90" s="24">
        <v>204216</v>
      </c>
      <c r="AA90" s="24">
        <v>630120</v>
      </c>
      <c r="AB90" s="24">
        <v>0</v>
      </c>
      <c r="AC90" s="24"/>
      <c r="AD90" s="24"/>
      <c r="AE90" s="24"/>
      <c r="AF90" s="24"/>
    </row>
    <row r="91" spans="1:32" ht="72.599999999999994" x14ac:dyDescent="0.3">
      <c r="A91" s="23">
        <v>40787</v>
      </c>
      <c r="B91" s="24" t="s">
        <v>571</v>
      </c>
      <c r="C91" s="24">
        <v>30264</v>
      </c>
      <c r="D91" s="24" t="s">
        <v>625</v>
      </c>
      <c r="E91" s="24" t="s">
        <v>586</v>
      </c>
      <c r="F91" s="24" t="s">
        <v>574</v>
      </c>
      <c r="G91" s="24">
        <v>1257517</v>
      </c>
      <c r="H91" s="25">
        <v>5293.5</v>
      </c>
      <c r="I91" s="26">
        <v>5293.5</v>
      </c>
      <c r="J91" s="24" t="s">
        <v>695</v>
      </c>
      <c r="K91" s="24" t="s">
        <v>627</v>
      </c>
      <c r="L91" s="24" t="s">
        <v>633</v>
      </c>
      <c r="M91" s="24" t="s">
        <v>589</v>
      </c>
      <c r="N91" s="24" t="s">
        <v>628</v>
      </c>
      <c r="O91" s="24">
        <v>232079</v>
      </c>
      <c r="P91" s="25"/>
      <c r="Q91" s="25"/>
      <c r="R91" s="24" t="s">
        <v>696</v>
      </c>
      <c r="S91" s="24" t="s">
        <v>581</v>
      </c>
      <c r="T91" s="27">
        <v>40787</v>
      </c>
      <c r="U91" s="25">
        <v>1217419</v>
      </c>
      <c r="V91" s="24" t="s">
        <v>582</v>
      </c>
      <c r="W91" s="24" t="s">
        <v>583</v>
      </c>
      <c r="X91" s="24" t="s">
        <v>584</v>
      </c>
      <c r="Y91" s="24">
        <v>4020</v>
      </c>
      <c r="Z91" s="24">
        <v>204216</v>
      </c>
      <c r="AA91" s="24">
        <v>572010</v>
      </c>
      <c r="AB91" s="24">
        <v>0</v>
      </c>
      <c r="AC91" s="24"/>
      <c r="AD91" s="24"/>
      <c r="AE91" s="24"/>
      <c r="AF91" s="24"/>
    </row>
    <row r="92" spans="1:32" ht="62.4" x14ac:dyDescent="0.3">
      <c r="A92" s="23">
        <v>40787</v>
      </c>
      <c r="B92" s="24" t="s">
        <v>571</v>
      </c>
      <c r="C92" s="24">
        <v>30264</v>
      </c>
      <c r="D92" s="24" t="s">
        <v>585</v>
      </c>
      <c r="E92" s="24" t="s">
        <v>586</v>
      </c>
      <c r="F92" s="24" t="s">
        <v>574</v>
      </c>
      <c r="G92" s="24">
        <v>1257517</v>
      </c>
      <c r="H92" s="25">
        <v>83073.22</v>
      </c>
      <c r="I92" s="26">
        <v>83073.22</v>
      </c>
      <c r="J92" s="24" t="s">
        <v>688</v>
      </c>
      <c r="K92" s="24" t="s">
        <v>605</v>
      </c>
      <c r="L92" s="24" t="s">
        <v>633</v>
      </c>
      <c r="M92" s="24" t="s">
        <v>589</v>
      </c>
      <c r="N92" s="24" t="s">
        <v>590</v>
      </c>
      <c r="O92" s="24">
        <v>232145</v>
      </c>
      <c r="P92" s="25"/>
      <c r="Q92" s="25"/>
      <c r="R92" s="24" t="s">
        <v>697</v>
      </c>
      <c r="S92" s="24" t="s">
        <v>581</v>
      </c>
      <c r="T92" s="27">
        <v>40787</v>
      </c>
      <c r="U92" s="25">
        <v>1217425</v>
      </c>
      <c r="V92" s="24" t="s">
        <v>582</v>
      </c>
      <c r="W92" s="24" t="s">
        <v>583</v>
      </c>
      <c r="X92" s="24" t="s">
        <v>584</v>
      </c>
      <c r="Y92" s="24">
        <v>4020</v>
      </c>
      <c r="Z92" s="24">
        <v>204216</v>
      </c>
      <c r="AA92" s="24">
        <v>572010</v>
      </c>
      <c r="AB92" s="24">
        <v>0</v>
      </c>
      <c r="AC92" s="24"/>
      <c r="AD92" s="24"/>
      <c r="AE92" s="24"/>
      <c r="AF92" s="24"/>
    </row>
    <row r="93" spans="1:32" ht="62.4" x14ac:dyDescent="0.3">
      <c r="A93" s="23">
        <v>40787</v>
      </c>
      <c r="B93" s="24" t="s">
        <v>571</v>
      </c>
      <c r="C93" s="24">
        <v>30264</v>
      </c>
      <c r="D93" s="24" t="s">
        <v>585</v>
      </c>
      <c r="E93" s="24" t="s">
        <v>586</v>
      </c>
      <c r="F93" s="24" t="s">
        <v>574</v>
      </c>
      <c r="G93" s="24">
        <v>1275036</v>
      </c>
      <c r="H93" s="25">
        <v>2165</v>
      </c>
      <c r="I93" s="26">
        <v>2165</v>
      </c>
      <c r="J93" s="24" t="s">
        <v>698</v>
      </c>
      <c r="K93" s="24" t="s">
        <v>588</v>
      </c>
      <c r="L93" s="24" t="s">
        <v>577</v>
      </c>
      <c r="M93" s="24" t="s">
        <v>589</v>
      </c>
      <c r="N93" s="24" t="s">
        <v>590</v>
      </c>
      <c r="O93" s="24">
        <v>234998</v>
      </c>
      <c r="P93" s="25"/>
      <c r="Q93" s="25"/>
      <c r="R93" s="24" t="s">
        <v>699</v>
      </c>
      <c r="S93" s="24" t="s">
        <v>581</v>
      </c>
      <c r="T93" s="27">
        <v>40794</v>
      </c>
      <c r="U93" s="25">
        <v>1241821</v>
      </c>
      <c r="V93" s="24" t="s">
        <v>582</v>
      </c>
      <c r="W93" s="24" t="s">
        <v>583</v>
      </c>
      <c r="X93" s="24" t="s">
        <v>584</v>
      </c>
      <c r="Y93" s="24">
        <v>4020</v>
      </c>
      <c r="Z93" s="24">
        <v>204216</v>
      </c>
      <c r="AA93" s="24">
        <v>572010</v>
      </c>
      <c r="AB93" s="24">
        <v>0</v>
      </c>
      <c r="AC93" s="24"/>
      <c r="AD93" s="24"/>
      <c r="AE93" s="24"/>
      <c r="AF93" s="24"/>
    </row>
    <row r="94" spans="1:32" ht="62.4" x14ac:dyDescent="0.3">
      <c r="A94" s="23">
        <v>40787</v>
      </c>
      <c r="B94" s="24" t="s">
        <v>571</v>
      </c>
      <c r="C94" s="24">
        <v>30264</v>
      </c>
      <c r="D94" s="24" t="s">
        <v>585</v>
      </c>
      <c r="E94" s="24" t="s">
        <v>586</v>
      </c>
      <c r="F94" s="24" t="s">
        <v>574</v>
      </c>
      <c r="G94" s="24">
        <v>1291260</v>
      </c>
      <c r="H94" s="25">
        <v>2309</v>
      </c>
      <c r="I94" s="26">
        <v>2309</v>
      </c>
      <c r="J94" s="24" t="s">
        <v>680</v>
      </c>
      <c r="K94" s="24" t="s">
        <v>605</v>
      </c>
      <c r="L94" s="24" t="s">
        <v>577</v>
      </c>
      <c r="M94" s="24" t="s">
        <v>589</v>
      </c>
      <c r="N94" s="24" t="s">
        <v>590</v>
      </c>
      <c r="O94" s="24">
        <v>231985</v>
      </c>
      <c r="P94" s="25"/>
      <c r="Q94" s="25"/>
      <c r="R94" s="24" t="s">
        <v>700</v>
      </c>
      <c r="S94" s="24" t="s">
        <v>581</v>
      </c>
      <c r="T94" s="27">
        <v>40801</v>
      </c>
      <c r="U94" s="25">
        <v>1260762</v>
      </c>
      <c r="V94" s="24" t="s">
        <v>582</v>
      </c>
      <c r="W94" s="24" t="s">
        <v>583</v>
      </c>
      <c r="X94" s="24" t="s">
        <v>584</v>
      </c>
      <c r="Y94" s="24">
        <v>4020</v>
      </c>
      <c r="Z94" s="24">
        <v>204216</v>
      </c>
      <c r="AA94" s="24">
        <v>572010</v>
      </c>
      <c r="AB94" s="24">
        <v>0</v>
      </c>
      <c r="AC94" s="24"/>
      <c r="AD94" s="24"/>
      <c r="AE94" s="24"/>
      <c r="AF94" s="24"/>
    </row>
    <row r="95" spans="1:32" ht="62.4" x14ac:dyDescent="0.3">
      <c r="A95" s="23">
        <v>40787</v>
      </c>
      <c r="B95" s="24" t="s">
        <v>571</v>
      </c>
      <c r="C95" s="24">
        <v>30264</v>
      </c>
      <c r="D95" s="24" t="s">
        <v>585</v>
      </c>
      <c r="E95" s="24" t="s">
        <v>586</v>
      </c>
      <c r="F95" s="24" t="s">
        <v>574</v>
      </c>
      <c r="G95" s="24">
        <v>1291260</v>
      </c>
      <c r="H95" s="25">
        <v>5910</v>
      </c>
      <c r="I95" s="26">
        <v>5910</v>
      </c>
      <c r="J95" s="24" t="s">
        <v>684</v>
      </c>
      <c r="K95" s="24" t="s">
        <v>605</v>
      </c>
      <c r="L95" s="24" t="s">
        <v>577</v>
      </c>
      <c r="M95" s="24" t="s">
        <v>589</v>
      </c>
      <c r="N95" s="24" t="s">
        <v>590</v>
      </c>
      <c r="O95" s="24">
        <v>232084</v>
      </c>
      <c r="P95" s="25"/>
      <c r="Q95" s="25"/>
      <c r="R95" s="24" t="s">
        <v>701</v>
      </c>
      <c r="S95" s="24" t="s">
        <v>581</v>
      </c>
      <c r="T95" s="27">
        <v>40801</v>
      </c>
      <c r="U95" s="25">
        <v>1260763</v>
      </c>
      <c r="V95" s="24" t="s">
        <v>582</v>
      </c>
      <c r="W95" s="24" t="s">
        <v>583</v>
      </c>
      <c r="X95" s="24" t="s">
        <v>584</v>
      </c>
      <c r="Y95" s="24">
        <v>4020</v>
      </c>
      <c r="Z95" s="24">
        <v>204216</v>
      </c>
      <c r="AA95" s="24">
        <v>572010</v>
      </c>
      <c r="AB95" s="24">
        <v>0</v>
      </c>
      <c r="AC95" s="24"/>
      <c r="AD95" s="24"/>
      <c r="AE95" s="24"/>
      <c r="AF95" s="24"/>
    </row>
    <row r="96" spans="1:32" ht="62.4" x14ac:dyDescent="0.3">
      <c r="A96" s="23">
        <v>40787</v>
      </c>
      <c r="B96" s="24" t="s">
        <v>571</v>
      </c>
      <c r="C96" s="24">
        <v>30264</v>
      </c>
      <c r="D96" s="24" t="s">
        <v>585</v>
      </c>
      <c r="E96" s="24" t="s">
        <v>586</v>
      </c>
      <c r="F96" s="24" t="s">
        <v>574</v>
      </c>
      <c r="G96" s="24">
        <v>1309857</v>
      </c>
      <c r="H96" s="25">
        <v>680.14</v>
      </c>
      <c r="I96" s="25">
        <v>680.14</v>
      </c>
      <c r="J96" s="24" t="s">
        <v>702</v>
      </c>
      <c r="K96" s="24" t="s">
        <v>703</v>
      </c>
      <c r="L96" s="24" t="s">
        <v>577</v>
      </c>
      <c r="M96" s="24" t="s">
        <v>589</v>
      </c>
      <c r="N96" s="24" t="s">
        <v>590</v>
      </c>
      <c r="O96" s="24">
        <v>236199</v>
      </c>
      <c r="P96" s="25"/>
      <c r="Q96" s="25"/>
      <c r="R96" s="24" t="s">
        <v>704</v>
      </c>
      <c r="S96" s="24" t="s">
        <v>581</v>
      </c>
      <c r="T96" s="27">
        <v>40809</v>
      </c>
      <c r="U96" s="25">
        <v>1282457</v>
      </c>
      <c r="V96" s="24" t="s">
        <v>582</v>
      </c>
      <c r="W96" s="24" t="s">
        <v>583</v>
      </c>
      <c r="X96" s="24" t="s">
        <v>584</v>
      </c>
      <c r="Y96" s="24">
        <v>4020</v>
      </c>
      <c r="Z96" s="24">
        <v>204216</v>
      </c>
      <c r="AA96" s="24">
        <v>572010</v>
      </c>
      <c r="AB96" s="24">
        <v>0</v>
      </c>
      <c r="AC96" s="24"/>
      <c r="AD96" s="24"/>
      <c r="AE96" s="24"/>
      <c r="AF96" s="24"/>
    </row>
    <row r="97" spans="1:32" ht="62.4" x14ac:dyDescent="0.3">
      <c r="A97" s="23">
        <v>40787</v>
      </c>
      <c r="B97" s="24" t="s">
        <v>571</v>
      </c>
      <c r="C97" s="24">
        <v>30264</v>
      </c>
      <c r="D97" s="24" t="s">
        <v>585</v>
      </c>
      <c r="E97" s="24" t="s">
        <v>586</v>
      </c>
      <c r="F97" s="24" t="s">
        <v>574</v>
      </c>
      <c r="G97" s="24">
        <v>1309857</v>
      </c>
      <c r="H97" s="25">
        <v>760.5</v>
      </c>
      <c r="I97" s="25">
        <v>760.5</v>
      </c>
      <c r="J97" s="24" t="s">
        <v>702</v>
      </c>
      <c r="K97" s="24" t="s">
        <v>703</v>
      </c>
      <c r="L97" s="24" t="s">
        <v>577</v>
      </c>
      <c r="M97" s="24" t="s">
        <v>589</v>
      </c>
      <c r="N97" s="24" t="s">
        <v>590</v>
      </c>
      <c r="O97" s="24">
        <v>236199</v>
      </c>
      <c r="P97" s="25"/>
      <c r="Q97" s="25"/>
      <c r="R97" s="24" t="s">
        <v>705</v>
      </c>
      <c r="S97" s="24" t="s">
        <v>581</v>
      </c>
      <c r="T97" s="27">
        <v>40809</v>
      </c>
      <c r="U97" s="25">
        <v>1282458</v>
      </c>
      <c r="V97" s="24" t="s">
        <v>582</v>
      </c>
      <c r="W97" s="24" t="s">
        <v>583</v>
      </c>
      <c r="X97" s="24" t="s">
        <v>584</v>
      </c>
      <c r="Y97" s="24">
        <v>4020</v>
      </c>
      <c r="Z97" s="24">
        <v>204216</v>
      </c>
      <c r="AA97" s="24">
        <v>572010</v>
      </c>
      <c r="AB97" s="24">
        <v>0</v>
      </c>
      <c r="AC97" s="24"/>
      <c r="AD97" s="24"/>
      <c r="AE97" s="24"/>
      <c r="AF97" s="24"/>
    </row>
    <row r="98" spans="1:32" ht="62.4" x14ac:dyDescent="0.3">
      <c r="A98" s="23">
        <v>40787</v>
      </c>
      <c r="B98" s="24" t="s">
        <v>571</v>
      </c>
      <c r="C98" s="24">
        <v>30264</v>
      </c>
      <c r="D98" s="24" t="s">
        <v>585</v>
      </c>
      <c r="E98" s="24" t="s">
        <v>586</v>
      </c>
      <c r="F98" s="24" t="s">
        <v>574</v>
      </c>
      <c r="G98" s="24">
        <v>1309857</v>
      </c>
      <c r="H98" s="25">
        <v>1297.28</v>
      </c>
      <c r="I98" s="26">
        <v>1297.28</v>
      </c>
      <c r="J98" s="24" t="s">
        <v>702</v>
      </c>
      <c r="K98" s="24" t="s">
        <v>703</v>
      </c>
      <c r="L98" s="24" t="s">
        <v>577</v>
      </c>
      <c r="M98" s="24" t="s">
        <v>589</v>
      </c>
      <c r="N98" s="24" t="s">
        <v>590</v>
      </c>
      <c r="O98" s="24">
        <v>236199</v>
      </c>
      <c r="P98" s="25"/>
      <c r="Q98" s="25"/>
      <c r="R98" s="24" t="s">
        <v>706</v>
      </c>
      <c r="S98" s="24" t="s">
        <v>581</v>
      </c>
      <c r="T98" s="27">
        <v>40809</v>
      </c>
      <c r="U98" s="25">
        <v>1282459</v>
      </c>
      <c r="V98" s="24" t="s">
        <v>582</v>
      </c>
      <c r="W98" s="24" t="s">
        <v>583</v>
      </c>
      <c r="X98" s="24" t="s">
        <v>584</v>
      </c>
      <c r="Y98" s="24">
        <v>4020</v>
      </c>
      <c r="Z98" s="24">
        <v>204216</v>
      </c>
      <c r="AA98" s="24">
        <v>572010</v>
      </c>
      <c r="AB98" s="24">
        <v>0</v>
      </c>
      <c r="AC98" s="24"/>
      <c r="AD98" s="24"/>
      <c r="AE98" s="24"/>
      <c r="AF98" s="24"/>
    </row>
    <row r="99" spans="1:32" ht="62.4" x14ac:dyDescent="0.3">
      <c r="A99" s="23">
        <v>40787</v>
      </c>
      <c r="B99" s="24" t="s">
        <v>571</v>
      </c>
      <c r="C99" s="24">
        <v>30264</v>
      </c>
      <c r="D99" s="24" t="s">
        <v>585</v>
      </c>
      <c r="E99" s="24" t="s">
        <v>586</v>
      </c>
      <c r="F99" s="24" t="s">
        <v>574</v>
      </c>
      <c r="G99" s="24">
        <v>1309857</v>
      </c>
      <c r="H99" s="25">
        <v>1029.1400000000001</v>
      </c>
      <c r="I99" s="26">
        <v>1029.1400000000001</v>
      </c>
      <c r="J99" s="24" t="s">
        <v>702</v>
      </c>
      <c r="K99" s="24" t="s">
        <v>703</v>
      </c>
      <c r="L99" s="24" t="s">
        <v>577</v>
      </c>
      <c r="M99" s="24" t="s">
        <v>589</v>
      </c>
      <c r="N99" s="24" t="s">
        <v>590</v>
      </c>
      <c r="O99" s="24">
        <v>236199</v>
      </c>
      <c r="P99" s="25"/>
      <c r="Q99" s="25"/>
      <c r="R99" s="24" t="s">
        <v>707</v>
      </c>
      <c r="S99" s="24" t="s">
        <v>581</v>
      </c>
      <c r="T99" s="27">
        <v>40809</v>
      </c>
      <c r="U99" s="25">
        <v>1282460</v>
      </c>
      <c r="V99" s="24" t="s">
        <v>582</v>
      </c>
      <c r="W99" s="24" t="s">
        <v>583</v>
      </c>
      <c r="X99" s="24" t="s">
        <v>584</v>
      </c>
      <c r="Y99" s="24">
        <v>4020</v>
      </c>
      <c r="Z99" s="24">
        <v>204216</v>
      </c>
      <c r="AA99" s="24">
        <v>572010</v>
      </c>
      <c r="AB99" s="24">
        <v>0</v>
      </c>
      <c r="AC99" s="24"/>
      <c r="AD99" s="24"/>
      <c r="AE99" s="24"/>
      <c r="AF99" s="24"/>
    </row>
    <row r="100" spans="1:32" ht="62.4" x14ac:dyDescent="0.3">
      <c r="A100" s="23">
        <v>40787</v>
      </c>
      <c r="B100" s="24" t="s">
        <v>571</v>
      </c>
      <c r="C100" s="24">
        <v>30264</v>
      </c>
      <c r="D100" s="24" t="s">
        <v>585</v>
      </c>
      <c r="E100" s="24" t="s">
        <v>586</v>
      </c>
      <c r="F100" s="24" t="s">
        <v>574</v>
      </c>
      <c r="G100" s="24">
        <v>1309857</v>
      </c>
      <c r="H100" s="25">
        <v>741.14</v>
      </c>
      <c r="I100" s="25">
        <v>741.14</v>
      </c>
      <c r="J100" s="24" t="s">
        <v>702</v>
      </c>
      <c r="K100" s="24" t="s">
        <v>703</v>
      </c>
      <c r="L100" s="24" t="s">
        <v>577</v>
      </c>
      <c r="M100" s="24" t="s">
        <v>589</v>
      </c>
      <c r="N100" s="24" t="s">
        <v>590</v>
      </c>
      <c r="O100" s="24">
        <v>236199</v>
      </c>
      <c r="P100" s="25"/>
      <c r="Q100" s="25"/>
      <c r="R100" s="24" t="s">
        <v>708</v>
      </c>
      <c r="S100" s="24" t="s">
        <v>581</v>
      </c>
      <c r="T100" s="27">
        <v>40809</v>
      </c>
      <c r="U100" s="25">
        <v>1282461</v>
      </c>
      <c r="V100" s="24" t="s">
        <v>582</v>
      </c>
      <c r="W100" s="24" t="s">
        <v>583</v>
      </c>
      <c r="X100" s="24" t="s">
        <v>584</v>
      </c>
      <c r="Y100" s="24">
        <v>4020</v>
      </c>
      <c r="Z100" s="24">
        <v>204216</v>
      </c>
      <c r="AA100" s="24">
        <v>572010</v>
      </c>
      <c r="AB100" s="24">
        <v>0</v>
      </c>
      <c r="AC100" s="24"/>
      <c r="AD100" s="24"/>
      <c r="AE100" s="24"/>
      <c r="AF100" s="24"/>
    </row>
    <row r="101" spans="1:32" ht="62.4" x14ac:dyDescent="0.3">
      <c r="A101" s="23">
        <v>40787</v>
      </c>
      <c r="B101" s="24" t="s">
        <v>571</v>
      </c>
      <c r="C101" s="24">
        <v>30264</v>
      </c>
      <c r="D101" s="24" t="s">
        <v>585</v>
      </c>
      <c r="E101" s="24" t="s">
        <v>586</v>
      </c>
      <c r="F101" s="24" t="s">
        <v>574</v>
      </c>
      <c r="G101" s="24">
        <v>1309857</v>
      </c>
      <c r="H101" s="25">
        <v>1060.6400000000001</v>
      </c>
      <c r="I101" s="26">
        <v>1060.6400000000001</v>
      </c>
      <c r="J101" s="24" t="s">
        <v>702</v>
      </c>
      <c r="K101" s="24" t="s">
        <v>703</v>
      </c>
      <c r="L101" s="24" t="s">
        <v>577</v>
      </c>
      <c r="M101" s="24" t="s">
        <v>589</v>
      </c>
      <c r="N101" s="24" t="s">
        <v>590</v>
      </c>
      <c r="O101" s="24">
        <v>236199</v>
      </c>
      <c r="P101" s="25"/>
      <c r="Q101" s="25"/>
      <c r="R101" s="24" t="s">
        <v>709</v>
      </c>
      <c r="S101" s="24" t="s">
        <v>581</v>
      </c>
      <c r="T101" s="27">
        <v>40809</v>
      </c>
      <c r="U101" s="25">
        <v>1282462</v>
      </c>
      <c r="V101" s="24" t="s">
        <v>582</v>
      </c>
      <c r="W101" s="24" t="s">
        <v>583</v>
      </c>
      <c r="X101" s="24" t="s">
        <v>584</v>
      </c>
      <c r="Y101" s="24">
        <v>4020</v>
      </c>
      <c r="Z101" s="24">
        <v>204216</v>
      </c>
      <c r="AA101" s="24">
        <v>572010</v>
      </c>
      <c r="AB101" s="24">
        <v>0</v>
      </c>
      <c r="AC101" s="24"/>
      <c r="AD101" s="24"/>
      <c r="AE101" s="24"/>
      <c r="AF101" s="24"/>
    </row>
    <row r="102" spans="1:32" ht="72.599999999999994" x14ac:dyDescent="0.3">
      <c r="A102" s="23">
        <v>40817</v>
      </c>
      <c r="B102" s="24" t="s">
        <v>571</v>
      </c>
      <c r="C102" s="24">
        <v>30264</v>
      </c>
      <c r="D102" s="24" t="s">
        <v>625</v>
      </c>
      <c r="E102" s="24" t="s">
        <v>586</v>
      </c>
      <c r="F102" s="24" t="s">
        <v>574</v>
      </c>
      <c r="G102" s="24">
        <v>1375787</v>
      </c>
      <c r="H102" s="25">
        <v>10520</v>
      </c>
      <c r="I102" s="26">
        <v>10520</v>
      </c>
      <c r="J102" s="24" t="s">
        <v>695</v>
      </c>
      <c r="K102" s="24" t="s">
        <v>627</v>
      </c>
      <c r="L102" s="24" t="s">
        <v>577</v>
      </c>
      <c r="M102" s="24" t="s">
        <v>589</v>
      </c>
      <c r="N102" s="24" t="s">
        <v>628</v>
      </c>
      <c r="O102" s="24">
        <v>232079</v>
      </c>
      <c r="P102" s="25"/>
      <c r="Q102" s="25"/>
      <c r="R102" s="24" t="s">
        <v>615</v>
      </c>
      <c r="S102" s="24" t="s">
        <v>581</v>
      </c>
      <c r="T102" s="27">
        <v>40835</v>
      </c>
      <c r="U102" s="25">
        <v>1366885</v>
      </c>
      <c r="V102" s="24" t="s">
        <v>582</v>
      </c>
      <c r="W102" s="24" t="s">
        <v>583</v>
      </c>
      <c r="X102" s="24" t="s">
        <v>584</v>
      </c>
      <c r="Y102" s="24">
        <v>4020</v>
      </c>
      <c r="Z102" s="24">
        <v>204216</v>
      </c>
      <c r="AA102" s="24">
        <v>572010</v>
      </c>
      <c r="AB102" s="24">
        <v>0</v>
      </c>
      <c r="AC102" s="24"/>
      <c r="AD102" s="24"/>
      <c r="AE102" s="24"/>
      <c r="AF102" s="24"/>
    </row>
    <row r="103" spans="1:32" ht="72.599999999999994" x14ac:dyDescent="0.3">
      <c r="A103" s="23">
        <v>40817</v>
      </c>
      <c r="B103" s="24" t="s">
        <v>571</v>
      </c>
      <c r="C103" s="24">
        <v>30264</v>
      </c>
      <c r="D103" s="24" t="s">
        <v>625</v>
      </c>
      <c r="E103" s="24" t="s">
        <v>586</v>
      </c>
      <c r="F103" s="24" t="s">
        <v>574</v>
      </c>
      <c r="G103" s="24">
        <v>1392660</v>
      </c>
      <c r="H103" s="25">
        <v>10520</v>
      </c>
      <c r="I103" s="26">
        <v>10520</v>
      </c>
      <c r="J103" s="24" t="s">
        <v>695</v>
      </c>
      <c r="K103" s="24" t="s">
        <v>627</v>
      </c>
      <c r="L103" s="24" t="s">
        <v>577</v>
      </c>
      <c r="M103" s="24" t="s">
        <v>589</v>
      </c>
      <c r="N103" s="24" t="s">
        <v>628</v>
      </c>
      <c r="O103" s="24">
        <v>232079</v>
      </c>
      <c r="P103" s="25"/>
      <c r="Q103" s="25"/>
      <c r="R103" s="24" t="s">
        <v>710</v>
      </c>
      <c r="S103" s="24" t="s">
        <v>581</v>
      </c>
      <c r="T103" s="27">
        <v>40842</v>
      </c>
      <c r="U103" s="25">
        <v>1386136</v>
      </c>
      <c r="V103" s="24" t="s">
        <v>582</v>
      </c>
      <c r="W103" s="24" t="s">
        <v>583</v>
      </c>
      <c r="X103" s="24" t="s">
        <v>584</v>
      </c>
      <c r="Y103" s="24">
        <v>4020</v>
      </c>
      <c r="Z103" s="24">
        <v>204216</v>
      </c>
      <c r="AA103" s="24">
        <v>572010</v>
      </c>
      <c r="AB103" s="24">
        <v>0</v>
      </c>
      <c r="AC103" s="24"/>
      <c r="AD103" s="24"/>
      <c r="AE103" s="24"/>
      <c r="AF103" s="24"/>
    </row>
    <row r="104" spans="1:32" ht="72.599999999999994" x14ac:dyDescent="0.3">
      <c r="A104" s="23">
        <v>40817</v>
      </c>
      <c r="B104" s="24" t="s">
        <v>571</v>
      </c>
      <c r="C104" s="24">
        <v>30264</v>
      </c>
      <c r="D104" s="24" t="s">
        <v>625</v>
      </c>
      <c r="E104" s="24" t="s">
        <v>586</v>
      </c>
      <c r="F104" s="24" t="s">
        <v>574</v>
      </c>
      <c r="G104" s="24">
        <v>1392660</v>
      </c>
      <c r="H104" s="25">
        <v>7315</v>
      </c>
      <c r="I104" s="26">
        <v>7315</v>
      </c>
      <c r="J104" s="24" t="s">
        <v>695</v>
      </c>
      <c r="K104" s="24" t="s">
        <v>627</v>
      </c>
      <c r="L104" s="24" t="s">
        <v>577</v>
      </c>
      <c r="M104" s="24" t="s">
        <v>589</v>
      </c>
      <c r="N104" s="24" t="s">
        <v>628</v>
      </c>
      <c r="O104" s="24">
        <v>232079</v>
      </c>
      <c r="P104" s="25"/>
      <c r="Q104" s="25"/>
      <c r="R104" s="24" t="s">
        <v>711</v>
      </c>
      <c r="S104" s="24" t="s">
        <v>581</v>
      </c>
      <c r="T104" s="27">
        <v>40842</v>
      </c>
      <c r="U104" s="25">
        <v>1386137</v>
      </c>
      <c r="V104" s="24" t="s">
        <v>582</v>
      </c>
      <c r="W104" s="24" t="s">
        <v>583</v>
      </c>
      <c r="X104" s="24" t="s">
        <v>584</v>
      </c>
      <c r="Y104" s="24">
        <v>4020</v>
      </c>
      <c r="Z104" s="24">
        <v>204216</v>
      </c>
      <c r="AA104" s="24">
        <v>572010</v>
      </c>
      <c r="AB104" s="24">
        <v>0</v>
      </c>
      <c r="AC104" s="24"/>
      <c r="AD104" s="24"/>
      <c r="AE104" s="24"/>
      <c r="AF104" s="24"/>
    </row>
    <row r="105" spans="1:32" ht="62.4" x14ac:dyDescent="0.3">
      <c r="A105" s="23">
        <v>40817</v>
      </c>
      <c r="B105" s="24" t="s">
        <v>571</v>
      </c>
      <c r="C105" s="24">
        <v>30264</v>
      </c>
      <c r="D105" s="24" t="s">
        <v>585</v>
      </c>
      <c r="E105" s="24" t="s">
        <v>586</v>
      </c>
      <c r="F105" s="24" t="s">
        <v>574</v>
      </c>
      <c r="G105" s="24">
        <v>1333211</v>
      </c>
      <c r="H105" s="25">
        <v>62493.27</v>
      </c>
      <c r="I105" s="26">
        <v>62493.27</v>
      </c>
      <c r="J105" s="24" t="s">
        <v>688</v>
      </c>
      <c r="K105" s="24" t="s">
        <v>605</v>
      </c>
      <c r="L105" s="24" t="s">
        <v>577</v>
      </c>
      <c r="M105" s="24" t="s">
        <v>589</v>
      </c>
      <c r="N105" s="24" t="s">
        <v>590</v>
      </c>
      <c r="O105" s="24">
        <v>232145</v>
      </c>
      <c r="P105" s="25"/>
      <c r="Q105" s="25"/>
      <c r="R105" s="24" t="s">
        <v>712</v>
      </c>
      <c r="S105" s="24" t="s">
        <v>581</v>
      </c>
      <c r="T105" s="27">
        <v>40819</v>
      </c>
      <c r="U105" s="25">
        <v>1309614</v>
      </c>
      <c r="V105" s="24" t="s">
        <v>582</v>
      </c>
      <c r="W105" s="24" t="s">
        <v>583</v>
      </c>
      <c r="X105" s="24" t="s">
        <v>584</v>
      </c>
      <c r="Y105" s="24">
        <v>4020</v>
      </c>
      <c r="Z105" s="24">
        <v>204216</v>
      </c>
      <c r="AA105" s="24">
        <v>572010</v>
      </c>
      <c r="AB105" s="24">
        <v>0</v>
      </c>
      <c r="AC105" s="24"/>
      <c r="AD105" s="24"/>
      <c r="AE105" s="24"/>
      <c r="AF105" s="24"/>
    </row>
    <row r="106" spans="1:32" ht="62.4" x14ac:dyDescent="0.3">
      <c r="A106" s="23">
        <v>40817</v>
      </c>
      <c r="B106" s="24" t="s">
        <v>571</v>
      </c>
      <c r="C106" s="24">
        <v>30264</v>
      </c>
      <c r="D106" s="24" t="s">
        <v>585</v>
      </c>
      <c r="E106" s="24" t="s">
        <v>586</v>
      </c>
      <c r="F106" s="24" t="s">
        <v>574</v>
      </c>
      <c r="G106" s="24">
        <v>1346537</v>
      </c>
      <c r="H106" s="25">
        <v>7320</v>
      </c>
      <c r="I106" s="26">
        <v>7320</v>
      </c>
      <c r="J106" s="24" t="s">
        <v>713</v>
      </c>
      <c r="K106" s="24" t="s">
        <v>588</v>
      </c>
      <c r="L106" s="24" t="s">
        <v>633</v>
      </c>
      <c r="M106" s="24" t="s">
        <v>589</v>
      </c>
      <c r="N106" s="24" t="s">
        <v>590</v>
      </c>
      <c r="O106" s="24">
        <v>237443</v>
      </c>
      <c r="P106" s="25"/>
      <c r="Q106" s="25"/>
      <c r="R106" s="24" t="s">
        <v>714</v>
      </c>
      <c r="S106" s="24" t="s">
        <v>581</v>
      </c>
      <c r="T106" s="27">
        <v>40822</v>
      </c>
      <c r="U106" s="25">
        <v>1329646</v>
      </c>
      <c r="V106" s="24" t="s">
        <v>582</v>
      </c>
      <c r="W106" s="24" t="s">
        <v>583</v>
      </c>
      <c r="X106" s="24" t="s">
        <v>584</v>
      </c>
      <c r="Y106" s="24">
        <v>4020</v>
      </c>
      <c r="Z106" s="24">
        <v>204216</v>
      </c>
      <c r="AA106" s="24">
        <v>572010</v>
      </c>
      <c r="AB106" s="24">
        <v>0</v>
      </c>
      <c r="AC106" s="24"/>
      <c r="AD106" s="24"/>
      <c r="AE106" s="24"/>
      <c r="AF106" s="24"/>
    </row>
    <row r="107" spans="1:32" ht="62.4" x14ac:dyDescent="0.3">
      <c r="A107" s="23">
        <v>40817</v>
      </c>
      <c r="B107" s="24" t="s">
        <v>571</v>
      </c>
      <c r="C107" s="24">
        <v>30264</v>
      </c>
      <c r="D107" s="24" t="s">
        <v>585</v>
      </c>
      <c r="E107" s="24" t="s">
        <v>586</v>
      </c>
      <c r="F107" s="24" t="s">
        <v>574</v>
      </c>
      <c r="G107" s="24">
        <v>1375787</v>
      </c>
      <c r="H107" s="25">
        <v>2309</v>
      </c>
      <c r="I107" s="26">
        <v>2309</v>
      </c>
      <c r="J107" s="24" t="s">
        <v>680</v>
      </c>
      <c r="K107" s="24" t="s">
        <v>605</v>
      </c>
      <c r="L107" s="24" t="s">
        <v>577</v>
      </c>
      <c r="M107" s="24" t="s">
        <v>589</v>
      </c>
      <c r="N107" s="24" t="s">
        <v>590</v>
      </c>
      <c r="O107" s="24">
        <v>231985</v>
      </c>
      <c r="P107" s="25"/>
      <c r="Q107" s="25"/>
      <c r="R107" s="24" t="s">
        <v>615</v>
      </c>
      <c r="S107" s="24" t="s">
        <v>581</v>
      </c>
      <c r="T107" s="27">
        <v>40835</v>
      </c>
      <c r="U107" s="25">
        <v>1366884</v>
      </c>
      <c r="V107" s="24" t="s">
        <v>582</v>
      </c>
      <c r="W107" s="24" t="s">
        <v>583</v>
      </c>
      <c r="X107" s="24" t="s">
        <v>584</v>
      </c>
      <c r="Y107" s="24">
        <v>4020</v>
      </c>
      <c r="Z107" s="24">
        <v>204216</v>
      </c>
      <c r="AA107" s="24">
        <v>572010</v>
      </c>
      <c r="AB107" s="24">
        <v>0</v>
      </c>
      <c r="AC107" s="24"/>
      <c r="AD107" s="24"/>
      <c r="AE107" s="24"/>
      <c r="AF107" s="24"/>
    </row>
    <row r="108" spans="1:32" ht="62.4" x14ac:dyDescent="0.3">
      <c r="A108" s="23">
        <v>40817</v>
      </c>
      <c r="B108" s="24" t="s">
        <v>571</v>
      </c>
      <c r="C108" s="24">
        <v>30264</v>
      </c>
      <c r="D108" s="24" t="s">
        <v>585</v>
      </c>
      <c r="E108" s="24" t="s">
        <v>586</v>
      </c>
      <c r="F108" s="24" t="s">
        <v>574</v>
      </c>
      <c r="G108" s="24">
        <v>1375787</v>
      </c>
      <c r="H108" s="25">
        <v>5910</v>
      </c>
      <c r="I108" s="26">
        <v>5910</v>
      </c>
      <c r="J108" s="24" t="s">
        <v>684</v>
      </c>
      <c r="K108" s="24" t="s">
        <v>605</v>
      </c>
      <c r="L108" s="24" t="s">
        <v>577</v>
      </c>
      <c r="M108" s="24" t="s">
        <v>589</v>
      </c>
      <c r="N108" s="24" t="s">
        <v>590</v>
      </c>
      <c r="O108" s="24">
        <v>232084</v>
      </c>
      <c r="P108" s="25"/>
      <c r="Q108" s="25"/>
      <c r="R108" s="24" t="s">
        <v>615</v>
      </c>
      <c r="S108" s="24" t="s">
        <v>581</v>
      </c>
      <c r="T108" s="27">
        <v>40835</v>
      </c>
      <c r="U108" s="25">
        <v>1366888</v>
      </c>
      <c r="V108" s="24" t="s">
        <v>582</v>
      </c>
      <c r="W108" s="24" t="s">
        <v>583</v>
      </c>
      <c r="X108" s="24" t="s">
        <v>584</v>
      </c>
      <c r="Y108" s="24">
        <v>4020</v>
      </c>
      <c r="Z108" s="24">
        <v>204216</v>
      </c>
      <c r="AA108" s="24">
        <v>572010</v>
      </c>
      <c r="AB108" s="24">
        <v>0</v>
      </c>
      <c r="AC108" s="24"/>
      <c r="AD108" s="24"/>
      <c r="AE108" s="24"/>
      <c r="AF108" s="24"/>
    </row>
    <row r="109" spans="1:32" ht="62.4" x14ac:dyDescent="0.3">
      <c r="A109" s="23">
        <v>40817</v>
      </c>
      <c r="B109" s="24" t="s">
        <v>571</v>
      </c>
      <c r="C109" s="24">
        <v>30264</v>
      </c>
      <c r="D109" s="24" t="s">
        <v>585</v>
      </c>
      <c r="E109" s="24" t="s">
        <v>586</v>
      </c>
      <c r="F109" s="24" t="s">
        <v>574</v>
      </c>
      <c r="G109" s="24">
        <v>1404703</v>
      </c>
      <c r="H109" s="25">
        <v>1995</v>
      </c>
      <c r="I109" s="26">
        <v>1995</v>
      </c>
      <c r="J109" s="24" t="s">
        <v>662</v>
      </c>
      <c r="K109" s="24" t="s">
        <v>663</v>
      </c>
      <c r="L109" s="24" t="s">
        <v>577</v>
      </c>
      <c r="M109" s="24" t="s">
        <v>589</v>
      </c>
      <c r="N109" s="24" t="s">
        <v>590</v>
      </c>
      <c r="O109" s="24">
        <v>222399</v>
      </c>
      <c r="P109" s="25"/>
      <c r="Q109" s="25"/>
      <c r="R109" s="24"/>
      <c r="S109" s="24" t="s">
        <v>581</v>
      </c>
      <c r="T109" s="27">
        <v>40847</v>
      </c>
      <c r="U109" s="25">
        <v>1393109</v>
      </c>
      <c r="V109" s="24" t="s">
        <v>582</v>
      </c>
      <c r="W109" s="24" t="s">
        <v>583</v>
      </c>
      <c r="X109" s="24" t="s">
        <v>584</v>
      </c>
      <c r="Y109" s="24">
        <v>4020</v>
      </c>
      <c r="Z109" s="24">
        <v>204216</v>
      </c>
      <c r="AA109" s="24">
        <v>572010</v>
      </c>
      <c r="AB109" s="24">
        <v>0</v>
      </c>
      <c r="AC109" s="24"/>
      <c r="AD109" s="24"/>
      <c r="AE109" s="24"/>
      <c r="AF109" s="24"/>
    </row>
    <row r="110" spans="1:32" ht="62.4" x14ac:dyDescent="0.3">
      <c r="A110" s="23">
        <v>40848</v>
      </c>
      <c r="B110" s="24" t="s">
        <v>571</v>
      </c>
      <c r="C110" s="24">
        <v>30264</v>
      </c>
      <c r="D110" s="24" t="s">
        <v>585</v>
      </c>
      <c r="E110" s="24" t="s">
        <v>586</v>
      </c>
      <c r="F110" s="24" t="s">
        <v>574</v>
      </c>
      <c r="G110" s="24">
        <v>1413648</v>
      </c>
      <c r="H110" s="25">
        <v>7557</v>
      </c>
      <c r="I110" s="26">
        <v>7557</v>
      </c>
      <c r="J110" s="24" t="s">
        <v>715</v>
      </c>
      <c r="K110" s="24" t="s">
        <v>655</v>
      </c>
      <c r="L110" s="24" t="s">
        <v>633</v>
      </c>
      <c r="M110" s="24" t="s">
        <v>589</v>
      </c>
      <c r="N110" s="24" t="s">
        <v>590</v>
      </c>
      <c r="O110" s="24">
        <v>219907</v>
      </c>
      <c r="P110" s="25"/>
      <c r="Q110" s="25"/>
      <c r="R110" s="24" t="s">
        <v>716</v>
      </c>
      <c r="S110" s="24" t="s">
        <v>581</v>
      </c>
      <c r="T110" s="27">
        <v>40849</v>
      </c>
      <c r="U110" s="25">
        <v>1408656</v>
      </c>
      <c r="V110" s="24" t="s">
        <v>582</v>
      </c>
      <c r="W110" s="24" t="s">
        <v>583</v>
      </c>
      <c r="X110" s="24" t="s">
        <v>584</v>
      </c>
      <c r="Y110" s="24">
        <v>4020</v>
      </c>
      <c r="Z110" s="24">
        <v>204216</v>
      </c>
      <c r="AA110" s="24">
        <v>572010</v>
      </c>
      <c r="AB110" s="24">
        <v>0</v>
      </c>
      <c r="AC110" s="24"/>
      <c r="AD110" s="24"/>
      <c r="AE110" s="24"/>
      <c r="AF110" s="24"/>
    </row>
    <row r="111" spans="1:32" ht="62.4" x14ac:dyDescent="0.3">
      <c r="A111" s="23">
        <v>40848</v>
      </c>
      <c r="B111" s="24" t="s">
        <v>571</v>
      </c>
      <c r="C111" s="24">
        <v>30264</v>
      </c>
      <c r="D111" s="24" t="s">
        <v>585</v>
      </c>
      <c r="E111" s="24" t="s">
        <v>586</v>
      </c>
      <c r="F111" s="24" t="s">
        <v>574</v>
      </c>
      <c r="G111" s="24">
        <v>1413648</v>
      </c>
      <c r="H111" s="25">
        <v>1950</v>
      </c>
      <c r="I111" s="26">
        <v>1950</v>
      </c>
      <c r="J111" s="24" t="s">
        <v>717</v>
      </c>
      <c r="K111" s="24" t="s">
        <v>674</v>
      </c>
      <c r="L111" s="24" t="s">
        <v>633</v>
      </c>
      <c r="M111" s="24" t="s">
        <v>589</v>
      </c>
      <c r="N111" s="24" t="s">
        <v>590</v>
      </c>
      <c r="O111" s="24">
        <v>237582</v>
      </c>
      <c r="P111" s="25"/>
      <c r="Q111" s="25"/>
      <c r="R111" s="24" t="s">
        <v>718</v>
      </c>
      <c r="S111" s="24" t="s">
        <v>581</v>
      </c>
      <c r="T111" s="27">
        <v>40849</v>
      </c>
      <c r="U111" s="25">
        <v>1408860</v>
      </c>
      <c r="V111" s="24" t="s">
        <v>582</v>
      </c>
      <c r="W111" s="24" t="s">
        <v>583</v>
      </c>
      <c r="X111" s="24" t="s">
        <v>584</v>
      </c>
      <c r="Y111" s="24">
        <v>4020</v>
      </c>
      <c r="Z111" s="24">
        <v>204216</v>
      </c>
      <c r="AA111" s="24">
        <v>572010</v>
      </c>
      <c r="AB111" s="24">
        <v>0</v>
      </c>
      <c r="AC111" s="24"/>
      <c r="AD111" s="24"/>
      <c r="AE111" s="24"/>
      <c r="AF111" s="24"/>
    </row>
    <row r="112" spans="1:32" ht="62.4" x14ac:dyDescent="0.3">
      <c r="A112" s="23">
        <v>40848</v>
      </c>
      <c r="B112" s="24" t="s">
        <v>571</v>
      </c>
      <c r="C112" s="24">
        <v>30264</v>
      </c>
      <c r="D112" s="24" t="s">
        <v>585</v>
      </c>
      <c r="E112" s="24" t="s">
        <v>586</v>
      </c>
      <c r="F112" s="24" t="s">
        <v>574</v>
      </c>
      <c r="G112" s="24">
        <v>1417618</v>
      </c>
      <c r="H112" s="25">
        <v>56993.59</v>
      </c>
      <c r="I112" s="26">
        <v>56993.59</v>
      </c>
      <c r="J112" s="24" t="s">
        <v>688</v>
      </c>
      <c r="K112" s="24" t="s">
        <v>605</v>
      </c>
      <c r="L112" s="24" t="s">
        <v>577</v>
      </c>
      <c r="M112" s="24" t="s">
        <v>589</v>
      </c>
      <c r="N112" s="24" t="s">
        <v>590</v>
      </c>
      <c r="O112" s="24">
        <v>232145</v>
      </c>
      <c r="P112" s="25"/>
      <c r="Q112" s="25"/>
      <c r="R112" s="24" t="s">
        <v>719</v>
      </c>
      <c r="S112" s="24" t="s">
        <v>581</v>
      </c>
      <c r="T112" s="27">
        <v>40851</v>
      </c>
      <c r="U112" s="25">
        <v>1419478</v>
      </c>
      <c r="V112" s="24" t="s">
        <v>582</v>
      </c>
      <c r="W112" s="24" t="s">
        <v>583</v>
      </c>
      <c r="X112" s="24" t="s">
        <v>584</v>
      </c>
      <c r="Y112" s="24">
        <v>4020</v>
      </c>
      <c r="Z112" s="24">
        <v>204216</v>
      </c>
      <c r="AA112" s="24">
        <v>572010</v>
      </c>
      <c r="AB112" s="24">
        <v>0</v>
      </c>
      <c r="AC112" s="24"/>
      <c r="AD112" s="24"/>
      <c r="AE112" s="24"/>
      <c r="AF112" s="24"/>
    </row>
    <row r="113" spans="1:32" ht="62.4" x14ac:dyDescent="0.3">
      <c r="A113" s="23">
        <v>40848</v>
      </c>
      <c r="B113" s="24" t="s">
        <v>571</v>
      </c>
      <c r="C113" s="24">
        <v>30264</v>
      </c>
      <c r="D113" s="24" t="s">
        <v>585</v>
      </c>
      <c r="E113" s="24" t="s">
        <v>586</v>
      </c>
      <c r="F113" s="24" t="s">
        <v>574</v>
      </c>
      <c r="G113" s="24">
        <v>1424430</v>
      </c>
      <c r="H113" s="25">
        <v>860</v>
      </c>
      <c r="I113" s="25">
        <v>860</v>
      </c>
      <c r="J113" s="24" t="s">
        <v>720</v>
      </c>
      <c r="K113" s="24" t="s">
        <v>721</v>
      </c>
      <c r="L113" s="24" t="s">
        <v>577</v>
      </c>
      <c r="M113" s="24" t="s">
        <v>589</v>
      </c>
      <c r="N113" s="24" t="s">
        <v>590</v>
      </c>
      <c r="O113" s="24">
        <v>239975</v>
      </c>
      <c r="P113" s="25"/>
      <c r="Q113" s="25"/>
      <c r="R113" s="24" t="s">
        <v>722</v>
      </c>
      <c r="S113" s="24" t="s">
        <v>581</v>
      </c>
      <c r="T113" s="27">
        <v>40854</v>
      </c>
      <c r="U113" s="25">
        <v>1421226</v>
      </c>
      <c r="V113" s="24" t="s">
        <v>582</v>
      </c>
      <c r="W113" s="24" t="s">
        <v>583</v>
      </c>
      <c r="X113" s="24" t="s">
        <v>584</v>
      </c>
      <c r="Y113" s="24">
        <v>4020</v>
      </c>
      <c r="Z113" s="24">
        <v>204216</v>
      </c>
      <c r="AA113" s="24">
        <v>572010</v>
      </c>
      <c r="AB113" s="24">
        <v>0</v>
      </c>
      <c r="AC113" s="24"/>
      <c r="AD113" s="24"/>
      <c r="AE113" s="24"/>
      <c r="AF113" s="24"/>
    </row>
    <row r="114" spans="1:32" ht="62.4" x14ac:dyDescent="0.3">
      <c r="A114" s="23">
        <v>40848</v>
      </c>
      <c r="B114" s="24" t="s">
        <v>571</v>
      </c>
      <c r="C114" s="24">
        <v>30264</v>
      </c>
      <c r="D114" s="24" t="s">
        <v>585</v>
      </c>
      <c r="E114" s="24" t="s">
        <v>586</v>
      </c>
      <c r="F114" s="24" t="s">
        <v>574</v>
      </c>
      <c r="G114" s="24">
        <v>1432881</v>
      </c>
      <c r="H114" s="25">
        <v>41.91</v>
      </c>
      <c r="I114" s="25">
        <v>41.91</v>
      </c>
      <c r="J114" s="24" t="s">
        <v>723</v>
      </c>
      <c r="K114" s="24" t="s">
        <v>724</v>
      </c>
      <c r="L114" s="24" t="s">
        <v>577</v>
      </c>
      <c r="M114" s="24" t="s">
        <v>589</v>
      </c>
      <c r="N114" s="24" t="s">
        <v>590</v>
      </c>
      <c r="O114" s="24">
        <v>239961</v>
      </c>
      <c r="P114" s="25"/>
      <c r="Q114" s="25"/>
      <c r="R114" s="24" t="s">
        <v>725</v>
      </c>
      <c r="S114" s="24" t="s">
        <v>581</v>
      </c>
      <c r="T114" s="27">
        <v>40857</v>
      </c>
      <c r="U114" s="25">
        <v>1435556</v>
      </c>
      <c r="V114" s="24" t="s">
        <v>582</v>
      </c>
      <c r="W114" s="24" t="s">
        <v>583</v>
      </c>
      <c r="X114" s="24" t="s">
        <v>584</v>
      </c>
      <c r="Y114" s="24">
        <v>4020</v>
      </c>
      <c r="Z114" s="24">
        <v>204216</v>
      </c>
      <c r="AA114" s="24">
        <v>572010</v>
      </c>
      <c r="AB114" s="24">
        <v>0</v>
      </c>
      <c r="AC114" s="24"/>
      <c r="AD114" s="24"/>
      <c r="AE114" s="24"/>
      <c r="AF114" s="24"/>
    </row>
    <row r="115" spans="1:32" ht="62.4" x14ac:dyDescent="0.3">
      <c r="A115" s="23">
        <v>40848</v>
      </c>
      <c r="B115" s="24" t="s">
        <v>571</v>
      </c>
      <c r="C115" s="24">
        <v>30264</v>
      </c>
      <c r="D115" s="24" t="s">
        <v>585</v>
      </c>
      <c r="E115" s="24" t="s">
        <v>586</v>
      </c>
      <c r="F115" s="24" t="s">
        <v>574</v>
      </c>
      <c r="G115" s="24">
        <v>1450041</v>
      </c>
      <c r="H115" s="25">
        <v>2309</v>
      </c>
      <c r="I115" s="26">
        <v>2309</v>
      </c>
      <c r="J115" s="24" t="s">
        <v>680</v>
      </c>
      <c r="K115" s="24" t="s">
        <v>605</v>
      </c>
      <c r="L115" s="24" t="s">
        <v>577</v>
      </c>
      <c r="M115" s="24" t="s">
        <v>589</v>
      </c>
      <c r="N115" s="24" t="s">
        <v>590</v>
      </c>
      <c r="O115" s="24">
        <v>231985</v>
      </c>
      <c r="P115" s="25"/>
      <c r="Q115" s="25"/>
      <c r="R115" s="24" t="s">
        <v>726</v>
      </c>
      <c r="S115" s="24" t="s">
        <v>581</v>
      </c>
      <c r="T115" s="27">
        <v>40864</v>
      </c>
      <c r="U115" s="25">
        <v>1459102</v>
      </c>
      <c r="V115" s="24" t="s">
        <v>582</v>
      </c>
      <c r="W115" s="24" t="s">
        <v>583</v>
      </c>
      <c r="X115" s="24" t="s">
        <v>584</v>
      </c>
      <c r="Y115" s="24">
        <v>4020</v>
      </c>
      <c r="Z115" s="24">
        <v>204216</v>
      </c>
      <c r="AA115" s="24">
        <v>572010</v>
      </c>
      <c r="AB115" s="24">
        <v>0</v>
      </c>
      <c r="AC115" s="24"/>
      <c r="AD115" s="24"/>
      <c r="AE115" s="24"/>
      <c r="AF115" s="24"/>
    </row>
    <row r="116" spans="1:32" ht="62.4" x14ac:dyDescent="0.3">
      <c r="A116" s="23">
        <v>40848</v>
      </c>
      <c r="B116" s="24" t="s">
        <v>571</v>
      </c>
      <c r="C116" s="24">
        <v>30264</v>
      </c>
      <c r="D116" s="24" t="s">
        <v>585</v>
      </c>
      <c r="E116" s="24" t="s">
        <v>586</v>
      </c>
      <c r="F116" s="24" t="s">
        <v>574</v>
      </c>
      <c r="G116" s="24">
        <v>1450041</v>
      </c>
      <c r="H116" s="25">
        <v>5910</v>
      </c>
      <c r="I116" s="26">
        <v>5910</v>
      </c>
      <c r="J116" s="24" t="s">
        <v>684</v>
      </c>
      <c r="K116" s="24" t="s">
        <v>605</v>
      </c>
      <c r="L116" s="24" t="s">
        <v>577</v>
      </c>
      <c r="M116" s="24" t="s">
        <v>589</v>
      </c>
      <c r="N116" s="24" t="s">
        <v>590</v>
      </c>
      <c r="O116" s="24">
        <v>232084</v>
      </c>
      <c r="P116" s="25"/>
      <c r="Q116" s="25"/>
      <c r="R116" s="24" t="s">
        <v>727</v>
      </c>
      <c r="S116" s="24" t="s">
        <v>581</v>
      </c>
      <c r="T116" s="27">
        <v>40864</v>
      </c>
      <c r="U116" s="25">
        <v>1459104</v>
      </c>
      <c r="V116" s="24" t="s">
        <v>582</v>
      </c>
      <c r="W116" s="24" t="s">
        <v>583</v>
      </c>
      <c r="X116" s="24" t="s">
        <v>584</v>
      </c>
      <c r="Y116" s="24">
        <v>4020</v>
      </c>
      <c r="Z116" s="24">
        <v>204216</v>
      </c>
      <c r="AA116" s="24">
        <v>572010</v>
      </c>
      <c r="AB116" s="24">
        <v>0</v>
      </c>
      <c r="AC116" s="24"/>
      <c r="AD116" s="24"/>
      <c r="AE116" s="24"/>
      <c r="AF116" s="24"/>
    </row>
    <row r="117" spans="1:32" ht="62.4" x14ac:dyDescent="0.3">
      <c r="A117" s="23">
        <v>40848</v>
      </c>
      <c r="B117" s="24" t="s">
        <v>571</v>
      </c>
      <c r="C117" s="24">
        <v>30264</v>
      </c>
      <c r="D117" s="24" t="s">
        <v>585</v>
      </c>
      <c r="E117" s="24" t="s">
        <v>586</v>
      </c>
      <c r="F117" s="24" t="s">
        <v>574</v>
      </c>
      <c r="G117" s="24">
        <v>1452906</v>
      </c>
      <c r="H117" s="25">
        <v>1235</v>
      </c>
      <c r="I117" s="26">
        <v>1235</v>
      </c>
      <c r="J117" s="24" t="s">
        <v>728</v>
      </c>
      <c r="K117" s="24" t="s">
        <v>729</v>
      </c>
      <c r="L117" s="24" t="s">
        <v>577</v>
      </c>
      <c r="M117" s="24" t="s">
        <v>589</v>
      </c>
      <c r="N117" s="24" t="s">
        <v>590</v>
      </c>
      <c r="O117" s="24">
        <v>241216</v>
      </c>
      <c r="P117" s="25"/>
      <c r="Q117" s="25"/>
      <c r="R117" s="24" t="s">
        <v>730</v>
      </c>
      <c r="S117" s="24" t="s">
        <v>581</v>
      </c>
      <c r="T117" s="27">
        <v>40865</v>
      </c>
      <c r="U117" s="25">
        <v>1461947</v>
      </c>
      <c r="V117" s="24" t="s">
        <v>582</v>
      </c>
      <c r="W117" s="24" t="s">
        <v>583</v>
      </c>
      <c r="X117" s="24" t="s">
        <v>584</v>
      </c>
      <c r="Y117" s="24">
        <v>4020</v>
      </c>
      <c r="Z117" s="24">
        <v>204216</v>
      </c>
      <c r="AA117" s="24">
        <v>572010</v>
      </c>
      <c r="AB117" s="24">
        <v>0</v>
      </c>
      <c r="AC117" s="24"/>
      <c r="AD117" s="24"/>
      <c r="AE117" s="24"/>
      <c r="AF117" s="24"/>
    </row>
    <row r="118" spans="1:32" ht="62.4" x14ac:dyDescent="0.3">
      <c r="A118" s="23">
        <v>40848</v>
      </c>
      <c r="B118" s="24" t="s">
        <v>571</v>
      </c>
      <c r="C118" s="24">
        <v>30264</v>
      </c>
      <c r="D118" s="24" t="s">
        <v>585</v>
      </c>
      <c r="E118" s="24" t="s">
        <v>586</v>
      </c>
      <c r="F118" s="24" t="s">
        <v>574</v>
      </c>
      <c r="G118" s="24">
        <v>1469642</v>
      </c>
      <c r="H118" s="25">
        <v>9500</v>
      </c>
      <c r="I118" s="26">
        <v>9500</v>
      </c>
      <c r="J118" s="24" t="s">
        <v>731</v>
      </c>
      <c r="K118" s="24" t="s">
        <v>655</v>
      </c>
      <c r="L118" s="24" t="s">
        <v>577</v>
      </c>
      <c r="M118" s="24" t="s">
        <v>589</v>
      </c>
      <c r="N118" s="24" t="s">
        <v>590</v>
      </c>
      <c r="O118" s="24">
        <v>239148</v>
      </c>
      <c r="P118" s="25"/>
      <c r="Q118" s="25"/>
      <c r="R118" s="24" t="s">
        <v>732</v>
      </c>
      <c r="S118" s="24" t="s">
        <v>581</v>
      </c>
      <c r="T118" s="27">
        <v>40872</v>
      </c>
      <c r="U118" s="25">
        <v>1479691</v>
      </c>
      <c r="V118" s="24" t="s">
        <v>582</v>
      </c>
      <c r="W118" s="24" t="s">
        <v>583</v>
      </c>
      <c r="X118" s="24" t="s">
        <v>584</v>
      </c>
      <c r="Y118" s="24">
        <v>4020</v>
      </c>
      <c r="Z118" s="24">
        <v>204216</v>
      </c>
      <c r="AA118" s="24">
        <v>572010</v>
      </c>
      <c r="AB118" s="24">
        <v>0</v>
      </c>
      <c r="AC118" s="24"/>
      <c r="AD118" s="24"/>
      <c r="AE118" s="24"/>
      <c r="AF118" s="24"/>
    </row>
    <row r="119" spans="1:32" ht="72.599999999999994" x14ac:dyDescent="0.3">
      <c r="A119" s="23">
        <v>40878</v>
      </c>
      <c r="B119" s="24" t="s">
        <v>571</v>
      </c>
      <c r="C119" s="24">
        <v>30264</v>
      </c>
      <c r="D119" s="24" t="s">
        <v>585</v>
      </c>
      <c r="E119" s="24" t="s">
        <v>586</v>
      </c>
      <c r="F119" s="24" t="s">
        <v>574</v>
      </c>
      <c r="G119" s="24">
        <v>1497236</v>
      </c>
      <c r="H119" s="25">
        <v>3895</v>
      </c>
      <c r="I119" s="26">
        <v>3895</v>
      </c>
      <c r="J119" s="24" t="s">
        <v>733</v>
      </c>
      <c r="K119" s="24" t="s">
        <v>663</v>
      </c>
      <c r="L119" s="24" t="s">
        <v>577</v>
      </c>
      <c r="M119" s="24" t="s">
        <v>589</v>
      </c>
      <c r="N119" s="24" t="s">
        <v>590</v>
      </c>
      <c r="O119" s="24">
        <v>242477</v>
      </c>
      <c r="P119" s="25"/>
      <c r="Q119" s="25"/>
      <c r="R119" s="24" t="s">
        <v>734</v>
      </c>
      <c r="S119" s="24" t="s">
        <v>581</v>
      </c>
      <c r="T119" s="27">
        <v>40882</v>
      </c>
      <c r="U119" s="25">
        <v>1511546</v>
      </c>
      <c r="V119" s="24" t="s">
        <v>582</v>
      </c>
      <c r="W119" s="24" t="s">
        <v>583</v>
      </c>
      <c r="X119" s="24" t="s">
        <v>584</v>
      </c>
      <c r="Y119" s="24">
        <v>4020</v>
      </c>
      <c r="Z119" s="24">
        <v>204216</v>
      </c>
      <c r="AA119" s="24">
        <v>572010</v>
      </c>
      <c r="AB119" s="24">
        <v>0</v>
      </c>
      <c r="AC119" s="24"/>
      <c r="AD119" s="24"/>
      <c r="AE119" s="24"/>
      <c r="AF119" s="24"/>
    </row>
    <row r="120" spans="1:32" ht="62.4" x14ac:dyDescent="0.3">
      <c r="A120" s="23">
        <v>40878</v>
      </c>
      <c r="B120" s="24" t="s">
        <v>571</v>
      </c>
      <c r="C120" s="24">
        <v>30264</v>
      </c>
      <c r="D120" s="24" t="s">
        <v>585</v>
      </c>
      <c r="E120" s="24" t="s">
        <v>586</v>
      </c>
      <c r="F120" s="24" t="s">
        <v>574</v>
      </c>
      <c r="G120" s="24">
        <v>1502113</v>
      </c>
      <c r="H120" s="25">
        <v>3717.5</v>
      </c>
      <c r="I120" s="26">
        <v>3717.5</v>
      </c>
      <c r="J120" s="24" t="s">
        <v>735</v>
      </c>
      <c r="K120" s="24" t="s">
        <v>736</v>
      </c>
      <c r="L120" s="24" t="s">
        <v>633</v>
      </c>
      <c r="M120" s="24" t="s">
        <v>589</v>
      </c>
      <c r="N120" s="24" t="s">
        <v>590</v>
      </c>
      <c r="O120" s="24">
        <v>233392</v>
      </c>
      <c r="P120" s="25"/>
      <c r="Q120" s="25"/>
      <c r="R120" s="24" t="s">
        <v>656</v>
      </c>
      <c r="S120" s="24" t="s">
        <v>581</v>
      </c>
      <c r="T120" s="27">
        <v>40883</v>
      </c>
      <c r="U120" s="25">
        <v>1512245</v>
      </c>
      <c r="V120" s="24" t="s">
        <v>582</v>
      </c>
      <c r="W120" s="24" t="s">
        <v>583</v>
      </c>
      <c r="X120" s="24" t="s">
        <v>584</v>
      </c>
      <c r="Y120" s="24">
        <v>4020</v>
      </c>
      <c r="Z120" s="24">
        <v>204216</v>
      </c>
      <c r="AA120" s="24">
        <v>572010</v>
      </c>
      <c r="AB120" s="24">
        <v>0</v>
      </c>
      <c r="AC120" s="24"/>
      <c r="AD120" s="24"/>
      <c r="AE120" s="24"/>
      <c r="AF120" s="24"/>
    </row>
    <row r="121" spans="1:32" ht="62.4" x14ac:dyDescent="0.3">
      <c r="A121" s="23">
        <v>40878</v>
      </c>
      <c r="B121" s="24" t="s">
        <v>571</v>
      </c>
      <c r="C121" s="24">
        <v>30264</v>
      </c>
      <c r="D121" s="24" t="s">
        <v>585</v>
      </c>
      <c r="E121" s="24" t="s">
        <v>586</v>
      </c>
      <c r="F121" s="24" t="s">
        <v>574</v>
      </c>
      <c r="G121" s="24">
        <v>1529185</v>
      </c>
      <c r="H121" s="25">
        <v>2309</v>
      </c>
      <c r="I121" s="26">
        <v>2309</v>
      </c>
      <c r="J121" s="24" t="s">
        <v>680</v>
      </c>
      <c r="K121" s="24" t="s">
        <v>605</v>
      </c>
      <c r="L121" s="24" t="s">
        <v>577</v>
      </c>
      <c r="M121" s="24" t="s">
        <v>589</v>
      </c>
      <c r="N121" s="24" t="s">
        <v>590</v>
      </c>
      <c r="O121" s="24">
        <v>231985</v>
      </c>
      <c r="P121" s="25"/>
      <c r="Q121" s="25"/>
      <c r="R121" s="24" t="s">
        <v>737</v>
      </c>
      <c r="S121" s="24" t="s">
        <v>581</v>
      </c>
      <c r="T121" s="27">
        <v>40893</v>
      </c>
      <c r="U121" s="25">
        <v>1551069</v>
      </c>
      <c r="V121" s="24" t="s">
        <v>582</v>
      </c>
      <c r="W121" s="24" t="s">
        <v>583</v>
      </c>
      <c r="X121" s="24" t="s">
        <v>584</v>
      </c>
      <c r="Y121" s="24">
        <v>4020</v>
      </c>
      <c r="Z121" s="24">
        <v>204216</v>
      </c>
      <c r="AA121" s="24">
        <v>572010</v>
      </c>
      <c r="AB121" s="24">
        <v>0</v>
      </c>
      <c r="AC121" s="24"/>
      <c r="AD121" s="24"/>
      <c r="AE121" s="24"/>
      <c r="AF121" s="24"/>
    </row>
    <row r="122" spans="1:32" ht="62.4" x14ac:dyDescent="0.3">
      <c r="A122" s="23">
        <v>40878</v>
      </c>
      <c r="B122" s="24" t="s">
        <v>571</v>
      </c>
      <c r="C122" s="24">
        <v>30264</v>
      </c>
      <c r="D122" s="24" t="s">
        <v>585</v>
      </c>
      <c r="E122" s="24" t="s">
        <v>586</v>
      </c>
      <c r="F122" s="24" t="s">
        <v>574</v>
      </c>
      <c r="G122" s="24">
        <v>1529185</v>
      </c>
      <c r="H122" s="25">
        <v>5910</v>
      </c>
      <c r="I122" s="26">
        <v>5910</v>
      </c>
      <c r="J122" s="24" t="s">
        <v>684</v>
      </c>
      <c r="K122" s="24" t="s">
        <v>605</v>
      </c>
      <c r="L122" s="24" t="s">
        <v>577</v>
      </c>
      <c r="M122" s="24" t="s">
        <v>589</v>
      </c>
      <c r="N122" s="24" t="s">
        <v>590</v>
      </c>
      <c r="O122" s="24">
        <v>232084</v>
      </c>
      <c r="P122" s="25"/>
      <c r="Q122" s="25"/>
      <c r="R122" s="24" t="s">
        <v>738</v>
      </c>
      <c r="S122" s="24" t="s">
        <v>581</v>
      </c>
      <c r="T122" s="27">
        <v>40893</v>
      </c>
      <c r="U122" s="25">
        <v>1551070</v>
      </c>
      <c r="V122" s="24" t="s">
        <v>582</v>
      </c>
      <c r="W122" s="24" t="s">
        <v>583</v>
      </c>
      <c r="X122" s="24" t="s">
        <v>584</v>
      </c>
      <c r="Y122" s="24">
        <v>4020</v>
      </c>
      <c r="Z122" s="24">
        <v>204216</v>
      </c>
      <c r="AA122" s="24">
        <v>572010</v>
      </c>
      <c r="AB122" s="24">
        <v>0</v>
      </c>
      <c r="AC122" s="24"/>
      <c r="AD122" s="24"/>
      <c r="AE122" s="24"/>
      <c r="AF122" s="24"/>
    </row>
    <row r="123" spans="1:32" ht="62.4" x14ac:dyDescent="0.3">
      <c r="A123" s="23">
        <v>40878</v>
      </c>
      <c r="B123" s="24" t="s">
        <v>571</v>
      </c>
      <c r="C123" s="24">
        <v>30264</v>
      </c>
      <c r="D123" s="24" t="s">
        <v>585</v>
      </c>
      <c r="E123" s="24" t="s">
        <v>586</v>
      </c>
      <c r="F123" s="24" t="s">
        <v>574</v>
      </c>
      <c r="G123" s="24">
        <v>1549132</v>
      </c>
      <c r="H123" s="25">
        <v>1440</v>
      </c>
      <c r="I123" s="26">
        <v>1440</v>
      </c>
      <c r="J123" s="24" t="s">
        <v>739</v>
      </c>
      <c r="K123" s="24" t="s">
        <v>588</v>
      </c>
      <c r="L123" s="24" t="s">
        <v>633</v>
      </c>
      <c r="M123" s="24" t="s">
        <v>589</v>
      </c>
      <c r="N123" s="24" t="s">
        <v>590</v>
      </c>
      <c r="O123" s="24">
        <v>244456</v>
      </c>
      <c r="P123" s="25"/>
      <c r="Q123" s="25"/>
      <c r="R123" s="24" t="s">
        <v>740</v>
      </c>
      <c r="S123" s="24" t="s">
        <v>581</v>
      </c>
      <c r="T123" s="27">
        <v>40899</v>
      </c>
      <c r="U123" s="25">
        <v>1568941</v>
      </c>
      <c r="V123" s="24" t="s">
        <v>582</v>
      </c>
      <c r="W123" s="24" t="s">
        <v>583</v>
      </c>
      <c r="X123" s="24" t="s">
        <v>584</v>
      </c>
      <c r="Y123" s="24">
        <v>4020</v>
      </c>
      <c r="Z123" s="24">
        <v>204216</v>
      </c>
      <c r="AA123" s="24">
        <v>572010</v>
      </c>
      <c r="AB123" s="24">
        <v>0</v>
      </c>
      <c r="AC123" s="24"/>
      <c r="AD123" s="24"/>
      <c r="AE123" s="24"/>
      <c r="AF123" s="24"/>
    </row>
    <row r="124" spans="1:32" ht="72.599999999999994" x14ac:dyDescent="0.3">
      <c r="A124" s="23">
        <v>40909</v>
      </c>
      <c r="B124" s="24" t="s">
        <v>571</v>
      </c>
      <c r="C124" s="24">
        <v>30264</v>
      </c>
      <c r="D124" s="24" t="s">
        <v>625</v>
      </c>
      <c r="E124" s="24" t="s">
        <v>586</v>
      </c>
      <c r="F124" s="24" t="s">
        <v>574</v>
      </c>
      <c r="G124" s="24">
        <v>1610399</v>
      </c>
      <c r="H124" s="25">
        <v>3844</v>
      </c>
      <c r="I124" s="26">
        <v>3844</v>
      </c>
      <c r="J124" s="24" t="s">
        <v>695</v>
      </c>
      <c r="K124" s="24" t="s">
        <v>627</v>
      </c>
      <c r="L124" s="24" t="s">
        <v>577</v>
      </c>
      <c r="M124" s="24" t="s">
        <v>589</v>
      </c>
      <c r="N124" s="24" t="s">
        <v>628</v>
      </c>
      <c r="O124" s="24">
        <v>232079</v>
      </c>
      <c r="P124" s="25"/>
      <c r="Q124" s="25"/>
      <c r="R124" s="24" t="s">
        <v>741</v>
      </c>
      <c r="S124" s="24" t="s">
        <v>581</v>
      </c>
      <c r="T124" s="27">
        <v>40925</v>
      </c>
      <c r="U124" s="25">
        <v>1616632</v>
      </c>
      <c r="V124" s="24" t="s">
        <v>582</v>
      </c>
      <c r="W124" s="24" t="s">
        <v>583</v>
      </c>
      <c r="X124" s="24" t="s">
        <v>584</v>
      </c>
      <c r="Y124" s="24">
        <v>4020</v>
      </c>
      <c r="Z124" s="24">
        <v>204216</v>
      </c>
      <c r="AA124" s="24">
        <v>572010</v>
      </c>
      <c r="AB124" s="24">
        <v>0</v>
      </c>
      <c r="AC124" s="24"/>
      <c r="AD124" s="24"/>
      <c r="AE124" s="24"/>
      <c r="AF124" s="24"/>
    </row>
    <row r="125" spans="1:32" ht="62.4" x14ac:dyDescent="0.3">
      <c r="A125" s="23">
        <v>40909</v>
      </c>
      <c r="B125" s="24" t="s">
        <v>571</v>
      </c>
      <c r="C125" s="24">
        <v>30264</v>
      </c>
      <c r="D125" s="24" t="s">
        <v>585</v>
      </c>
      <c r="E125" s="24" t="s">
        <v>586</v>
      </c>
      <c r="F125" s="24" t="s">
        <v>574</v>
      </c>
      <c r="G125" s="24">
        <v>1610399</v>
      </c>
      <c r="H125" s="25">
        <v>2309</v>
      </c>
      <c r="I125" s="26">
        <v>2309</v>
      </c>
      <c r="J125" s="24" t="s">
        <v>680</v>
      </c>
      <c r="K125" s="24" t="s">
        <v>605</v>
      </c>
      <c r="L125" s="24" t="s">
        <v>577</v>
      </c>
      <c r="M125" s="24" t="s">
        <v>589</v>
      </c>
      <c r="N125" s="24" t="s">
        <v>590</v>
      </c>
      <c r="O125" s="24">
        <v>231985</v>
      </c>
      <c r="P125" s="25"/>
      <c r="Q125" s="25"/>
      <c r="R125" s="24" t="s">
        <v>742</v>
      </c>
      <c r="S125" s="24" t="s">
        <v>581</v>
      </c>
      <c r="T125" s="27">
        <v>40925</v>
      </c>
      <c r="U125" s="25">
        <v>1616631</v>
      </c>
      <c r="V125" s="24" t="s">
        <v>582</v>
      </c>
      <c r="W125" s="24" t="s">
        <v>583</v>
      </c>
      <c r="X125" s="24" t="s">
        <v>584</v>
      </c>
      <c r="Y125" s="24">
        <v>4020</v>
      </c>
      <c r="Z125" s="24">
        <v>204216</v>
      </c>
      <c r="AA125" s="24">
        <v>572010</v>
      </c>
      <c r="AB125" s="24">
        <v>0</v>
      </c>
      <c r="AC125" s="24"/>
      <c r="AD125" s="24"/>
      <c r="AE125" s="24"/>
      <c r="AF125" s="24"/>
    </row>
    <row r="126" spans="1:32" ht="62.4" x14ac:dyDescent="0.3">
      <c r="A126" s="23">
        <v>40909</v>
      </c>
      <c r="B126" s="24" t="s">
        <v>571</v>
      </c>
      <c r="C126" s="24">
        <v>30264</v>
      </c>
      <c r="D126" s="24" t="s">
        <v>585</v>
      </c>
      <c r="E126" s="24" t="s">
        <v>586</v>
      </c>
      <c r="F126" s="24" t="s">
        <v>574</v>
      </c>
      <c r="G126" s="24">
        <v>1610399</v>
      </c>
      <c r="H126" s="25">
        <v>5910</v>
      </c>
      <c r="I126" s="26">
        <v>5910</v>
      </c>
      <c r="J126" s="24" t="s">
        <v>684</v>
      </c>
      <c r="K126" s="24" t="s">
        <v>605</v>
      </c>
      <c r="L126" s="24" t="s">
        <v>577</v>
      </c>
      <c r="M126" s="24" t="s">
        <v>589</v>
      </c>
      <c r="N126" s="24" t="s">
        <v>590</v>
      </c>
      <c r="O126" s="24">
        <v>232084</v>
      </c>
      <c r="P126" s="25"/>
      <c r="Q126" s="25"/>
      <c r="R126" s="24" t="s">
        <v>743</v>
      </c>
      <c r="S126" s="24" t="s">
        <v>581</v>
      </c>
      <c r="T126" s="27">
        <v>40925</v>
      </c>
      <c r="U126" s="25">
        <v>1616636</v>
      </c>
      <c r="V126" s="24" t="s">
        <v>582</v>
      </c>
      <c r="W126" s="24" t="s">
        <v>583</v>
      </c>
      <c r="X126" s="24" t="s">
        <v>584</v>
      </c>
      <c r="Y126" s="24">
        <v>4020</v>
      </c>
      <c r="Z126" s="24">
        <v>204216</v>
      </c>
      <c r="AA126" s="24">
        <v>572010</v>
      </c>
      <c r="AB126" s="24">
        <v>0</v>
      </c>
      <c r="AC126" s="24"/>
      <c r="AD126" s="24"/>
      <c r="AE126" s="24"/>
      <c r="AF126" s="24"/>
    </row>
    <row r="127" spans="1:32" ht="62.4" x14ac:dyDescent="0.3">
      <c r="A127" s="23">
        <v>40909</v>
      </c>
      <c r="B127" s="24" t="s">
        <v>571</v>
      </c>
      <c r="C127" s="24">
        <v>30264</v>
      </c>
      <c r="D127" s="24" t="s">
        <v>585</v>
      </c>
      <c r="E127" s="24" t="s">
        <v>586</v>
      </c>
      <c r="F127" s="24" t="s">
        <v>574</v>
      </c>
      <c r="G127" s="24">
        <v>1610399</v>
      </c>
      <c r="H127" s="25">
        <v>14486.98</v>
      </c>
      <c r="I127" s="26">
        <v>14486.98</v>
      </c>
      <c r="J127" s="24" t="s">
        <v>688</v>
      </c>
      <c r="K127" s="24" t="s">
        <v>605</v>
      </c>
      <c r="L127" s="24" t="s">
        <v>577</v>
      </c>
      <c r="M127" s="24" t="s">
        <v>589</v>
      </c>
      <c r="N127" s="24" t="s">
        <v>590</v>
      </c>
      <c r="O127" s="24">
        <v>232145</v>
      </c>
      <c r="P127" s="25"/>
      <c r="Q127" s="25"/>
      <c r="R127" s="24" t="s">
        <v>744</v>
      </c>
      <c r="S127" s="24" t="s">
        <v>581</v>
      </c>
      <c r="T127" s="27">
        <v>40925</v>
      </c>
      <c r="U127" s="25">
        <v>1616638</v>
      </c>
      <c r="V127" s="24" t="s">
        <v>582</v>
      </c>
      <c r="W127" s="24" t="s">
        <v>583</v>
      </c>
      <c r="X127" s="24" t="s">
        <v>584</v>
      </c>
      <c r="Y127" s="24">
        <v>4020</v>
      </c>
      <c r="Z127" s="24">
        <v>204216</v>
      </c>
      <c r="AA127" s="24">
        <v>572010</v>
      </c>
      <c r="AB127" s="24">
        <v>0</v>
      </c>
      <c r="AC127" s="24"/>
      <c r="AD127" s="24"/>
      <c r="AE127" s="24"/>
      <c r="AF127" s="24"/>
    </row>
    <row r="128" spans="1:32" ht="62.4" x14ac:dyDescent="0.3">
      <c r="A128" s="23">
        <v>40909</v>
      </c>
      <c r="B128" s="24" t="s">
        <v>571</v>
      </c>
      <c r="C128" s="24">
        <v>30264</v>
      </c>
      <c r="D128" s="24" t="s">
        <v>585</v>
      </c>
      <c r="E128" s="24" t="s">
        <v>586</v>
      </c>
      <c r="F128" s="24" t="s">
        <v>574</v>
      </c>
      <c r="G128" s="24">
        <v>1619447</v>
      </c>
      <c r="H128" s="25">
        <v>4320</v>
      </c>
      <c r="I128" s="26">
        <v>4320</v>
      </c>
      <c r="J128" s="24" t="s">
        <v>745</v>
      </c>
      <c r="K128" s="24" t="s">
        <v>588</v>
      </c>
      <c r="L128" s="24" t="s">
        <v>577</v>
      </c>
      <c r="M128" s="24" t="s">
        <v>589</v>
      </c>
      <c r="N128" s="24" t="s">
        <v>590</v>
      </c>
      <c r="O128" s="24">
        <v>245947</v>
      </c>
      <c r="P128" s="25"/>
      <c r="Q128" s="25"/>
      <c r="R128" s="24" t="s">
        <v>746</v>
      </c>
      <c r="S128" s="24" t="s">
        <v>581</v>
      </c>
      <c r="T128" s="27">
        <v>40928</v>
      </c>
      <c r="U128" s="25">
        <v>1623831</v>
      </c>
      <c r="V128" s="24" t="s">
        <v>582</v>
      </c>
      <c r="W128" s="24" t="s">
        <v>583</v>
      </c>
      <c r="X128" s="24" t="s">
        <v>584</v>
      </c>
      <c r="Y128" s="24">
        <v>4020</v>
      </c>
      <c r="Z128" s="24">
        <v>204216</v>
      </c>
      <c r="AA128" s="24">
        <v>572010</v>
      </c>
      <c r="AB128" s="24">
        <v>0</v>
      </c>
      <c r="AC128" s="24"/>
      <c r="AD128" s="24"/>
      <c r="AE128" s="24"/>
      <c r="AF128" s="24"/>
    </row>
    <row r="129" spans="1:32" ht="72.599999999999994" x14ac:dyDescent="0.3">
      <c r="A129" s="23">
        <v>40940</v>
      </c>
      <c r="B129" s="24" t="s">
        <v>571</v>
      </c>
      <c r="C129" s="24">
        <v>30264</v>
      </c>
      <c r="D129" s="24" t="s">
        <v>625</v>
      </c>
      <c r="E129" s="24" t="s">
        <v>586</v>
      </c>
      <c r="F129" s="24" t="s">
        <v>574</v>
      </c>
      <c r="G129" s="24">
        <v>1667902</v>
      </c>
      <c r="H129" s="25">
        <v>660</v>
      </c>
      <c r="I129" s="25">
        <v>660</v>
      </c>
      <c r="J129" s="24" t="s">
        <v>695</v>
      </c>
      <c r="K129" s="24" t="s">
        <v>627</v>
      </c>
      <c r="L129" s="24" t="s">
        <v>577</v>
      </c>
      <c r="M129" s="24" t="s">
        <v>589</v>
      </c>
      <c r="N129" s="24" t="s">
        <v>628</v>
      </c>
      <c r="O129" s="24">
        <v>232079</v>
      </c>
      <c r="P129" s="25"/>
      <c r="Q129" s="25"/>
      <c r="R129" s="24" t="s">
        <v>747</v>
      </c>
      <c r="S129" s="24" t="s">
        <v>581</v>
      </c>
      <c r="T129" s="27">
        <v>40946</v>
      </c>
      <c r="U129" s="25">
        <v>1675552</v>
      </c>
      <c r="V129" s="24" t="s">
        <v>582</v>
      </c>
      <c r="W129" s="24" t="s">
        <v>583</v>
      </c>
      <c r="X129" s="24" t="s">
        <v>584</v>
      </c>
      <c r="Y129" s="24">
        <v>4020</v>
      </c>
      <c r="Z129" s="24">
        <v>204216</v>
      </c>
      <c r="AA129" s="24">
        <v>572010</v>
      </c>
      <c r="AB129" s="24">
        <v>0</v>
      </c>
      <c r="AC129" s="24"/>
      <c r="AD129" s="24"/>
      <c r="AE129" s="24"/>
      <c r="AF129" s="24"/>
    </row>
    <row r="130" spans="1:32" ht="72.599999999999994" x14ac:dyDescent="0.3">
      <c r="A130" s="23">
        <v>40940</v>
      </c>
      <c r="B130" s="24" t="s">
        <v>571</v>
      </c>
      <c r="C130" s="24">
        <v>30264</v>
      </c>
      <c r="D130" s="24" t="s">
        <v>625</v>
      </c>
      <c r="E130" s="24" t="s">
        <v>586</v>
      </c>
      <c r="F130" s="24" t="s">
        <v>574</v>
      </c>
      <c r="G130" s="24">
        <v>1689841</v>
      </c>
      <c r="H130" s="25">
        <v>2118</v>
      </c>
      <c r="I130" s="26">
        <v>2118</v>
      </c>
      <c r="J130" s="24" t="s">
        <v>695</v>
      </c>
      <c r="K130" s="24" t="s">
        <v>627</v>
      </c>
      <c r="L130" s="24" t="s">
        <v>577</v>
      </c>
      <c r="M130" s="24" t="s">
        <v>589</v>
      </c>
      <c r="N130" s="24" t="s">
        <v>628</v>
      </c>
      <c r="O130" s="24">
        <v>232079</v>
      </c>
      <c r="P130" s="25"/>
      <c r="Q130" s="25"/>
      <c r="R130" s="24" t="s">
        <v>748</v>
      </c>
      <c r="S130" s="24" t="s">
        <v>581</v>
      </c>
      <c r="T130" s="27">
        <v>40954</v>
      </c>
      <c r="U130" s="25">
        <v>1698839</v>
      </c>
      <c r="V130" s="24" t="s">
        <v>582</v>
      </c>
      <c r="W130" s="24" t="s">
        <v>583</v>
      </c>
      <c r="X130" s="24" t="s">
        <v>584</v>
      </c>
      <c r="Y130" s="24">
        <v>4020</v>
      </c>
      <c r="Z130" s="24">
        <v>204216</v>
      </c>
      <c r="AA130" s="24">
        <v>572010</v>
      </c>
      <c r="AB130" s="24">
        <v>0</v>
      </c>
      <c r="AC130" s="24"/>
      <c r="AD130" s="24"/>
      <c r="AE130" s="24"/>
      <c r="AF130" s="24"/>
    </row>
    <row r="131" spans="1:32" ht="72.599999999999994" x14ac:dyDescent="0.3">
      <c r="A131" s="23">
        <v>40940</v>
      </c>
      <c r="B131" s="24" t="s">
        <v>571</v>
      </c>
      <c r="C131" s="24">
        <v>30264</v>
      </c>
      <c r="D131" s="24" t="s">
        <v>625</v>
      </c>
      <c r="E131" s="24" t="s">
        <v>586</v>
      </c>
      <c r="F131" s="24" t="s">
        <v>574</v>
      </c>
      <c r="G131" s="24">
        <v>1702116</v>
      </c>
      <c r="H131" s="25">
        <v>480</v>
      </c>
      <c r="I131" s="25">
        <v>480</v>
      </c>
      <c r="J131" s="24" t="s">
        <v>695</v>
      </c>
      <c r="K131" s="24" t="s">
        <v>627</v>
      </c>
      <c r="L131" s="24" t="s">
        <v>577</v>
      </c>
      <c r="M131" s="24" t="s">
        <v>589</v>
      </c>
      <c r="N131" s="24" t="s">
        <v>628</v>
      </c>
      <c r="O131" s="24">
        <v>232079</v>
      </c>
      <c r="P131" s="25"/>
      <c r="Q131" s="25"/>
      <c r="R131" s="24" t="s">
        <v>749</v>
      </c>
      <c r="S131" s="24" t="s">
        <v>581</v>
      </c>
      <c r="T131" s="27">
        <v>40959</v>
      </c>
      <c r="U131" s="25">
        <v>1705151</v>
      </c>
      <c r="V131" s="24" t="s">
        <v>582</v>
      </c>
      <c r="W131" s="24" t="s">
        <v>583</v>
      </c>
      <c r="X131" s="24" t="s">
        <v>584</v>
      </c>
      <c r="Y131" s="24">
        <v>4020</v>
      </c>
      <c r="Z131" s="24">
        <v>204216</v>
      </c>
      <c r="AA131" s="24">
        <v>572010</v>
      </c>
      <c r="AB131" s="24">
        <v>0</v>
      </c>
      <c r="AC131" s="24"/>
      <c r="AD131" s="24"/>
      <c r="AE131" s="24"/>
      <c r="AF131" s="24"/>
    </row>
    <row r="132" spans="1:32" ht="62.4" x14ac:dyDescent="0.3">
      <c r="A132" s="23">
        <v>40940</v>
      </c>
      <c r="B132" s="24" t="s">
        <v>571</v>
      </c>
      <c r="C132" s="24">
        <v>30264</v>
      </c>
      <c r="D132" s="24" t="s">
        <v>585</v>
      </c>
      <c r="E132" s="24" t="s">
        <v>586</v>
      </c>
      <c r="F132" s="24" t="s">
        <v>574</v>
      </c>
      <c r="G132" s="24">
        <v>1653698</v>
      </c>
      <c r="H132" s="25">
        <v>13674.79</v>
      </c>
      <c r="I132" s="26">
        <v>13674.79</v>
      </c>
      <c r="J132" s="24" t="s">
        <v>688</v>
      </c>
      <c r="K132" s="24" t="s">
        <v>605</v>
      </c>
      <c r="L132" s="24" t="s">
        <v>577</v>
      </c>
      <c r="M132" s="24" t="s">
        <v>589</v>
      </c>
      <c r="N132" s="24" t="s">
        <v>590</v>
      </c>
      <c r="O132" s="24">
        <v>232145</v>
      </c>
      <c r="P132" s="25"/>
      <c r="Q132" s="25"/>
      <c r="R132" s="24" t="s">
        <v>750</v>
      </c>
      <c r="S132" s="24" t="s">
        <v>581</v>
      </c>
      <c r="T132" s="27">
        <v>40941</v>
      </c>
      <c r="U132" s="25">
        <v>1659865</v>
      </c>
      <c r="V132" s="24" t="s">
        <v>582</v>
      </c>
      <c r="W132" s="24" t="s">
        <v>583</v>
      </c>
      <c r="X132" s="24" t="s">
        <v>584</v>
      </c>
      <c r="Y132" s="24">
        <v>4020</v>
      </c>
      <c r="Z132" s="24">
        <v>204216</v>
      </c>
      <c r="AA132" s="24">
        <v>572010</v>
      </c>
      <c r="AB132" s="24">
        <v>0</v>
      </c>
      <c r="AC132" s="24"/>
      <c r="AD132" s="24"/>
      <c r="AE132" s="24"/>
      <c r="AF132" s="24"/>
    </row>
    <row r="133" spans="1:32" ht="62.4" x14ac:dyDescent="0.3">
      <c r="A133" s="23">
        <v>40940</v>
      </c>
      <c r="B133" s="24" t="s">
        <v>571</v>
      </c>
      <c r="C133" s="24">
        <v>30264</v>
      </c>
      <c r="D133" s="24" t="s">
        <v>585</v>
      </c>
      <c r="E133" s="24" t="s">
        <v>586</v>
      </c>
      <c r="F133" s="24" t="s">
        <v>574</v>
      </c>
      <c r="G133" s="24">
        <v>1692705</v>
      </c>
      <c r="H133" s="25">
        <v>1820.97</v>
      </c>
      <c r="I133" s="26">
        <v>1820.97</v>
      </c>
      <c r="J133" s="24" t="s">
        <v>751</v>
      </c>
      <c r="K133" s="24" t="s">
        <v>600</v>
      </c>
      <c r="L133" s="24" t="s">
        <v>577</v>
      </c>
      <c r="M133" s="24" t="s">
        <v>589</v>
      </c>
      <c r="N133" s="24" t="s">
        <v>590</v>
      </c>
      <c r="O133" s="24">
        <v>248071</v>
      </c>
      <c r="P133" s="25"/>
      <c r="Q133" s="25"/>
      <c r="R133" s="24" t="s">
        <v>752</v>
      </c>
      <c r="S133" s="24" t="s">
        <v>581</v>
      </c>
      <c r="T133" s="27">
        <v>40955</v>
      </c>
      <c r="U133" s="25">
        <v>1700856</v>
      </c>
      <c r="V133" s="24" t="s">
        <v>582</v>
      </c>
      <c r="W133" s="24" t="s">
        <v>583</v>
      </c>
      <c r="X133" s="24" t="s">
        <v>584</v>
      </c>
      <c r="Y133" s="24">
        <v>4020</v>
      </c>
      <c r="Z133" s="24">
        <v>204216</v>
      </c>
      <c r="AA133" s="24">
        <v>572010</v>
      </c>
      <c r="AB133" s="24">
        <v>0</v>
      </c>
      <c r="AC133" s="24"/>
      <c r="AD133" s="24"/>
      <c r="AE133" s="24"/>
      <c r="AF133" s="24"/>
    </row>
    <row r="134" spans="1:32" ht="62.4" x14ac:dyDescent="0.3">
      <c r="A134" s="23">
        <v>40940</v>
      </c>
      <c r="B134" s="24" t="s">
        <v>571</v>
      </c>
      <c r="C134" s="24">
        <v>30264</v>
      </c>
      <c r="D134" s="24" t="s">
        <v>585</v>
      </c>
      <c r="E134" s="24" t="s">
        <v>586</v>
      </c>
      <c r="F134" s="24" t="s">
        <v>574</v>
      </c>
      <c r="G134" s="24">
        <v>1704449</v>
      </c>
      <c r="H134" s="25">
        <v>2050</v>
      </c>
      <c r="I134" s="26">
        <v>2050</v>
      </c>
      <c r="J134" s="24" t="s">
        <v>753</v>
      </c>
      <c r="K134" s="24" t="s">
        <v>663</v>
      </c>
      <c r="L134" s="24" t="s">
        <v>577</v>
      </c>
      <c r="M134" s="24" t="s">
        <v>589</v>
      </c>
      <c r="N134" s="24" t="s">
        <v>590</v>
      </c>
      <c r="O134" s="24">
        <v>248524</v>
      </c>
      <c r="P134" s="25"/>
      <c r="Q134" s="25"/>
      <c r="R134" s="24" t="s">
        <v>754</v>
      </c>
      <c r="S134" s="24" t="s">
        <v>581</v>
      </c>
      <c r="T134" s="27">
        <v>40960</v>
      </c>
      <c r="U134" s="25">
        <v>1715543</v>
      </c>
      <c r="V134" s="24" t="s">
        <v>582</v>
      </c>
      <c r="W134" s="24" t="s">
        <v>583</v>
      </c>
      <c r="X134" s="24" t="s">
        <v>584</v>
      </c>
      <c r="Y134" s="24">
        <v>4020</v>
      </c>
      <c r="Z134" s="24">
        <v>204216</v>
      </c>
      <c r="AA134" s="24">
        <v>572010</v>
      </c>
      <c r="AB134" s="24">
        <v>0</v>
      </c>
      <c r="AC134" s="24"/>
      <c r="AD134" s="24"/>
      <c r="AE134" s="24"/>
      <c r="AF134" s="24"/>
    </row>
    <row r="135" spans="1:32" ht="62.4" x14ac:dyDescent="0.3">
      <c r="A135" s="23">
        <v>40940</v>
      </c>
      <c r="B135" s="24" t="s">
        <v>571</v>
      </c>
      <c r="C135" s="24">
        <v>30264</v>
      </c>
      <c r="D135" s="24" t="s">
        <v>585</v>
      </c>
      <c r="E135" s="24" t="s">
        <v>586</v>
      </c>
      <c r="F135" s="24" t="s">
        <v>574</v>
      </c>
      <c r="G135" s="24">
        <v>1710356</v>
      </c>
      <c r="H135" s="25">
        <v>6009</v>
      </c>
      <c r="I135" s="26">
        <v>6009</v>
      </c>
      <c r="J135" s="24" t="s">
        <v>755</v>
      </c>
      <c r="K135" s="24" t="s">
        <v>655</v>
      </c>
      <c r="L135" s="24" t="s">
        <v>577</v>
      </c>
      <c r="M135" s="24" t="s">
        <v>589</v>
      </c>
      <c r="N135" s="24" t="s">
        <v>590</v>
      </c>
      <c r="O135" s="24">
        <v>248235</v>
      </c>
      <c r="P135" s="25"/>
      <c r="Q135" s="25"/>
      <c r="R135" s="24" t="s">
        <v>756</v>
      </c>
      <c r="S135" s="24" t="s">
        <v>581</v>
      </c>
      <c r="T135" s="27">
        <v>40962</v>
      </c>
      <c r="U135" s="25">
        <v>1720185</v>
      </c>
      <c r="V135" s="24" t="s">
        <v>582</v>
      </c>
      <c r="W135" s="24" t="s">
        <v>583</v>
      </c>
      <c r="X135" s="24" t="s">
        <v>584</v>
      </c>
      <c r="Y135" s="24">
        <v>4020</v>
      </c>
      <c r="Z135" s="24">
        <v>204216</v>
      </c>
      <c r="AA135" s="24">
        <v>572010</v>
      </c>
      <c r="AB135" s="24">
        <v>0</v>
      </c>
      <c r="AC135" s="24"/>
      <c r="AD135" s="24"/>
      <c r="AE135" s="24"/>
      <c r="AF135" s="24"/>
    </row>
    <row r="136" spans="1:32" ht="62.4" x14ac:dyDescent="0.3">
      <c r="A136" s="23">
        <v>40940</v>
      </c>
      <c r="B136" s="24" t="s">
        <v>571</v>
      </c>
      <c r="C136" s="24">
        <v>30264</v>
      </c>
      <c r="D136" s="24" t="s">
        <v>585</v>
      </c>
      <c r="E136" s="24" t="s">
        <v>586</v>
      </c>
      <c r="F136" s="24" t="s">
        <v>574</v>
      </c>
      <c r="G136" s="24">
        <v>1710356</v>
      </c>
      <c r="H136" s="25">
        <v>3085</v>
      </c>
      <c r="I136" s="26">
        <v>3085</v>
      </c>
      <c r="J136" s="24" t="s">
        <v>757</v>
      </c>
      <c r="K136" s="24" t="s">
        <v>588</v>
      </c>
      <c r="L136" s="24" t="s">
        <v>577</v>
      </c>
      <c r="M136" s="24" t="s">
        <v>589</v>
      </c>
      <c r="N136" s="24" t="s">
        <v>590</v>
      </c>
      <c r="O136" s="24">
        <v>248373</v>
      </c>
      <c r="P136" s="25"/>
      <c r="Q136" s="25"/>
      <c r="R136" s="24" t="s">
        <v>758</v>
      </c>
      <c r="S136" s="24" t="s">
        <v>581</v>
      </c>
      <c r="T136" s="27">
        <v>40962</v>
      </c>
      <c r="U136" s="25">
        <v>1720186</v>
      </c>
      <c r="V136" s="24" t="s">
        <v>582</v>
      </c>
      <c r="W136" s="24" t="s">
        <v>583</v>
      </c>
      <c r="X136" s="24" t="s">
        <v>584</v>
      </c>
      <c r="Y136" s="24">
        <v>4020</v>
      </c>
      <c r="Z136" s="24">
        <v>204216</v>
      </c>
      <c r="AA136" s="24">
        <v>572010</v>
      </c>
      <c r="AB136" s="24">
        <v>0</v>
      </c>
      <c r="AC136" s="24"/>
      <c r="AD136" s="24"/>
      <c r="AE136" s="24"/>
      <c r="AF136" s="24"/>
    </row>
    <row r="137" spans="1:32" ht="72.599999999999994" x14ac:dyDescent="0.3">
      <c r="A137" s="23">
        <v>40969</v>
      </c>
      <c r="B137" s="24" t="s">
        <v>571</v>
      </c>
      <c r="C137" s="24">
        <v>30264</v>
      </c>
      <c r="D137" s="24" t="s">
        <v>625</v>
      </c>
      <c r="E137" s="24" t="s">
        <v>586</v>
      </c>
      <c r="F137" s="24" t="s">
        <v>574</v>
      </c>
      <c r="G137" s="24">
        <v>1755063</v>
      </c>
      <c r="H137" s="25">
        <v>480</v>
      </c>
      <c r="I137" s="25">
        <v>480</v>
      </c>
      <c r="J137" s="24" t="s">
        <v>695</v>
      </c>
      <c r="K137" s="24" t="s">
        <v>627</v>
      </c>
      <c r="L137" s="24" t="s">
        <v>633</v>
      </c>
      <c r="M137" s="24" t="s">
        <v>589</v>
      </c>
      <c r="N137" s="24" t="s">
        <v>628</v>
      </c>
      <c r="O137" s="24">
        <v>232079</v>
      </c>
      <c r="P137" s="25"/>
      <c r="Q137" s="25"/>
      <c r="R137" s="24" t="s">
        <v>759</v>
      </c>
      <c r="S137" s="24" t="s">
        <v>581</v>
      </c>
      <c r="T137" s="27">
        <v>40977</v>
      </c>
      <c r="U137" s="25">
        <v>1767063</v>
      </c>
      <c r="V137" s="24" t="s">
        <v>582</v>
      </c>
      <c r="W137" s="24" t="s">
        <v>583</v>
      </c>
      <c r="X137" s="24" t="s">
        <v>584</v>
      </c>
      <c r="Y137" s="24">
        <v>4020</v>
      </c>
      <c r="Z137" s="24">
        <v>204216</v>
      </c>
      <c r="AA137" s="24">
        <v>572010</v>
      </c>
      <c r="AB137" s="24">
        <v>0</v>
      </c>
      <c r="AC137" s="24"/>
      <c r="AD137" s="24"/>
      <c r="AE137" s="24"/>
      <c r="AF137" s="24"/>
    </row>
    <row r="138" spans="1:32" ht="72.599999999999994" x14ac:dyDescent="0.3">
      <c r="A138" s="23">
        <v>40969</v>
      </c>
      <c r="B138" s="24" t="s">
        <v>571</v>
      </c>
      <c r="C138" s="24">
        <v>30264</v>
      </c>
      <c r="D138" s="24" t="s">
        <v>625</v>
      </c>
      <c r="E138" s="24" t="s">
        <v>586</v>
      </c>
      <c r="F138" s="24" t="s">
        <v>574</v>
      </c>
      <c r="G138" s="24">
        <v>1761923</v>
      </c>
      <c r="H138" s="25">
        <v>560</v>
      </c>
      <c r="I138" s="25">
        <v>560</v>
      </c>
      <c r="J138" s="24" t="s">
        <v>695</v>
      </c>
      <c r="K138" s="24" t="s">
        <v>627</v>
      </c>
      <c r="L138" s="24" t="s">
        <v>577</v>
      </c>
      <c r="M138" s="24" t="s">
        <v>589</v>
      </c>
      <c r="N138" s="24" t="s">
        <v>628</v>
      </c>
      <c r="O138" s="24">
        <v>232079</v>
      </c>
      <c r="P138" s="25"/>
      <c r="Q138" s="25"/>
      <c r="R138" s="24" t="s">
        <v>760</v>
      </c>
      <c r="S138" s="24" t="s">
        <v>581</v>
      </c>
      <c r="T138" s="27">
        <v>40981</v>
      </c>
      <c r="U138" s="25">
        <v>1775567</v>
      </c>
      <c r="V138" s="24" t="s">
        <v>582</v>
      </c>
      <c r="W138" s="24" t="s">
        <v>583</v>
      </c>
      <c r="X138" s="24" t="s">
        <v>584</v>
      </c>
      <c r="Y138" s="24">
        <v>4020</v>
      </c>
      <c r="Z138" s="24">
        <v>204216</v>
      </c>
      <c r="AA138" s="24">
        <v>572010</v>
      </c>
      <c r="AB138" s="24">
        <v>0</v>
      </c>
      <c r="AC138" s="24"/>
      <c r="AD138" s="24"/>
      <c r="AE138" s="24"/>
      <c r="AF138" s="24"/>
    </row>
    <row r="139" spans="1:32" ht="62.4" x14ac:dyDescent="0.3">
      <c r="A139" s="23">
        <v>40969</v>
      </c>
      <c r="B139" s="24" t="s">
        <v>571</v>
      </c>
      <c r="C139" s="24">
        <v>30264</v>
      </c>
      <c r="D139" s="24" t="s">
        <v>585</v>
      </c>
      <c r="E139" s="24" t="s">
        <v>586</v>
      </c>
      <c r="F139" s="24" t="s">
        <v>574</v>
      </c>
      <c r="G139" s="24">
        <v>1728731</v>
      </c>
      <c r="H139" s="25">
        <v>26506.07</v>
      </c>
      <c r="I139" s="26">
        <v>26506.07</v>
      </c>
      <c r="J139" s="24" t="s">
        <v>688</v>
      </c>
      <c r="K139" s="24" t="s">
        <v>605</v>
      </c>
      <c r="L139" s="24" t="s">
        <v>577</v>
      </c>
      <c r="M139" s="24" t="s">
        <v>589</v>
      </c>
      <c r="N139" s="24" t="s">
        <v>590</v>
      </c>
      <c r="O139" s="24">
        <v>232145</v>
      </c>
      <c r="P139" s="25"/>
      <c r="Q139" s="25"/>
      <c r="R139" s="24" t="s">
        <v>761</v>
      </c>
      <c r="S139" s="24" t="s">
        <v>581</v>
      </c>
      <c r="T139" s="27">
        <v>40969</v>
      </c>
      <c r="U139" s="25">
        <v>1742797</v>
      </c>
      <c r="V139" s="24" t="s">
        <v>582</v>
      </c>
      <c r="W139" s="24" t="s">
        <v>583</v>
      </c>
      <c r="X139" s="24" t="s">
        <v>584</v>
      </c>
      <c r="Y139" s="24">
        <v>4020</v>
      </c>
      <c r="Z139" s="24">
        <v>204216</v>
      </c>
      <c r="AA139" s="24">
        <v>572010</v>
      </c>
      <c r="AB139" s="24">
        <v>0</v>
      </c>
      <c r="AC139" s="24"/>
      <c r="AD139" s="24"/>
      <c r="AE139" s="24"/>
      <c r="AF139" s="24"/>
    </row>
    <row r="140" spans="1:32" ht="62.4" x14ac:dyDescent="0.3">
      <c r="A140" s="23">
        <v>40969</v>
      </c>
      <c r="B140" s="24" t="s">
        <v>571</v>
      </c>
      <c r="C140" s="24">
        <v>30264</v>
      </c>
      <c r="D140" s="24" t="s">
        <v>585</v>
      </c>
      <c r="E140" s="24" t="s">
        <v>586</v>
      </c>
      <c r="F140" s="24" t="s">
        <v>574</v>
      </c>
      <c r="G140" s="24">
        <v>1728731</v>
      </c>
      <c r="H140" s="25">
        <v>8651.36</v>
      </c>
      <c r="I140" s="26">
        <v>8651.36</v>
      </c>
      <c r="J140" s="24" t="s">
        <v>688</v>
      </c>
      <c r="K140" s="24" t="s">
        <v>605</v>
      </c>
      <c r="L140" s="24" t="s">
        <v>577</v>
      </c>
      <c r="M140" s="24" t="s">
        <v>589</v>
      </c>
      <c r="N140" s="24" t="s">
        <v>590</v>
      </c>
      <c r="O140" s="24">
        <v>232145</v>
      </c>
      <c r="P140" s="25"/>
      <c r="Q140" s="25"/>
      <c r="R140" s="24" t="s">
        <v>762</v>
      </c>
      <c r="S140" s="24" t="s">
        <v>581</v>
      </c>
      <c r="T140" s="27">
        <v>40969</v>
      </c>
      <c r="U140" s="25">
        <v>1742798</v>
      </c>
      <c r="V140" s="24" t="s">
        <v>582</v>
      </c>
      <c r="W140" s="24" t="s">
        <v>583</v>
      </c>
      <c r="X140" s="24" t="s">
        <v>584</v>
      </c>
      <c r="Y140" s="24">
        <v>4020</v>
      </c>
      <c r="Z140" s="24">
        <v>204216</v>
      </c>
      <c r="AA140" s="24">
        <v>572010</v>
      </c>
      <c r="AB140" s="24">
        <v>0</v>
      </c>
      <c r="AC140" s="24"/>
      <c r="AD140" s="24"/>
      <c r="AE140" s="24"/>
      <c r="AF140" s="24"/>
    </row>
    <row r="141" spans="1:32" ht="62.4" x14ac:dyDescent="0.3">
      <c r="A141" s="23">
        <v>40969</v>
      </c>
      <c r="B141" s="24" t="s">
        <v>571</v>
      </c>
      <c r="C141" s="24">
        <v>30264</v>
      </c>
      <c r="D141" s="24" t="s">
        <v>585</v>
      </c>
      <c r="E141" s="24" t="s">
        <v>586</v>
      </c>
      <c r="F141" s="24" t="s">
        <v>574</v>
      </c>
      <c r="G141" s="24">
        <v>1744678</v>
      </c>
      <c r="H141" s="25">
        <v>3405</v>
      </c>
      <c r="I141" s="26">
        <v>3405</v>
      </c>
      <c r="J141" s="24" t="s">
        <v>763</v>
      </c>
      <c r="K141" s="24" t="s">
        <v>588</v>
      </c>
      <c r="L141" s="24" t="s">
        <v>633</v>
      </c>
      <c r="M141" s="24" t="s">
        <v>589</v>
      </c>
      <c r="N141" s="24" t="s">
        <v>590</v>
      </c>
      <c r="O141" s="24">
        <v>249653</v>
      </c>
      <c r="P141" s="25"/>
      <c r="Q141" s="25"/>
      <c r="R141" s="24" t="s">
        <v>764</v>
      </c>
      <c r="S141" s="24" t="s">
        <v>581</v>
      </c>
      <c r="T141" s="27">
        <v>40974</v>
      </c>
      <c r="U141" s="25">
        <v>1750012</v>
      </c>
      <c r="V141" s="24" t="s">
        <v>582</v>
      </c>
      <c r="W141" s="24" t="s">
        <v>583</v>
      </c>
      <c r="X141" s="24" t="s">
        <v>584</v>
      </c>
      <c r="Y141" s="24">
        <v>4020</v>
      </c>
      <c r="Z141" s="24">
        <v>204216</v>
      </c>
      <c r="AA141" s="24">
        <v>572010</v>
      </c>
      <c r="AB141" s="24">
        <v>0</v>
      </c>
      <c r="AC141" s="24"/>
      <c r="AD141" s="24"/>
      <c r="AE141" s="24"/>
      <c r="AF141" s="24"/>
    </row>
    <row r="142" spans="1:32" ht="62.4" x14ac:dyDescent="0.3">
      <c r="A142" s="23">
        <v>40969</v>
      </c>
      <c r="B142" s="24" t="s">
        <v>571</v>
      </c>
      <c r="C142" s="24">
        <v>30264</v>
      </c>
      <c r="D142" s="24" t="s">
        <v>585</v>
      </c>
      <c r="E142" s="24" t="s">
        <v>586</v>
      </c>
      <c r="F142" s="24" t="s">
        <v>574</v>
      </c>
      <c r="G142" s="24">
        <v>1745277</v>
      </c>
      <c r="H142" s="25">
        <v>390</v>
      </c>
      <c r="I142" s="25">
        <v>390</v>
      </c>
      <c r="J142" s="24" t="s">
        <v>765</v>
      </c>
      <c r="K142" s="24" t="s">
        <v>729</v>
      </c>
      <c r="L142" s="24" t="s">
        <v>633</v>
      </c>
      <c r="M142" s="24" t="s">
        <v>589</v>
      </c>
      <c r="N142" s="24" t="s">
        <v>590</v>
      </c>
      <c r="O142" s="24">
        <v>249654</v>
      </c>
      <c r="P142" s="25"/>
      <c r="Q142" s="25"/>
      <c r="R142" s="24" t="s">
        <v>766</v>
      </c>
      <c r="S142" s="24" t="s">
        <v>581</v>
      </c>
      <c r="T142" s="27">
        <v>40974</v>
      </c>
      <c r="U142" s="25">
        <v>1750309</v>
      </c>
      <c r="V142" s="24" t="s">
        <v>582</v>
      </c>
      <c r="W142" s="24" t="s">
        <v>583</v>
      </c>
      <c r="X142" s="24" t="s">
        <v>584</v>
      </c>
      <c r="Y142" s="24">
        <v>4020</v>
      </c>
      <c r="Z142" s="24">
        <v>204216</v>
      </c>
      <c r="AA142" s="24">
        <v>572010</v>
      </c>
      <c r="AB142" s="24">
        <v>0</v>
      </c>
      <c r="AC142" s="24"/>
      <c r="AD142" s="24"/>
      <c r="AE142" s="24"/>
      <c r="AF142" s="24"/>
    </row>
    <row r="143" spans="1:32" ht="62.4" x14ac:dyDescent="0.3">
      <c r="A143" s="23">
        <v>41000</v>
      </c>
      <c r="B143" s="24" t="s">
        <v>571</v>
      </c>
      <c r="C143" s="24">
        <v>30264</v>
      </c>
      <c r="D143" s="24" t="s">
        <v>572</v>
      </c>
      <c r="E143" s="24" t="s">
        <v>573</v>
      </c>
      <c r="F143" s="24" t="s">
        <v>574</v>
      </c>
      <c r="G143" s="24">
        <v>1819297</v>
      </c>
      <c r="H143" s="25">
        <v>6679.4</v>
      </c>
      <c r="I143" s="26">
        <v>6679.4</v>
      </c>
      <c r="J143" s="24" t="s">
        <v>678</v>
      </c>
      <c r="K143" s="24" t="s">
        <v>576</v>
      </c>
      <c r="L143" s="24" t="s">
        <v>633</v>
      </c>
      <c r="M143" s="24" t="s">
        <v>578</v>
      </c>
      <c r="N143" s="24" t="s">
        <v>579</v>
      </c>
      <c r="O143" s="24">
        <v>231976</v>
      </c>
      <c r="P143" s="25"/>
      <c r="Q143" s="25"/>
      <c r="R143" s="24" t="s">
        <v>767</v>
      </c>
      <c r="S143" s="24" t="s">
        <v>581</v>
      </c>
      <c r="T143" s="27">
        <v>41002</v>
      </c>
      <c r="U143" s="25">
        <v>1842512</v>
      </c>
      <c r="V143" s="24" t="s">
        <v>582</v>
      </c>
      <c r="W143" s="24" t="s">
        <v>583</v>
      </c>
      <c r="X143" s="24" t="s">
        <v>584</v>
      </c>
      <c r="Y143" s="24">
        <v>4020</v>
      </c>
      <c r="Z143" s="24">
        <v>204216</v>
      </c>
      <c r="AA143" s="24">
        <v>630120</v>
      </c>
      <c r="AB143" s="24">
        <v>0</v>
      </c>
      <c r="AC143" s="24"/>
      <c r="AD143" s="24"/>
      <c r="AE143" s="24"/>
      <c r="AF143" s="24"/>
    </row>
    <row r="144" spans="1:32" ht="72.599999999999994" x14ac:dyDescent="0.3">
      <c r="A144" s="23">
        <v>41000</v>
      </c>
      <c r="B144" s="24" t="s">
        <v>571</v>
      </c>
      <c r="C144" s="24">
        <v>30264</v>
      </c>
      <c r="D144" s="24" t="s">
        <v>625</v>
      </c>
      <c r="E144" s="24" t="s">
        <v>586</v>
      </c>
      <c r="F144" s="24" t="s">
        <v>574</v>
      </c>
      <c r="G144" s="24">
        <v>1848032</v>
      </c>
      <c r="H144" s="25">
        <v>680</v>
      </c>
      <c r="I144" s="25">
        <v>680</v>
      </c>
      <c r="J144" s="24" t="s">
        <v>695</v>
      </c>
      <c r="K144" s="24" t="s">
        <v>627</v>
      </c>
      <c r="L144" s="24" t="s">
        <v>633</v>
      </c>
      <c r="M144" s="24" t="s">
        <v>589</v>
      </c>
      <c r="N144" s="24" t="s">
        <v>628</v>
      </c>
      <c r="O144" s="24">
        <v>232079</v>
      </c>
      <c r="P144" s="25"/>
      <c r="Q144" s="25"/>
      <c r="R144" s="24" t="s">
        <v>768</v>
      </c>
      <c r="S144" s="24" t="s">
        <v>581</v>
      </c>
      <c r="T144" s="27">
        <v>41012</v>
      </c>
      <c r="U144" s="25">
        <v>1862538</v>
      </c>
      <c r="V144" s="24" t="s">
        <v>582</v>
      </c>
      <c r="W144" s="24" t="s">
        <v>583</v>
      </c>
      <c r="X144" s="24" t="s">
        <v>584</v>
      </c>
      <c r="Y144" s="24">
        <v>4020</v>
      </c>
      <c r="Z144" s="24">
        <v>204216</v>
      </c>
      <c r="AA144" s="24">
        <v>572010</v>
      </c>
      <c r="AB144" s="24">
        <v>0</v>
      </c>
      <c r="AC144" s="24"/>
      <c r="AD144" s="24"/>
      <c r="AE144" s="24"/>
      <c r="AF144" s="24"/>
    </row>
    <row r="145" spans="1:32" ht="72.599999999999994" x14ac:dyDescent="0.3">
      <c r="A145" s="23">
        <v>41000</v>
      </c>
      <c r="B145" s="24" t="s">
        <v>571</v>
      </c>
      <c r="C145" s="24">
        <v>30264</v>
      </c>
      <c r="D145" s="24" t="s">
        <v>625</v>
      </c>
      <c r="E145" s="24" t="s">
        <v>586</v>
      </c>
      <c r="F145" s="24" t="s">
        <v>574</v>
      </c>
      <c r="G145" s="24">
        <v>1860654</v>
      </c>
      <c r="H145" s="25">
        <v>720</v>
      </c>
      <c r="I145" s="25">
        <v>720</v>
      </c>
      <c r="J145" s="24" t="s">
        <v>695</v>
      </c>
      <c r="K145" s="24" t="s">
        <v>627</v>
      </c>
      <c r="L145" s="24" t="s">
        <v>577</v>
      </c>
      <c r="M145" s="24" t="s">
        <v>589</v>
      </c>
      <c r="N145" s="24" t="s">
        <v>628</v>
      </c>
      <c r="O145" s="24">
        <v>232079</v>
      </c>
      <c r="P145" s="25"/>
      <c r="Q145" s="25"/>
      <c r="R145" s="24" t="s">
        <v>769</v>
      </c>
      <c r="S145" s="24" t="s">
        <v>581</v>
      </c>
      <c r="T145" s="27">
        <v>41018</v>
      </c>
      <c r="U145" s="25">
        <v>1885336</v>
      </c>
      <c r="V145" s="24" t="s">
        <v>582</v>
      </c>
      <c r="W145" s="24" t="s">
        <v>583</v>
      </c>
      <c r="X145" s="24" t="s">
        <v>584</v>
      </c>
      <c r="Y145" s="24">
        <v>4020</v>
      </c>
      <c r="Z145" s="24">
        <v>204216</v>
      </c>
      <c r="AA145" s="24">
        <v>572010</v>
      </c>
      <c r="AB145" s="24">
        <v>0</v>
      </c>
      <c r="AC145" s="24"/>
      <c r="AD145" s="24"/>
      <c r="AE145" s="24"/>
      <c r="AF145" s="24"/>
    </row>
    <row r="146" spans="1:32" ht="62.4" x14ac:dyDescent="0.3">
      <c r="A146" s="23">
        <v>41000</v>
      </c>
      <c r="B146" s="24" t="s">
        <v>571</v>
      </c>
      <c r="C146" s="24">
        <v>30264</v>
      </c>
      <c r="D146" s="24" t="s">
        <v>585</v>
      </c>
      <c r="E146" s="24" t="s">
        <v>586</v>
      </c>
      <c r="F146" s="24" t="s">
        <v>574</v>
      </c>
      <c r="G146" s="24">
        <v>1848032</v>
      </c>
      <c r="H146" s="25">
        <v>2309</v>
      </c>
      <c r="I146" s="26">
        <v>2309</v>
      </c>
      <c r="J146" s="24" t="s">
        <v>680</v>
      </c>
      <c r="K146" s="24" t="s">
        <v>605</v>
      </c>
      <c r="L146" s="24" t="s">
        <v>633</v>
      </c>
      <c r="M146" s="24" t="s">
        <v>589</v>
      </c>
      <c r="N146" s="24" t="s">
        <v>590</v>
      </c>
      <c r="O146" s="24">
        <v>231985</v>
      </c>
      <c r="P146" s="25"/>
      <c r="Q146" s="25"/>
      <c r="R146" s="24" t="s">
        <v>770</v>
      </c>
      <c r="S146" s="24" t="s">
        <v>581</v>
      </c>
      <c r="T146" s="27">
        <v>41012</v>
      </c>
      <c r="U146" s="25">
        <v>1862536</v>
      </c>
      <c r="V146" s="24" t="s">
        <v>582</v>
      </c>
      <c r="W146" s="24" t="s">
        <v>583</v>
      </c>
      <c r="X146" s="24" t="s">
        <v>584</v>
      </c>
      <c r="Y146" s="24">
        <v>4020</v>
      </c>
      <c r="Z146" s="24">
        <v>204216</v>
      </c>
      <c r="AA146" s="24">
        <v>572010</v>
      </c>
      <c r="AB146" s="24">
        <v>0</v>
      </c>
      <c r="AC146" s="24"/>
      <c r="AD146" s="24"/>
      <c r="AE146" s="24"/>
      <c r="AF146" s="24"/>
    </row>
    <row r="147" spans="1:32" ht="62.4" x14ac:dyDescent="0.3">
      <c r="A147" s="23">
        <v>41000</v>
      </c>
      <c r="B147" s="24" t="s">
        <v>571</v>
      </c>
      <c r="C147" s="24">
        <v>30264</v>
      </c>
      <c r="D147" s="24" t="s">
        <v>585</v>
      </c>
      <c r="E147" s="24" t="s">
        <v>586</v>
      </c>
      <c r="F147" s="24" t="s">
        <v>574</v>
      </c>
      <c r="G147" s="24">
        <v>1848032</v>
      </c>
      <c r="H147" s="25">
        <v>2309</v>
      </c>
      <c r="I147" s="26">
        <v>2309</v>
      </c>
      <c r="J147" s="24" t="s">
        <v>680</v>
      </c>
      <c r="K147" s="24" t="s">
        <v>605</v>
      </c>
      <c r="L147" s="24" t="s">
        <v>633</v>
      </c>
      <c r="M147" s="24" t="s">
        <v>589</v>
      </c>
      <c r="N147" s="24" t="s">
        <v>590</v>
      </c>
      <c r="O147" s="24">
        <v>231985</v>
      </c>
      <c r="P147" s="25"/>
      <c r="Q147" s="25"/>
      <c r="R147" s="24" t="s">
        <v>771</v>
      </c>
      <c r="S147" s="24" t="s">
        <v>581</v>
      </c>
      <c r="T147" s="27">
        <v>41012</v>
      </c>
      <c r="U147" s="25">
        <v>1862537</v>
      </c>
      <c r="V147" s="24" t="s">
        <v>582</v>
      </c>
      <c r="W147" s="24" t="s">
        <v>583</v>
      </c>
      <c r="X147" s="24" t="s">
        <v>584</v>
      </c>
      <c r="Y147" s="24">
        <v>4020</v>
      </c>
      <c r="Z147" s="24">
        <v>204216</v>
      </c>
      <c r="AA147" s="24">
        <v>572010</v>
      </c>
      <c r="AB147" s="24">
        <v>0</v>
      </c>
      <c r="AC147" s="24"/>
      <c r="AD147" s="24"/>
      <c r="AE147" s="24"/>
      <c r="AF147" s="24"/>
    </row>
    <row r="148" spans="1:32" ht="62.4" x14ac:dyDescent="0.3">
      <c r="A148" s="23">
        <v>41000</v>
      </c>
      <c r="B148" s="24" t="s">
        <v>571</v>
      </c>
      <c r="C148" s="24">
        <v>30264</v>
      </c>
      <c r="D148" s="24" t="s">
        <v>585</v>
      </c>
      <c r="E148" s="24" t="s">
        <v>586</v>
      </c>
      <c r="F148" s="24" t="s">
        <v>574</v>
      </c>
      <c r="G148" s="24">
        <v>1848032</v>
      </c>
      <c r="H148" s="25">
        <v>5910</v>
      </c>
      <c r="I148" s="26">
        <v>5910</v>
      </c>
      <c r="J148" s="24" t="s">
        <v>684</v>
      </c>
      <c r="K148" s="24" t="s">
        <v>605</v>
      </c>
      <c r="L148" s="24" t="s">
        <v>633</v>
      </c>
      <c r="M148" s="24" t="s">
        <v>589</v>
      </c>
      <c r="N148" s="24" t="s">
        <v>590</v>
      </c>
      <c r="O148" s="24">
        <v>232084</v>
      </c>
      <c r="P148" s="25"/>
      <c r="Q148" s="25"/>
      <c r="R148" s="24" t="s">
        <v>772</v>
      </c>
      <c r="S148" s="24" t="s">
        <v>581</v>
      </c>
      <c r="T148" s="27">
        <v>41012</v>
      </c>
      <c r="U148" s="25">
        <v>1862539</v>
      </c>
      <c r="V148" s="24" t="s">
        <v>582</v>
      </c>
      <c r="W148" s="24" t="s">
        <v>583</v>
      </c>
      <c r="X148" s="24" t="s">
        <v>584</v>
      </c>
      <c r="Y148" s="24">
        <v>4020</v>
      </c>
      <c r="Z148" s="24">
        <v>204216</v>
      </c>
      <c r="AA148" s="24">
        <v>572010</v>
      </c>
      <c r="AB148" s="24">
        <v>0</v>
      </c>
      <c r="AC148" s="24"/>
      <c r="AD148" s="24"/>
      <c r="AE148" s="24"/>
      <c r="AF148" s="24"/>
    </row>
    <row r="149" spans="1:32" ht="62.4" x14ac:dyDescent="0.3">
      <c r="A149" s="23">
        <v>41000</v>
      </c>
      <c r="B149" s="24" t="s">
        <v>571</v>
      </c>
      <c r="C149" s="24">
        <v>30264</v>
      </c>
      <c r="D149" s="24" t="s">
        <v>585</v>
      </c>
      <c r="E149" s="24" t="s">
        <v>586</v>
      </c>
      <c r="F149" s="24" t="s">
        <v>574</v>
      </c>
      <c r="G149" s="24">
        <v>1848032</v>
      </c>
      <c r="H149" s="25">
        <v>5910</v>
      </c>
      <c r="I149" s="26">
        <v>5910</v>
      </c>
      <c r="J149" s="24" t="s">
        <v>684</v>
      </c>
      <c r="K149" s="24" t="s">
        <v>605</v>
      </c>
      <c r="L149" s="24" t="s">
        <v>633</v>
      </c>
      <c r="M149" s="24" t="s">
        <v>589</v>
      </c>
      <c r="N149" s="24" t="s">
        <v>590</v>
      </c>
      <c r="O149" s="24">
        <v>232084</v>
      </c>
      <c r="P149" s="25"/>
      <c r="Q149" s="25"/>
      <c r="R149" s="24" t="s">
        <v>773</v>
      </c>
      <c r="S149" s="24" t="s">
        <v>581</v>
      </c>
      <c r="T149" s="27">
        <v>41012</v>
      </c>
      <c r="U149" s="25">
        <v>1862540</v>
      </c>
      <c r="V149" s="24" t="s">
        <v>582</v>
      </c>
      <c r="W149" s="24" t="s">
        <v>583</v>
      </c>
      <c r="X149" s="24" t="s">
        <v>584</v>
      </c>
      <c r="Y149" s="24">
        <v>4020</v>
      </c>
      <c r="Z149" s="24">
        <v>204216</v>
      </c>
      <c r="AA149" s="24">
        <v>572010</v>
      </c>
      <c r="AB149" s="24">
        <v>0</v>
      </c>
      <c r="AC149" s="24"/>
      <c r="AD149" s="24"/>
      <c r="AE149" s="24"/>
      <c r="AF149" s="24"/>
    </row>
    <row r="150" spans="1:32" ht="62.4" x14ac:dyDescent="0.3">
      <c r="A150" s="23">
        <v>41000</v>
      </c>
      <c r="B150" s="24" t="s">
        <v>571</v>
      </c>
      <c r="C150" s="24">
        <v>30264</v>
      </c>
      <c r="D150" s="24" t="s">
        <v>585</v>
      </c>
      <c r="E150" s="24" t="s">
        <v>586</v>
      </c>
      <c r="F150" s="24" t="s">
        <v>574</v>
      </c>
      <c r="G150" s="24">
        <v>1860654</v>
      </c>
      <c r="H150" s="25">
        <v>2309</v>
      </c>
      <c r="I150" s="26">
        <v>2309</v>
      </c>
      <c r="J150" s="24" t="s">
        <v>680</v>
      </c>
      <c r="K150" s="24" t="s">
        <v>605</v>
      </c>
      <c r="L150" s="24" t="s">
        <v>577</v>
      </c>
      <c r="M150" s="24" t="s">
        <v>589</v>
      </c>
      <c r="N150" s="24" t="s">
        <v>590</v>
      </c>
      <c r="O150" s="24">
        <v>231985</v>
      </c>
      <c r="P150" s="25"/>
      <c r="Q150" s="25"/>
      <c r="R150" s="24" t="s">
        <v>774</v>
      </c>
      <c r="S150" s="24" t="s">
        <v>581</v>
      </c>
      <c r="T150" s="27">
        <v>41018</v>
      </c>
      <c r="U150" s="25">
        <v>1885335</v>
      </c>
      <c r="V150" s="24" t="s">
        <v>582</v>
      </c>
      <c r="W150" s="24" t="s">
        <v>583</v>
      </c>
      <c r="X150" s="24" t="s">
        <v>584</v>
      </c>
      <c r="Y150" s="24">
        <v>4020</v>
      </c>
      <c r="Z150" s="24">
        <v>204216</v>
      </c>
      <c r="AA150" s="24">
        <v>572010</v>
      </c>
      <c r="AB150" s="24">
        <v>0</v>
      </c>
      <c r="AC150" s="24"/>
      <c r="AD150" s="24"/>
      <c r="AE150" s="24"/>
      <c r="AF150" s="24"/>
    </row>
    <row r="151" spans="1:32" ht="62.4" x14ac:dyDescent="0.3">
      <c r="A151" s="23">
        <v>41000</v>
      </c>
      <c r="B151" s="24" t="s">
        <v>571</v>
      </c>
      <c r="C151" s="24">
        <v>30264</v>
      </c>
      <c r="D151" s="24" t="s">
        <v>585</v>
      </c>
      <c r="E151" s="24" t="s">
        <v>586</v>
      </c>
      <c r="F151" s="24" t="s">
        <v>574</v>
      </c>
      <c r="G151" s="24">
        <v>1860654</v>
      </c>
      <c r="H151" s="25">
        <v>21168.06</v>
      </c>
      <c r="I151" s="26">
        <v>21168.06</v>
      </c>
      <c r="J151" s="24" t="s">
        <v>684</v>
      </c>
      <c r="K151" s="24" t="s">
        <v>605</v>
      </c>
      <c r="L151" s="24" t="s">
        <v>577</v>
      </c>
      <c r="M151" s="24" t="s">
        <v>589</v>
      </c>
      <c r="N151" s="24" t="s">
        <v>590</v>
      </c>
      <c r="O151" s="24">
        <v>232084</v>
      </c>
      <c r="P151" s="25"/>
      <c r="Q151" s="25"/>
      <c r="R151" s="24" t="s">
        <v>775</v>
      </c>
      <c r="S151" s="24" t="s">
        <v>581</v>
      </c>
      <c r="T151" s="27">
        <v>41018</v>
      </c>
      <c r="U151" s="25">
        <v>1885337</v>
      </c>
      <c r="V151" s="24" t="s">
        <v>582</v>
      </c>
      <c r="W151" s="24" t="s">
        <v>583</v>
      </c>
      <c r="X151" s="24" t="s">
        <v>584</v>
      </c>
      <c r="Y151" s="24">
        <v>4020</v>
      </c>
      <c r="Z151" s="24">
        <v>204216</v>
      </c>
      <c r="AA151" s="24">
        <v>572010</v>
      </c>
      <c r="AB151" s="24">
        <v>0</v>
      </c>
      <c r="AC151" s="24"/>
      <c r="AD151" s="24"/>
      <c r="AE151" s="24"/>
      <c r="AF151" s="24"/>
    </row>
    <row r="152" spans="1:32" ht="72.599999999999994" x14ac:dyDescent="0.3">
      <c r="A152" s="23">
        <v>41030</v>
      </c>
      <c r="B152" s="24" t="s">
        <v>571</v>
      </c>
      <c r="C152" s="24">
        <v>30264</v>
      </c>
      <c r="D152" s="24" t="s">
        <v>625</v>
      </c>
      <c r="E152" s="24" t="s">
        <v>586</v>
      </c>
      <c r="F152" s="24" t="s">
        <v>574</v>
      </c>
      <c r="G152" s="24">
        <v>1899818</v>
      </c>
      <c r="H152" s="25">
        <v>680</v>
      </c>
      <c r="I152" s="25">
        <v>680</v>
      </c>
      <c r="J152" s="24" t="s">
        <v>695</v>
      </c>
      <c r="K152" s="24" t="s">
        <v>627</v>
      </c>
      <c r="L152" s="24" t="s">
        <v>633</v>
      </c>
      <c r="M152" s="24" t="s">
        <v>589</v>
      </c>
      <c r="N152" s="24" t="s">
        <v>628</v>
      </c>
      <c r="O152" s="24">
        <v>232079</v>
      </c>
      <c r="P152" s="25"/>
      <c r="Q152" s="25"/>
      <c r="R152" s="24" t="s">
        <v>776</v>
      </c>
      <c r="S152" s="24" t="s">
        <v>581</v>
      </c>
      <c r="T152" s="27">
        <v>41030</v>
      </c>
      <c r="U152" s="25">
        <v>1918836</v>
      </c>
      <c r="V152" s="24" t="s">
        <v>582</v>
      </c>
      <c r="W152" s="24" t="s">
        <v>583</v>
      </c>
      <c r="X152" s="24" t="s">
        <v>584</v>
      </c>
      <c r="Y152" s="24">
        <v>4020</v>
      </c>
      <c r="Z152" s="24">
        <v>204216</v>
      </c>
      <c r="AA152" s="24">
        <v>572010</v>
      </c>
      <c r="AB152" s="24">
        <v>0</v>
      </c>
      <c r="AC152" s="24"/>
      <c r="AD152" s="24"/>
      <c r="AE152" s="24"/>
      <c r="AF152" s="24"/>
    </row>
    <row r="153" spans="1:32" ht="72.599999999999994" x14ac:dyDescent="0.3">
      <c r="A153" s="23">
        <v>41030</v>
      </c>
      <c r="B153" s="24" t="s">
        <v>571</v>
      </c>
      <c r="C153" s="24">
        <v>30264</v>
      </c>
      <c r="D153" s="24" t="s">
        <v>625</v>
      </c>
      <c r="E153" s="24" t="s">
        <v>586</v>
      </c>
      <c r="F153" s="24" t="s">
        <v>574</v>
      </c>
      <c r="G153" s="24">
        <v>1906106</v>
      </c>
      <c r="H153" s="25">
        <v>3640</v>
      </c>
      <c r="I153" s="26">
        <v>3640</v>
      </c>
      <c r="J153" s="24" t="s">
        <v>695</v>
      </c>
      <c r="K153" s="24" t="s">
        <v>627</v>
      </c>
      <c r="L153" s="24" t="s">
        <v>633</v>
      </c>
      <c r="M153" s="24" t="s">
        <v>589</v>
      </c>
      <c r="N153" s="24" t="s">
        <v>628</v>
      </c>
      <c r="O153" s="24">
        <v>232079</v>
      </c>
      <c r="P153" s="25"/>
      <c r="Q153" s="25"/>
      <c r="R153" s="24" t="s">
        <v>777</v>
      </c>
      <c r="S153" s="24" t="s">
        <v>581</v>
      </c>
      <c r="T153" s="27">
        <v>41032</v>
      </c>
      <c r="U153" s="25">
        <v>1926610</v>
      </c>
      <c r="V153" s="24" t="s">
        <v>582</v>
      </c>
      <c r="W153" s="24" t="s">
        <v>583</v>
      </c>
      <c r="X153" s="24" t="s">
        <v>584</v>
      </c>
      <c r="Y153" s="24">
        <v>4020</v>
      </c>
      <c r="Z153" s="24">
        <v>204216</v>
      </c>
      <c r="AA153" s="24">
        <v>572010</v>
      </c>
      <c r="AB153" s="24">
        <v>0</v>
      </c>
      <c r="AC153" s="24"/>
      <c r="AD153" s="24"/>
      <c r="AE153" s="24"/>
      <c r="AF153" s="24"/>
    </row>
    <row r="154" spans="1:32" ht="72.599999999999994" x14ac:dyDescent="0.3">
      <c r="A154" s="23">
        <v>41030</v>
      </c>
      <c r="B154" s="24" t="s">
        <v>571</v>
      </c>
      <c r="C154" s="24">
        <v>30264</v>
      </c>
      <c r="D154" s="24" t="s">
        <v>625</v>
      </c>
      <c r="E154" s="24" t="s">
        <v>586</v>
      </c>
      <c r="F154" s="24" t="s">
        <v>574</v>
      </c>
      <c r="G154" s="24">
        <v>1974454</v>
      </c>
      <c r="H154" s="25">
        <v>1280</v>
      </c>
      <c r="I154" s="26">
        <v>1280</v>
      </c>
      <c r="J154" s="24" t="s">
        <v>695</v>
      </c>
      <c r="K154" s="24" t="s">
        <v>627</v>
      </c>
      <c r="L154" s="24" t="s">
        <v>577</v>
      </c>
      <c r="M154" s="24" t="s">
        <v>589</v>
      </c>
      <c r="N154" s="24" t="s">
        <v>628</v>
      </c>
      <c r="O154" s="24">
        <v>232079</v>
      </c>
      <c r="P154" s="25"/>
      <c r="Q154" s="25"/>
      <c r="R154" s="24" t="s">
        <v>778</v>
      </c>
      <c r="S154" s="24" t="s">
        <v>581</v>
      </c>
      <c r="T154" s="27">
        <v>41054</v>
      </c>
      <c r="U154" s="25">
        <v>1985752</v>
      </c>
      <c r="V154" s="24" t="s">
        <v>582</v>
      </c>
      <c r="W154" s="24" t="s">
        <v>583</v>
      </c>
      <c r="X154" s="24" t="s">
        <v>584</v>
      </c>
      <c r="Y154" s="24">
        <v>4020</v>
      </c>
      <c r="Z154" s="24">
        <v>204216</v>
      </c>
      <c r="AA154" s="24">
        <v>572010</v>
      </c>
      <c r="AB154" s="24">
        <v>0</v>
      </c>
      <c r="AC154" s="24"/>
      <c r="AD154" s="24"/>
      <c r="AE154" s="24"/>
      <c r="AF154" s="24"/>
    </row>
    <row r="155" spans="1:32" ht="62.4" x14ac:dyDescent="0.3">
      <c r="A155" s="23">
        <v>41030</v>
      </c>
      <c r="B155" s="24" t="s">
        <v>571</v>
      </c>
      <c r="C155" s="24">
        <v>30264</v>
      </c>
      <c r="D155" s="24" t="s">
        <v>585</v>
      </c>
      <c r="E155" s="24" t="s">
        <v>586</v>
      </c>
      <c r="F155" s="24" t="s">
        <v>574</v>
      </c>
      <c r="G155" s="24">
        <v>1906106</v>
      </c>
      <c r="H155" s="25">
        <v>1910.5</v>
      </c>
      <c r="I155" s="26">
        <v>1910.5</v>
      </c>
      <c r="J155" s="24" t="s">
        <v>688</v>
      </c>
      <c r="K155" s="24" t="s">
        <v>605</v>
      </c>
      <c r="L155" s="24" t="s">
        <v>633</v>
      </c>
      <c r="M155" s="24" t="s">
        <v>589</v>
      </c>
      <c r="N155" s="24" t="s">
        <v>590</v>
      </c>
      <c r="O155" s="24">
        <v>232145</v>
      </c>
      <c r="P155" s="25"/>
      <c r="Q155" s="25"/>
      <c r="R155" s="24" t="s">
        <v>779</v>
      </c>
      <c r="S155" s="24" t="s">
        <v>581</v>
      </c>
      <c r="T155" s="27">
        <v>41032</v>
      </c>
      <c r="U155" s="25">
        <v>1926612</v>
      </c>
      <c r="V155" s="24" t="s">
        <v>582</v>
      </c>
      <c r="W155" s="24" t="s">
        <v>583</v>
      </c>
      <c r="X155" s="24" t="s">
        <v>584</v>
      </c>
      <c r="Y155" s="24">
        <v>4020</v>
      </c>
      <c r="Z155" s="24">
        <v>204216</v>
      </c>
      <c r="AA155" s="24">
        <v>572010</v>
      </c>
      <c r="AB155" s="24">
        <v>0</v>
      </c>
      <c r="AC155" s="24"/>
      <c r="AD155" s="24"/>
      <c r="AE155" s="24"/>
      <c r="AF155" s="24"/>
    </row>
    <row r="156" spans="1:32" ht="62.4" x14ac:dyDescent="0.3">
      <c r="A156" s="23">
        <v>41030</v>
      </c>
      <c r="B156" s="24" t="s">
        <v>571</v>
      </c>
      <c r="C156" s="24">
        <v>30264</v>
      </c>
      <c r="D156" s="24" t="s">
        <v>585</v>
      </c>
      <c r="E156" s="24" t="s">
        <v>586</v>
      </c>
      <c r="F156" s="24" t="s">
        <v>574</v>
      </c>
      <c r="G156" s="24">
        <v>1906106</v>
      </c>
      <c r="H156" s="25">
        <v>60198.85</v>
      </c>
      <c r="I156" s="26">
        <v>60198.85</v>
      </c>
      <c r="J156" s="24" t="s">
        <v>688</v>
      </c>
      <c r="K156" s="24" t="s">
        <v>605</v>
      </c>
      <c r="L156" s="24" t="s">
        <v>633</v>
      </c>
      <c r="M156" s="24" t="s">
        <v>589</v>
      </c>
      <c r="N156" s="24" t="s">
        <v>590</v>
      </c>
      <c r="O156" s="24">
        <v>232145</v>
      </c>
      <c r="P156" s="25"/>
      <c r="Q156" s="25"/>
      <c r="R156" s="24" t="s">
        <v>780</v>
      </c>
      <c r="S156" s="24" t="s">
        <v>581</v>
      </c>
      <c r="T156" s="27">
        <v>41032</v>
      </c>
      <c r="U156" s="25">
        <v>1926613</v>
      </c>
      <c r="V156" s="24" t="s">
        <v>582</v>
      </c>
      <c r="W156" s="24" t="s">
        <v>583</v>
      </c>
      <c r="X156" s="24" t="s">
        <v>584</v>
      </c>
      <c r="Y156" s="24">
        <v>4020</v>
      </c>
      <c r="Z156" s="24">
        <v>204216</v>
      </c>
      <c r="AA156" s="24">
        <v>572010</v>
      </c>
      <c r="AB156" s="24">
        <v>0</v>
      </c>
      <c r="AC156" s="24"/>
      <c r="AD156" s="24"/>
      <c r="AE156" s="24"/>
      <c r="AF156" s="24"/>
    </row>
    <row r="157" spans="1:32" ht="62.4" x14ac:dyDescent="0.3">
      <c r="A157" s="23">
        <v>41030</v>
      </c>
      <c r="B157" s="24" t="s">
        <v>571</v>
      </c>
      <c r="C157" s="24">
        <v>30264</v>
      </c>
      <c r="D157" s="24" t="s">
        <v>585</v>
      </c>
      <c r="E157" s="24" t="s">
        <v>586</v>
      </c>
      <c r="F157" s="24" t="s">
        <v>574</v>
      </c>
      <c r="G157" s="24">
        <v>1967637</v>
      </c>
      <c r="H157" s="25">
        <v>2309</v>
      </c>
      <c r="I157" s="26">
        <v>2309</v>
      </c>
      <c r="J157" s="24" t="s">
        <v>680</v>
      </c>
      <c r="K157" s="24" t="s">
        <v>605</v>
      </c>
      <c r="L157" s="24" t="s">
        <v>577</v>
      </c>
      <c r="M157" s="24" t="s">
        <v>589</v>
      </c>
      <c r="N157" s="24" t="s">
        <v>590</v>
      </c>
      <c r="O157" s="24">
        <v>231985</v>
      </c>
      <c r="P157" s="25"/>
      <c r="Q157" s="25"/>
      <c r="R157" s="24" t="s">
        <v>781</v>
      </c>
      <c r="S157" s="24" t="s">
        <v>581</v>
      </c>
      <c r="T157" s="27">
        <v>41052</v>
      </c>
      <c r="U157" s="25">
        <v>1979586</v>
      </c>
      <c r="V157" s="24" t="s">
        <v>582</v>
      </c>
      <c r="W157" s="24" t="s">
        <v>583</v>
      </c>
      <c r="X157" s="24" t="s">
        <v>584</v>
      </c>
      <c r="Y157" s="24">
        <v>4020</v>
      </c>
      <c r="Z157" s="24">
        <v>204216</v>
      </c>
      <c r="AA157" s="24">
        <v>572010</v>
      </c>
      <c r="AB157" s="24">
        <v>0</v>
      </c>
      <c r="AC157" s="24"/>
      <c r="AD157" s="24"/>
      <c r="AE157" s="24"/>
      <c r="AF157" s="24"/>
    </row>
    <row r="158" spans="1:32" ht="62.4" x14ac:dyDescent="0.3">
      <c r="A158" s="23">
        <v>41030</v>
      </c>
      <c r="B158" s="24" t="s">
        <v>571</v>
      </c>
      <c r="C158" s="24">
        <v>30264</v>
      </c>
      <c r="D158" s="24" t="s">
        <v>585</v>
      </c>
      <c r="E158" s="24" t="s">
        <v>586</v>
      </c>
      <c r="F158" s="24" t="s">
        <v>574</v>
      </c>
      <c r="G158" s="24">
        <v>1967637</v>
      </c>
      <c r="H158" s="25">
        <v>21168.06</v>
      </c>
      <c r="I158" s="26">
        <v>21168.06</v>
      </c>
      <c r="J158" s="24" t="s">
        <v>684</v>
      </c>
      <c r="K158" s="24" t="s">
        <v>605</v>
      </c>
      <c r="L158" s="24" t="s">
        <v>577</v>
      </c>
      <c r="M158" s="24" t="s">
        <v>589</v>
      </c>
      <c r="N158" s="24" t="s">
        <v>590</v>
      </c>
      <c r="O158" s="24">
        <v>232084</v>
      </c>
      <c r="P158" s="25"/>
      <c r="Q158" s="25"/>
      <c r="R158" s="24" t="s">
        <v>782</v>
      </c>
      <c r="S158" s="24" t="s">
        <v>581</v>
      </c>
      <c r="T158" s="27">
        <v>41052</v>
      </c>
      <c r="U158" s="25">
        <v>1979589</v>
      </c>
      <c r="V158" s="24" t="s">
        <v>582</v>
      </c>
      <c r="W158" s="24" t="s">
        <v>583</v>
      </c>
      <c r="X158" s="24" t="s">
        <v>584</v>
      </c>
      <c r="Y158" s="24">
        <v>4020</v>
      </c>
      <c r="Z158" s="24">
        <v>204216</v>
      </c>
      <c r="AA158" s="24">
        <v>572010</v>
      </c>
      <c r="AB158" s="24">
        <v>0</v>
      </c>
      <c r="AC158" s="24"/>
      <c r="AD158" s="24"/>
      <c r="AE158" s="24"/>
      <c r="AF158" s="24"/>
    </row>
    <row r="159" spans="1:32" ht="62.4" x14ac:dyDescent="0.3">
      <c r="A159" s="23">
        <v>41030</v>
      </c>
      <c r="B159" s="24" t="s">
        <v>571</v>
      </c>
      <c r="C159" s="24">
        <v>30264</v>
      </c>
      <c r="D159" s="24" t="s">
        <v>585</v>
      </c>
      <c r="E159" s="24" t="s">
        <v>783</v>
      </c>
      <c r="F159" s="24" t="s">
        <v>574</v>
      </c>
      <c r="G159" s="24">
        <v>1906106</v>
      </c>
      <c r="H159" s="25">
        <v>2880</v>
      </c>
      <c r="I159" s="26">
        <v>2880</v>
      </c>
      <c r="J159" s="24" t="s">
        <v>784</v>
      </c>
      <c r="K159" s="24" t="s">
        <v>588</v>
      </c>
      <c r="L159" s="24" t="s">
        <v>633</v>
      </c>
      <c r="M159" s="24" t="s">
        <v>785</v>
      </c>
      <c r="N159" s="24" t="s">
        <v>590</v>
      </c>
      <c r="O159" s="24">
        <v>254333</v>
      </c>
      <c r="P159" s="25"/>
      <c r="Q159" s="25"/>
      <c r="R159" s="24" t="s">
        <v>786</v>
      </c>
      <c r="S159" s="24" t="s">
        <v>581</v>
      </c>
      <c r="T159" s="27">
        <v>41032</v>
      </c>
      <c r="U159" s="25">
        <v>1926606</v>
      </c>
      <c r="V159" s="24" t="s">
        <v>582</v>
      </c>
      <c r="W159" s="24" t="s">
        <v>583</v>
      </c>
      <c r="X159" s="24" t="s">
        <v>584</v>
      </c>
      <c r="Y159" s="24">
        <v>4020</v>
      </c>
      <c r="Z159" s="24">
        <v>204216</v>
      </c>
      <c r="AA159" s="24">
        <v>588530</v>
      </c>
      <c r="AB159" s="24">
        <v>0</v>
      </c>
      <c r="AC159" s="24"/>
      <c r="AD159" s="24"/>
      <c r="AE159" s="24"/>
      <c r="AF159" s="24"/>
    </row>
    <row r="160" spans="1:32" ht="72.599999999999994" x14ac:dyDescent="0.3">
      <c r="A160" s="23">
        <v>41061</v>
      </c>
      <c r="B160" s="24" t="s">
        <v>571</v>
      </c>
      <c r="C160" s="24">
        <v>30264</v>
      </c>
      <c r="D160" s="24" t="s">
        <v>625</v>
      </c>
      <c r="E160" s="24" t="s">
        <v>586</v>
      </c>
      <c r="F160" s="24" t="s">
        <v>574</v>
      </c>
      <c r="G160" s="24">
        <v>2079840</v>
      </c>
      <c r="H160" s="25">
        <v>1400</v>
      </c>
      <c r="I160" s="26">
        <v>1400</v>
      </c>
      <c r="J160" s="24" t="s">
        <v>695</v>
      </c>
      <c r="K160" s="24" t="s">
        <v>627</v>
      </c>
      <c r="L160" s="24" t="s">
        <v>577</v>
      </c>
      <c r="M160" s="24" t="s">
        <v>589</v>
      </c>
      <c r="N160" s="24" t="s">
        <v>628</v>
      </c>
      <c r="O160" s="24">
        <v>232079</v>
      </c>
      <c r="P160" s="25"/>
      <c r="Q160" s="25"/>
      <c r="R160" s="24" t="s">
        <v>787</v>
      </c>
      <c r="S160" s="24" t="s">
        <v>581</v>
      </c>
      <c r="T160" s="27">
        <v>41085</v>
      </c>
      <c r="U160" s="25">
        <v>2082096</v>
      </c>
      <c r="V160" s="24" t="s">
        <v>582</v>
      </c>
      <c r="W160" s="24" t="s">
        <v>583</v>
      </c>
      <c r="X160" s="24" t="s">
        <v>584</v>
      </c>
      <c r="Y160" s="24">
        <v>4020</v>
      </c>
      <c r="Z160" s="24">
        <v>204216</v>
      </c>
      <c r="AA160" s="24">
        <v>572010</v>
      </c>
      <c r="AB160" s="24">
        <v>0</v>
      </c>
      <c r="AC160" s="24"/>
      <c r="AD160" s="24"/>
      <c r="AE160" s="24"/>
      <c r="AF160" s="24"/>
    </row>
    <row r="161" spans="1:32" ht="62.4" x14ac:dyDescent="0.3">
      <c r="A161" s="23">
        <v>41061</v>
      </c>
      <c r="B161" s="24" t="s">
        <v>571</v>
      </c>
      <c r="C161" s="24">
        <v>30264</v>
      </c>
      <c r="D161" s="24" t="s">
        <v>585</v>
      </c>
      <c r="E161" s="24" t="s">
        <v>586</v>
      </c>
      <c r="F161" s="24" t="s">
        <v>574</v>
      </c>
      <c r="G161" s="24">
        <v>2001553</v>
      </c>
      <c r="H161" s="25">
        <v>2050</v>
      </c>
      <c r="I161" s="26">
        <v>2050</v>
      </c>
      <c r="J161" s="24" t="s">
        <v>753</v>
      </c>
      <c r="K161" s="24" t="s">
        <v>663</v>
      </c>
      <c r="L161" s="24" t="s">
        <v>633</v>
      </c>
      <c r="M161" s="24" t="s">
        <v>589</v>
      </c>
      <c r="N161" s="24" t="s">
        <v>590</v>
      </c>
      <c r="O161" s="24">
        <v>248524</v>
      </c>
      <c r="P161" s="25"/>
      <c r="Q161" s="25"/>
      <c r="R161" s="24" t="s">
        <v>788</v>
      </c>
      <c r="S161" s="24" t="s">
        <v>581</v>
      </c>
      <c r="T161" s="27">
        <v>41061</v>
      </c>
      <c r="U161" s="25">
        <v>2016199</v>
      </c>
      <c r="V161" s="24" t="s">
        <v>582</v>
      </c>
      <c r="W161" s="24" t="s">
        <v>583</v>
      </c>
      <c r="X161" s="24" t="s">
        <v>584</v>
      </c>
      <c r="Y161" s="24">
        <v>4020</v>
      </c>
      <c r="Z161" s="24">
        <v>204216</v>
      </c>
      <c r="AA161" s="24">
        <v>572010</v>
      </c>
      <c r="AB161" s="24">
        <v>0</v>
      </c>
      <c r="AC161" s="24"/>
      <c r="AD161" s="24"/>
      <c r="AE161" s="24"/>
      <c r="AF161" s="24"/>
    </row>
    <row r="162" spans="1:32" ht="62.4" x14ac:dyDescent="0.3">
      <c r="A162" s="23">
        <v>41061</v>
      </c>
      <c r="B162" s="24" t="s">
        <v>571</v>
      </c>
      <c r="C162" s="24">
        <v>30264</v>
      </c>
      <c r="D162" s="24" t="s">
        <v>585</v>
      </c>
      <c r="E162" s="24" t="s">
        <v>586</v>
      </c>
      <c r="F162" s="24" t="s">
        <v>574</v>
      </c>
      <c r="G162" s="24">
        <v>2084236</v>
      </c>
      <c r="H162" s="25">
        <v>1755</v>
      </c>
      <c r="I162" s="26">
        <v>1755</v>
      </c>
      <c r="J162" s="24" t="s">
        <v>789</v>
      </c>
      <c r="K162" s="24" t="s">
        <v>790</v>
      </c>
      <c r="L162" s="24" t="s">
        <v>577</v>
      </c>
      <c r="M162" s="24" t="s">
        <v>589</v>
      </c>
      <c r="N162" s="24" t="s">
        <v>590</v>
      </c>
      <c r="O162" s="24">
        <v>259288</v>
      </c>
      <c r="P162" s="25"/>
      <c r="Q162" s="25"/>
      <c r="R162" s="24" t="s">
        <v>791</v>
      </c>
      <c r="S162" s="24" t="s">
        <v>581</v>
      </c>
      <c r="T162" s="27">
        <v>41086</v>
      </c>
      <c r="U162" s="25">
        <v>2096287</v>
      </c>
      <c r="V162" s="24" t="s">
        <v>582</v>
      </c>
      <c r="W162" s="24" t="s">
        <v>583</v>
      </c>
      <c r="X162" s="24" t="s">
        <v>584</v>
      </c>
      <c r="Y162" s="24">
        <v>4020</v>
      </c>
      <c r="Z162" s="24">
        <v>204216</v>
      </c>
      <c r="AA162" s="24">
        <v>572010</v>
      </c>
      <c r="AB162" s="24">
        <v>0</v>
      </c>
      <c r="AC162" s="24"/>
      <c r="AD162" s="24"/>
      <c r="AE162" s="24"/>
      <c r="AF162" s="24"/>
    </row>
    <row r="163" spans="1:32" ht="62.4" x14ac:dyDescent="0.3">
      <c r="A163" s="23">
        <v>41061</v>
      </c>
      <c r="B163" s="24" t="s">
        <v>571</v>
      </c>
      <c r="C163" s="24">
        <v>30264</v>
      </c>
      <c r="D163" s="24" t="s">
        <v>585</v>
      </c>
      <c r="E163" s="24" t="s">
        <v>586</v>
      </c>
      <c r="F163" s="24" t="s">
        <v>574</v>
      </c>
      <c r="G163" s="24">
        <v>2084236</v>
      </c>
      <c r="H163" s="25">
        <v>4650</v>
      </c>
      <c r="I163" s="26">
        <v>4650</v>
      </c>
      <c r="J163" s="24" t="s">
        <v>792</v>
      </c>
      <c r="K163" s="24" t="s">
        <v>790</v>
      </c>
      <c r="L163" s="24" t="s">
        <v>577</v>
      </c>
      <c r="M163" s="24" t="s">
        <v>589</v>
      </c>
      <c r="N163" s="24" t="s">
        <v>590</v>
      </c>
      <c r="O163" s="24">
        <v>259288</v>
      </c>
      <c r="P163" s="25"/>
      <c r="Q163" s="25"/>
      <c r="R163" s="24" t="s">
        <v>793</v>
      </c>
      <c r="S163" s="24" t="s">
        <v>581</v>
      </c>
      <c r="T163" s="27">
        <v>41086</v>
      </c>
      <c r="U163" s="25">
        <v>2096288</v>
      </c>
      <c r="V163" s="24" t="s">
        <v>582</v>
      </c>
      <c r="W163" s="24" t="s">
        <v>583</v>
      </c>
      <c r="X163" s="24" t="s">
        <v>584</v>
      </c>
      <c r="Y163" s="24">
        <v>4020</v>
      </c>
      <c r="Z163" s="24">
        <v>204216</v>
      </c>
      <c r="AA163" s="24">
        <v>572010</v>
      </c>
      <c r="AB163" s="24">
        <v>0</v>
      </c>
      <c r="AC163" s="24"/>
      <c r="AD163" s="24"/>
      <c r="AE163" s="24"/>
      <c r="AF163" s="24"/>
    </row>
    <row r="164" spans="1:32" ht="62.4" x14ac:dyDescent="0.3">
      <c r="A164" s="23">
        <v>41091</v>
      </c>
      <c r="B164" s="24" t="s">
        <v>571</v>
      </c>
      <c r="C164" s="24">
        <v>30264</v>
      </c>
      <c r="D164" s="24" t="s">
        <v>625</v>
      </c>
      <c r="E164" s="24" t="s">
        <v>586</v>
      </c>
      <c r="F164" s="24" t="s">
        <v>574</v>
      </c>
      <c r="G164" s="24">
        <v>2182180</v>
      </c>
      <c r="H164" s="25">
        <v>7000</v>
      </c>
      <c r="I164" s="26">
        <v>7000</v>
      </c>
      <c r="J164" s="24" t="s">
        <v>794</v>
      </c>
      <c r="K164" s="24" t="s">
        <v>627</v>
      </c>
      <c r="L164" s="24" t="s">
        <v>577</v>
      </c>
      <c r="M164" s="24" t="s">
        <v>589</v>
      </c>
      <c r="N164" s="24" t="s">
        <v>628</v>
      </c>
      <c r="O164" s="24">
        <v>262022</v>
      </c>
      <c r="P164" s="25"/>
      <c r="Q164" s="25"/>
      <c r="R164" s="24" t="s">
        <v>795</v>
      </c>
      <c r="S164" s="24" t="s">
        <v>581</v>
      </c>
      <c r="T164" s="27">
        <v>41114</v>
      </c>
      <c r="U164" s="25">
        <v>2196080</v>
      </c>
      <c r="V164" s="24" t="s">
        <v>582</v>
      </c>
      <c r="W164" s="24" t="s">
        <v>583</v>
      </c>
      <c r="X164" s="24" t="s">
        <v>584</v>
      </c>
      <c r="Y164" s="24">
        <v>4020</v>
      </c>
      <c r="Z164" s="24">
        <v>204216</v>
      </c>
      <c r="AA164" s="24">
        <v>572010</v>
      </c>
      <c r="AB164" s="24">
        <v>0</v>
      </c>
      <c r="AC164" s="24"/>
      <c r="AD164" s="24"/>
      <c r="AE164" s="24"/>
      <c r="AF164" s="24"/>
    </row>
    <row r="165" spans="1:32" ht="62.4" x14ac:dyDescent="0.3">
      <c r="A165" s="23">
        <v>41091</v>
      </c>
      <c r="B165" s="24" t="s">
        <v>571</v>
      </c>
      <c r="C165" s="24">
        <v>30264</v>
      </c>
      <c r="D165" s="24" t="s">
        <v>585</v>
      </c>
      <c r="E165" s="24" t="s">
        <v>586</v>
      </c>
      <c r="F165" s="24" t="s">
        <v>574</v>
      </c>
      <c r="G165" s="24">
        <v>2182180</v>
      </c>
      <c r="H165" s="25">
        <v>2309</v>
      </c>
      <c r="I165" s="26">
        <v>2309</v>
      </c>
      <c r="J165" s="24" t="s">
        <v>680</v>
      </c>
      <c r="K165" s="24" t="s">
        <v>605</v>
      </c>
      <c r="L165" s="24" t="s">
        <v>577</v>
      </c>
      <c r="M165" s="24" t="s">
        <v>589</v>
      </c>
      <c r="N165" s="24" t="s">
        <v>590</v>
      </c>
      <c r="O165" s="24">
        <v>231985</v>
      </c>
      <c r="P165" s="25"/>
      <c r="Q165" s="25"/>
      <c r="R165" s="24" t="s">
        <v>796</v>
      </c>
      <c r="S165" s="24" t="s">
        <v>581</v>
      </c>
      <c r="T165" s="27">
        <v>41114</v>
      </c>
      <c r="U165" s="25">
        <v>2195937</v>
      </c>
      <c r="V165" s="24" t="s">
        <v>582</v>
      </c>
      <c r="W165" s="24" t="s">
        <v>583</v>
      </c>
      <c r="X165" s="24" t="s">
        <v>584</v>
      </c>
      <c r="Y165" s="24">
        <v>4020</v>
      </c>
      <c r="Z165" s="24">
        <v>204216</v>
      </c>
      <c r="AA165" s="24">
        <v>572010</v>
      </c>
      <c r="AB165" s="24">
        <v>0</v>
      </c>
      <c r="AC165" s="24"/>
      <c r="AD165" s="24"/>
      <c r="AE165" s="24"/>
      <c r="AF165" s="24"/>
    </row>
    <row r="166" spans="1:32" ht="62.4" x14ac:dyDescent="0.3">
      <c r="A166" s="23">
        <v>41091</v>
      </c>
      <c r="B166" s="24" t="s">
        <v>571</v>
      </c>
      <c r="C166" s="24">
        <v>30264</v>
      </c>
      <c r="D166" s="24" t="s">
        <v>585</v>
      </c>
      <c r="E166" s="24" t="s">
        <v>586</v>
      </c>
      <c r="F166" s="24" t="s">
        <v>574</v>
      </c>
      <c r="G166" s="24">
        <v>2182180</v>
      </c>
      <c r="H166" s="25">
        <v>5910</v>
      </c>
      <c r="I166" s="26">
        <v>5910</v>
      </c>
      <c r="J166" s="24" t="s">
        <v>684</v>
      </c>
      <c r="K166" s="24" t="s">
        <v>605</v>
      </c>
      <c r="L166" s="24" t="s">
        <v>577</v>
      </c>
      <c r="M166" s="24" t="s">
        <v>589</v>
      </c>
      <c r="N166" s="24" t="s">
        <v>590</v>
      </c>
      <c r="O166" s="24">
        <v>232084</v>
      </c>
      <c r="P166" s="25"/>
      <c r="Q166" s="25"/>
      <c r="R166" s="24" t="s">
        <v>797</v>
      </c>
      <c r="S166" s="24" t="s">
        <v>581</v>
      </c>
      <c r="T166" s="27">
        <v>41114</v>
      </c>
      <c r="U166" s="25">
        <v>2195938</v>
      </c>
      <c r="V166" s="24" t="s">
        <v>582</v>
      </c>
      <c r="W166" s="24" t="s">
        <v>583</v>
      </c>
      <c r="X166" s="24" t="s">
        <v>584</v>
      </c>
      <c r="Y166" s="24">
        <v>4020</v>
      </c>
      <c r="Z166" s="24">
        <v>204216</v>
      </c>
      <c r="AA166" s="24">
        <v>572010</v>
      </c>
      <c r="AB166" s="24">
        <v>0</v>
      </c>
      <c r="AC166" s="24"/>
      <c r="AD166" s="24"/>
      <c r="AE166" s="24"/>
      <c r="AF166" s="24"/>
    </row>
    <row r="167" spans="1:32" ht="62.4" x14ac:dyDescent="0.3">
      <c r="A167" s="23">
        <v>41091</v>
      </c>
      <c r="B167" s="24" t="s">
        <v>571</v>
      </c>
      <c r="C167" s="24">
        <v>30264</v>
      </c>
      <c r="D167" s="24" t="s">
        <v>585</v>
      </c>
      <c r="E167" s="24" t="s">
        <v>586</v>
      </c>
      <c r="F167" s="24" t="s">
        <v>574</v>
      </c>
      <c r="G167" s="24">
        <v>2182180</v>
      </c>
      <c r="H167" s="25">
        <v>602.26</v>
      </c>
      <c r="I167" s="25">
        <v>602.26</v>
      </c>
      <c r="J167" s="24" t="s">
        <v>798</v>
      </c>
      <c r="K167" s="24" t="s">
        <v>724</v>
      </c>
      <c r="L167" s="24" t="s">
        <v>577</v>
      </c>
      <c r="M167" s="24" t="s">
        <v>589</v>
      </c>
      <c r="N167" s="24" t="s">
        <v>590</v>
      </c>
      <c r="O167" s="24">
        <v>262025</v>
      </c>
      <c r="P167" s="25"/>
      <c r="Q167" s="25"/>
      <c r="R167" s="24" t="s">
        <v>799</v>
      </c>
      <c r="S167" s="24" t="s">
        <v>581</v>
      </c>
      <c r="T167" s="27">
        <v>41114</v>
      </c>
      <c r="U167" s="25">
        <v>2196081</v>
      </c>
      <c r="V167" s="24" t="s">
        <v>582</v>
      </c>
      <c r="W167" s="24" t="s">
        <v>583</v>
      </c>
      <c r="X167" s="24" t="s">
        <v>584</v>
      </c>
      <c r="Y167" s="24">
        <v>4020</v>
      </c>
      <c r="Z167" s="24">
        <v>204216</v>
      </c>
      <c r="AA167" s="24">
        <v>572010</v>
      </c>
      <c r="AB167" s="24">
        <v>0</v>
      </c>
      <c r="AC167" s="24"/>
      <c r="AD167" s="24"/>
      <c r="AE167" s="24"/>
      <c r="AF167" s="24"/>
    </row>
    <row r="168" spans="1:32" ht="62.4" x14ac:dyDescent="0.3">
      <c r="A168" s="23">
        <v>41091</v>
      </c>
      <c r="B168" s="24" t="s">
        <v>571</v>
      </c>
      <c r="C168" s="24">
        <v>30264</v>
      </c>
      <c r="D168" s="24" t="s">
        <v>585</v>
      </c>
      <c r="E168" s="24" t="s">
        <v>586</v>
      </c>
      <c r="F168" s="24" t="s">
        <v>574</v>
      </c>
      <c r="G168" s="24">
        <v>2182180</v>
      </c>
      <c r="H168" s="25">
        <v>370</v>
      </c>
      <c r="I168" s="25">
        <v>370</v>
      </c>
      <c r="J168" s="24" t="s">
        <v>798</v>
      </c>
      <c r="K168" s="24" t="s">
        <v>724</v>
      </c>
      <c r="L168" s="24" t="s">
        <v>577</v>
      </c>
      <c r="M168" s="24" t="s">
        <v>589</v>
      </c>
      <c r="N168" s="24" t="s">
        <v>590</v>
      </c>
      <c r="O168" s="24">
        <v>262025</v>
      </c>
      <c r="P168" s="25"/>
      <c r="Q168" s="25"/>
      <c r="R168" s="24" t="s">
        <v>800</v>
      </c>
      <c r="S168" s="24" t="s">
        <v>581</v>
      </c>
      <c r="T168" s="27">
        <v>41114</v>
      </c>
      <c r="U168" s="25">
        <v>2196082</v>
      </c>
      <c r="V168" s="24" t="s">
        <v>582</v>
      </c>
      <c r="W168" s="24" t="s">
        <v>583</v>
      </c>
      <c r="X168" s="24" t="s">
        <v>584</v>
      </c>
      <c r="Y168" s="24">
        <v>4020</v>
      </c>
      <c r="Z168" s="24">
        <v>204216</v>
      </c>
      <c r="AA168" s="24">
        <v>572010</v>
      </c>
      <c r="AB168" s="24">
        <v>0</v>
      </c>
      <c r="AC168" s="24"/>
      <c r="AD168" s="24"/>
      <c r="AE168" s="24"/>
      <c r="AF168" s="24"/>
    </row>
    <row r="169" spans="1:32" ht="62.4" x14ac:dyDescent="0.3">
      <c r="A169" s="23">
        <v>41091</v>
      </c>
      <c r="B169" s="24" t="s">
        <v>571</v>
      </c>
      <c r="C169" s="24">
        <v>30264</v>
      </c>
      <c r="D169" s="24" t="s">
        <v>585</v>
      </c>
      <c r="E169" s="24" t="s">
        <v>586</v>
      </c>
      <c r="F169" s="24" t="s">
        <v>574</v>
      </c>
      <c r="G169" s="24">
        <v>2182180</v>
      </c>
      <c r="H169" s="25">
        <v>1617.26</v>
      </c>
      <c r="I169" s="26">
        <v>1617.26</v>
      </c>
      <c r="J169" s="24" t="s">
        <v>798</v>
      </c>
      <c r="K169" s="24" t="s">
        <v>724</v>
      </c>
      <c r="L169" s="24" t="s">
        <v>577</v>
      </c>
      <c r="M169" s="24" t="s">
        <v>589</v>
      </c>
      <c r="N169" s="24" t="s">
        <v>590</v>
      </c>
      <c r="O169" s="24">
        <v>262025</v>
      </c>
      <c r="P169" s="25"/>
      <c r="Q169" s="25"/>
      <c r="R169" s="24" t="s">
        <v>801</v>
      </c>
      <c r="S169" s="24" t="s">
        <v>581</v>
      </c>
      <c r="T169" s="27">
        <v>41114</v>
      </c>
      <c r="U169" s="25">
        <v>2196083</v>
      </c>
      <c r="V169" s="24" t="s">
        <v>582</v>
      </c>
      <c r="W169" s="24" t="s">
        <v>583</v>
      </c>
      <c r="X169" s="24" t="s">
        <v>584</v>
      </c>
      <c r="Y169" s="24">
        <v>4020</v>
      </c>
      <c r="Z169" s="24">
        <v>204216</v>
      </c>
      <c r="AA169" s="24">
        <v>572010</v>
      </c>
      <c r="AB169" s="24">
        <v>0</v>
      </c>
      <c r="AC169" s="24"/>
      <c r="AD169" s="24"/>
      <c r="AE169" s="24"/>
      <c r="AF169" s="24"/>
    </row>
    <row r="170" spans="1:32" ht="62.4" x14ac:dyDescent="0.3">
      <c r="A170" s="23">
        <v>41091</v>
      </c>
      <c r="B170" s="24" t="s">
        <v>571</v>
      </c>
      <c r="C170" s="24">
        <v>30264</v>
      </c>
      <c r="D170" s="24" t="s">
        <v>585</v>
      </c>
      <c r="E170" s="24" t="s">
        <v>586</v>
      </c>
      <c r="F170" s="24" t="s">
        <v>574</v>
      </c>
      <c r="G170" s="24">
        <v>2189271</v>
      </c>
      <c r="H170" s="25">
        <v>1925</v>
      </c>
      <c r="I170" s="26">
        <v>1925</v>
      </c>
      <c r="J170" s="24" t="s">
        <v>802</v>
      </c>
      <c r="K170" s="24" t="s">
        <v>724</v>
      </c>
      <c r="L170" s="24" t="s">
        <v>577</v>
      </c>
      <c r="M170" s="24" t="s">
        <v>589</v>
      </c>
      <c r="N170" s="24" t="s">
        <v>590</v>
      </c>
      <c r="O170" s="24">
        <v>245291</v>
      </c>
      <c r="P170" s="25"/>
      <c r="Q170" s="25"/>
      <c r="R170" s="24"/>
      <c r="S170" s="24" t="s">
        <v>581</v>
      </c>
      <c r="T170" s="27">
        <v>41116</v>
      </c>
      <c r="U170" s="25">
        <v>2198657</v>
      </c>
      <c r="V170" s="24" t="s">
        <v>582</v>
      </c>
      <c r="W170" s="24" t="s">
        <v>583</v>
      </c>
      <c r="X170" s="24" t="s">
        <v>584</v>
      </c>
      <c r="Y170" s="24">
        <v>4020</v>
      </c>
      <c r="Z170" s="24">
        <v>204216</v>
      </c>
      <c r="AA170" s="24">
        <v>572010</v>
      </c>
      <c r="AB170" s="24">
        <v>0</v>
      </c>
      <c r="AC170" s="24"/>
      <c r="AD170" s="24"/>
      <c r="AE170" s="24"/>
      <c r="AF170" s="24"/>
    </row>
    <row r="171" spans="1:32" ht="62.4" x14ac:dyDescent="0.3">
      <c r="A171" s="23">
        <v>41091</v>
      </c>
      <c r="B171" s="24" t="s">
        <v>571</v>
      </c>
      <c r="C171" s="24">
        <v>30264</v>
      </c>
      <c r="D171" s="24" t="s">
        <v>585</v>
      </c>
      <c r="E171" s="24" t="s">
        <v>803</v>
      </c>
      <c r="F171" s="24" t="s">
        <v>574</v>
      </c>
      <c r="G171" s="24">
        <v>2192871</v>
      </c>
      <c r="H171" s="25">
        <v>10450</v>
      </c>
      <c r="I171" s="26">
        <v>10450</v>
      </c>
      <c r="J171" s="24" t="s">
        <v>804</v>
      </c>
      <c r="K171" s="24" t="s">
        <v>655</v>
      </c>
      <c r="L171" s="24" t="s">
        <v>577</v>
      </c>
      <c r="M171" s="24" t="s">
        <v>504</v>
      </c>
      <c r="N171" s="24" t="s">
        <v>590</v>
      </c>
      <c r="O171" s="24">
        <v>258542</v>
      </c>
      <c r="P171" s="25"/>
      <c r="Q171" s="25"/>
      <c r="R171" s="24"/>
      <c r="S171" s="24" t="s">
        <v>581</v>
      </c>
      <c r="T171" s="27">
        <v>41117</v>
      </c>
      <c r="U171" s="25">
        <v>2201245</v>
      </c>
      <c r="V171" s="24" t="s">
        <v>582</v>
      </c>
      <c r="W171" s="24" t="s">
        <v>583</v>
      </c>
      <c r="X171" s="24" t="s">
        <v>584</v>
      </c>
      <c r="Y171" s="24">
        <v>4020</v>
      </c>
      <c r="Z171" s="24">
        <v>204216</v>
      </c>
      <c r="AA171" s="24">
        <v>586640</v>
      </c>
      <c r="AB171" s="24">
        <v>0</v>
      </c>
      <c r="AC171" s="24"/>
      <c r="AD171" s="24"/>
      <c r="AE171" s="24"/>
      <c r="AF171" s="24"/>
    </row>
    <row r="172" spans="1:32" ht="62.4" x14ac:dyDescent="0.3">
      <c r="A172" s="23">
        <v>41122</v>
      </c>
      <c r="B172" s="24" t="s">
        <v>571</v>
      </c>
      <c r="C172" s="24">
        <v>30264</v>
      </c>
      <c r="D172" s="24" t="s">
        <v>625</v>
      </c>
      <c r="E172" s="24" t="s">
        <v>586</v>
      </c>
      <c r="F172" s="24" t="s">
        <v>574</v>
      </c>
      <c r="G172" s="24">
        <v>2272274</v>
      </c>
      <c r="H172" s="25">
        <v>3760</v>
      </c>
      <c r="I172" s="26">
        <v>3760</v>
      </c>
      <c r="J172" s="24" t="s">
        <v>794</v>
      </c>
      <c r="K172" s="24" t="s">
        <v>627</v>
      </c>
      <c r="L172" s="24" t="s">
        <v>577</v>
      </c>
      <c r="M172" s="24" t="s">
        <v>589</v>
      </c>
      <c r="N172" s="24" t="s">
        <v>628</v>
      </c>
      <c r="O172" s="24">
        <v>262022</v>
      </c>
      <c r="P172" s="25"/>
      <c r="Q172" s="25"/>
      <c r="R172" s="24" t="s">
        <v>805</v>
      </c>
      <c r="S172" s="24" t="s">
        <v>581</v>
      </c>
      <c r="T172" s="27">
        <v>41141</v>
      </c>
      <c r="U172" s="25">
        <v>2275590</v>
      </c>
      <c r="V172" s="24" t="s">
        <v>582</v>
      </c>
      <c r="W172" s="24" t="s">
        <v>583</v>
      </c>
      <c r="X172" s="24" t="s">
        <v>584</v>
      </c>
      <c r="Y172" s="24">
        <v>4020</v>
      </c>
      <c r="Z172" s="24">
        <v>204216</v>
      </c>
      <c r="AA172" s="24">
        <v>572010</v>
      </c>
      <c r="AB172" s="24">
        <v>0</v>
      </c>
      <c r="AC172" s="24"/>
      <c r="AD172" s="24"/>
      <c r="AE172" s="24"/>
      <c r="AF172" s="24"/>
    </row>
    <row r="173" spans="1:32" ht="62.4" x14ac:dyDescent="0.3">
      <c r="A173" s="23">
        <v>41122</v>
      </c>
      <c r="B173" s="24" t="s">
        <v>571</v>
      </c>
      <c r="C173" s="24">
        <v>30264</v>
      </c>
      <c r="D173" s="24" t="s">
        <v>585</v>
      </c>
      <c r="E173" s="24" t="s">
        <v>586</v>
      </c>
      <c r="F173" s="24" t="s">
        <v>574</v>
      </c>
      <c r="G173" s="24">
        <v>2238000</v>
      </c>
      <c r="H173" s="25">
        <v>1063.5</v>
      </c>
      <c r="I173" s="26">
        <v>1063.5</v>
      </c>
      <c r="J173" s="24" t="s">
        <v>798</v>
      </c>
      <c r="K173" s="24" t="s">
        <v>724</v>
      </c>
      <c r="L173" s="24" t="s">
        <v>577</v>
      </c>
      <c r="M173" s="24" t="s">
        <v>589</v>
      </c>
      <c r="N173" s="24" t="s">
        <v>590</v>
      </c>
      <c r="O173" s="24">
        <v>262025</v>
      </c>
      <c r="P173" s="25"/>
      <c r="Q173" s="25"/>
      <c r="R173" s="24" t="s">
        <v>806</v>
      </c>
      <c r="S173" s="24" t="s">
        <v>581</v>
      </c>
      <c r="T173" s="27">
        <v>41130</v>
      </c>
      <c r="U173" s="25">
        <v>2252990</v>
      </c>
      <c r="V173" s="24" t="s">
        <v>582</v>
      </c>
      <c r="W173" s="24" t="s">
        <v>583</v>
      </c>
      <c r="X173" s="24" t="s">
        <v>584</v>
      </c>
      <c r="Y173" s="24">
        <v>4020</v>
      </c>
      <c r="Z173" s="24">
        <v>204216</v>
      </c>
      <c r="AA173" s="24">
        <v>572010</v>
      </c>
      <c r="AB173" s="24">
        <v>0</v>
      </c>
      <c r="AC173" s="24"/>
      <c r="AD173" s="24"/>
      <c r="AE173" s="24"/>
      <c r="AF173" s="24"/>
    </row>
    <row r="174" spans="1:32" ht="62.4" x14ac:dyDescent="0.3">
      <c r="A174" s="23">
        <v>41122</v>
      </c>
      <c r="B174" s="24" t="s">
        <v>571</v>
      </c>
      <c r="C174" s="24">
        <v>30264</v>
      </c>
      <c r="D174" s="24" t="s">
        <v>585</v>
      </c>
      <c r="E174" s="24" t="s">
        <v>586</v>
      </c>
      <c r="F174" s="24" t="s">
        <v>574</v>
      </c>
      <c r="G174" s="24">
        <v>2238000</v>
      </c>
      <c r="H174" s="25">
        <v>1790</v>
      </c>
      <c r="I174" s="26">
        <v>1790</v>
      </c>
      <c r="J174" s="24" t="s">
        <v>798</v>
      </c>
      <c r="K174" s="24" t="s">
        <v>724</v>
      </c>
      <c r="L174" s="24" t="s">
        <v>577</v>
      </c>
      <c r="M174" s="24" t="s">
        <v>589</v>
      </c>
      <c r="N174" s="24" t="s">
        <v>590</v>
      </c>
      <c r="O174" s="24">
        <v>262025</v>
      </c>
      <c r="P174" s="25"/>
      <c r="Q174" s="25"/>
      <c r="R174" s="24" t="s">
        <v>807</v>
      </c>
      <c r="S174" s="24" t="s">
        <v>581</v>
      </c>
      <c r="T174" s="27">
        <v>41130</v>
      </c>
      <c r="U174" s="25">
        <v>2252991</v>
      </c>
      <c r="V174" s="24" t="s">
        <v>582</v>
      </c>
      <c r="W174" s="24" t="s">
        <v>583</v>
      </c>
      <c r="X174" s="24" t="s">
        <v>584</v>
      </c>
      <c r="Y174" s="24">
        <v>4020</v>
      </c>
      <c r="Z174" s="24">
        <v>204216</v>
      </c>
      <c r="AA174" s="24">
        <v>572010</v>
      </c>
      <c r="AB174" s="24">
        <v>0</v>
      </c>
      <c r="AC174" s="24"/>
      <c r="AD174" s="24"/>
      <c r="AE174" s="24"/>
      <c r="AF174" s="24"/>
    </row>
    <row r="175" spans="1:32" ht="62.4" x14ac:dyDescent="0.3">
      <c r="A175" s="23">
        <v>41122</v>
      </c>
      <c r="B175" s="24" t="s">
        <v>571</v>
      </c>
      <c r="C175" s="24">
        <v>30264</v>
      </c>
      <c r="D175" s="24" t="s">
        <v>585</v>
      </c>
      <c r="E175" s="24" t="s">
        <v>586</v>
      </c>
      <c r="F175" s="24" t="s">
        <v>574</v>
      </c>
      <c r="G175" s="24">
        <v>2238000</v>
      </c>
      <c r="H175" s="25">
        <v>3927.5</v>
      </c>
      <c r="I175" s="26">
        <v>3927.5</v>
      </c>
      <c r="J175" s="24" t="s">
        <v>798</v>
      </c>
      <c r="K175" s="24" t="s">
        <v>724</v>
      </c>
      <c r="L175" s="24" t="s">
        <v>577</v>
      </c>
      <c r="M175" s="24" t="s">
        <v>589</v>
      </c>
      <c r="N175" s="24" t="s">
        <v>590</v>
      </c>
      <c r="O175" s="24">
        <v>262025</v>
      </c>
      <c r="P175" s="25"/>
      <c r="Q175" s="25"/>
      <c r="R175" s="24" t="s">
        <v>808</v>
      </c>
      <c r="S175" s="24" t="s">
        <v>581</v>
      </c>
      <c r="T175" s="27">
        <v>41130</v>
      </c>
      <c r="U175" s="25">
        <v>2252992</v>
      </c>
      <c r="V175" s="24" t="s">
        <v>582</v>
      </c>
      <c r="W175" s="24" t="s">
        <v>583</v>
      </c>
      <c r="X175" s="24" t="s">
        <v>584</v>
      </c>
      <c r="Y175" s="24">
        <v>4020</v>
      </c>
      <c r="Z175" s="24">
        <v>204216</v>
      </c>
      <c r="AA175" s="24">
        <v>572010</v>
      </c>
      <c r="AB175" s="24">
        <v>0</v>
      </c>
      <c r="AC175" s="24"/>
      <c r="AD175" s="24"/>
      <c r="AE175" s="24"/>
      <c r="AF175" s="24"/>
    </row>
    <row r="176" spans="1:32" ht="62.4" x14ac:dyDescent="0.3">
      <c r="A176" s="23">
        <v>41122</v>
      </c>
      <c r="B176" s="24" t="s">
        <v>571</v>
      </c>
      <c r="C176" s="24">
        <v>30264</v>
      </c>
      <c r="D176" s="24" t="s">
        <v>585</v>
      </c>
      <c r="E176" s="24" t="s">
        <v>586</v>
      </c>
      <c r="F176" s="24" t="s">
        <v>574</v>
      </c>
      <c r="G176" s="24">
        <v>2238000</v>
      </c>
      <c r="H176" s="25">
        <v>3068.75</v>
      </c>
      <c r="I176" s="26">
        <v>3068.75</v>
      </c>
      <c r="J176" s="24" t="s">
        <v>798</v>
      </c>
      <c r="K176" s="24" t="s">
        <v>724</v>
      </c>
      <c r="L176" s="24" t="s">
        <v>577</v>
      </c>
      <c r="M176" s="24" t="s">
        <v>589</v>
      </c>
      <c r="N176" s="24" t="s">
        <v>590</v>
      </c>
      <c r="O176" s="24">
        <v>262025</v>
      </c>
      <c r="P176" s="25"/>
      <c r="Q176" s="25"/>
      <c r="R176" s="24" t="s">
        <v>809</v>
      </c>
      <c r="S176" s="24" t="s">
        <v>581</v>
      </c>
      <c r="T176" s="27">
        <v>41130</v>
      </c>
      <c r="U176" s="25">
        <v>2252993</v>
      </c>
      <c r="V176" s="24" t="s">
        <v>582</v>
      </c>
      <c r="W176" s="24" t="s">
        <v>583</v>
      </c>
      <c r="X176" s="24" t="s">
        <v>584</v>
      </c>
      <c r="Y176" s="24">
        <v>4020</v>
      </c>
      <c r="Z176" s="24">
        <v>204216</v>
      </c>
      <c r="AA176" s="24">
        <v>572010</v>
      </c>
      <c r="AB176" s="24">
        <v>0</v>
      </c>
      <c r="AC176" s="24"/>
      <c r="AD176" s="24"/>
      <c r="AE176" s="24"/>
      <c r="AF176" s="24"/>
    </row>
    <row r="177" spans="1:32" ht="62.4" x14ac:dyDescent="0.3">
      <c r="A177" s="23">
        <v>41122</v>
      </c>
      <c r="B177" s="24" t="s">
        <v>571</v>
      </c>
      <c r="C177" s="24">
        <v>30264</v>
      </c>
      <c r="D177" s="24" t="s">
        <v>585</v>
      </c>
      <c r="E177" s="24" t="s">
        <v>586</v>
      </c>
      <c r="F177" s="24" t="s">
        <v>574</v>
      </c>
      <c r="G177" s="24">
        <v>2238000</v>
      </c>
      <c r="H177" s="25">
        <v>3157.5</v>
      </c>
      <c r="I177" s="26">
        <v>3157.5</v>
      </c>
      <c r="J177" s="24" t="s">
        <v>798</v>
      </c>
      <c r="K177" s="24" t="s">
        <v>724</v>
      </c>
      <c r="L177" s="24" t="s">
        <v>577</v>
      </c>
      <c r="M177" s="24" t="s">
        <v>589</v>
      </c>
      <c r="N177" s="24" t="s">
        <v>590</v>
      </c>
      <c r="O177" s="24">
        <v>262025</v>
      </c>
      <c r="P177" s="25"/>
      <c r="Q177" s="25"/>
      <c r="R177" s="24" t="s">
        <v>810</v>
      </c>
      <c r="S177" s="24" t="s">
        <v>581</v>
      </c>
      <c r="T177" s="27">
        <v>41130</v>
      </c>
      <c r="U177" s="25">
        <v>2252994</v>
      </c>
      <c r="V177" s="24" t="s">
        <v>582</v>
      </c>
      <c r="W177" s="24" t="s">
        <v>583</v>
      </c>
      <c r="X177" s="24" t="s">
        <v>584</v>
      </c>
      <c r="Y177" s="24">
        <v>4020</v>
      </c>
      <c r="Z177" s="24">
        <v>204216</v>
      </c>
      <c r="AA177" s="24">
        <v>572010</v>
      </c>
      <c r="AB177" s="24">
        <v>0</v>
      </c>
      <c r="AC177" s="24"/>
      <c r="AD177" s="24"/>
      <c r="AE177" s="24"/>
      <c r="AF177" s="24"/>
    </row>
    <row r="178" spans="1:32" ht="62.4" x14ac:dyDescent="0.3">
      <c r="A178" s="23">
        <v>41122</v>
      </c>
      <c r="B178" s="24" t="s">
        <v>571</v>
      </c>
      <c r="C178" s="24">
        <v>30264</v>
      </c>
      <c r="D178" s="24" t="s">
        <v>585</v>
      </c>
      <c r="E178" s="24" t="s">
        <v>586</v>
      </c>
      <c r="F178" s="24" t="s">
        <v>574</v>
      </c>
      <c r="G178" s="24">
        <v>2238000</v>
      </c>
      <c r="H178" s="25">
        <v>703.63</v>
      </c>
      <c r="I178" s="25">
        <v>703.63</v>
      </c>
      <c r="J178" s="24" t="s">
        <v>798</v>
      </c>
      <c r="K178" s="24" t="s">
        <v>724</v>
      </c>
      <c r="L178" s="24" t="s">
        <v>577</v>
      </c>
      <c r="M178" s="24" t="s">
        <v>589</v>
      </c>
      <c r="N178" s="24" t="s">
        <v>590</v>
      </c>
      <c r="O178" s="24">
        <v>262025</v>
      </c>
      <c r="P178" s="25"/>
      <c r="Q178" s="25"/>
      <c r="R178" s="24" t="s">
        <v>811</v>
      </c>
      <c r="S178" s="24" t="s">
        <v>581</v>
      </c>
      <c r="T178" s="27">
        <v>41130</v>
      </c>
      <c r="U178" s="25">
        <v>2252995</v>
      </c>
      <c r="V178" s="24" t="s">
        <v>582</v>
      </c>
      <c r="W178" s="24" t="s">
        <v>583</v>
      </c>
      <c r="X178" s="24" t="s">
        <v>584</v>
      </c>
      <c r="Y178" s="24">
        <v>4020</v>
      </c>
      <c r="Z178" s="24">
        <v>204216</v>
      </c>
      <c r="AA178" s="24">
        <v>572010</v>
      </c>
      <c r="AB178" s="24">
        <v>0</v>
      </c>
      <c r="AC178" s="24"/>
      <c r="AD178" s="24"/>
      <c r="AE178" s="24"/>
      <c r="AF178" s="24"/>
    </row>
    <row r="179" spans="1:32" ht="62.4" x14ac:dyDescent="0.3">
      <c r="A179" s="23">
        <v>41122</v>
      </c>
      <c r="B179" s="24" t="s">
        <v>571</v>
      </c>
      <c r="C179" s="24">
        <v>30264</v>
      </c>
      <c r="D179" s="24" t="s">
        <v>585</v>
      </c>
      <c r="E179" s="24" t="s">
        <v>586</v>
      </c>
      <c r="F179" s="24" t="s">
        <v>574</v>
      </c>
      <c r="G179" s="24">
        <v>2256979</v>
      </c>
      <c r="H179" s="25">
        <v>4050.88</v>
      </c>
      <c r="I179" s="26">
        <v>4050.88</v>
      </c>
      <c r="J179" s="24" t="s">
        <v>798</v>
      </c>
      <c r="K179" s="24" t="s">
        <v>724</v>
      </c>
      <c r="L179" s="24" t="s">
        <v>633</v>
      </c>
      <c r="M179" s="24" t="s">
        <v>589</v>
      </c>
      <c r="N179" s="24" t="s">
        <v>590</v>
      </c>
      <c r="O179" s="24">
        <v>262025</v>
      </c>
      <c r="P179" s="25"/>
      <c r="Q179" s="25"/>
      <c r="R179" s="24" t="s">
        <v>812</v>
      </c>
      <c r="S179" s="24" t="s">
        <v>581</v>
      </c>
      <c r="T179" s="27">
        <v>41135</v>
      </c>
      <c r="U179" s="25">
        <v>2265285</v>
      </c>
      <c r="V179" s="24" t="s">
        <v>582</v>
      </c>
      <c r="W179" s="24" t="s">
        <v>583</v>
      </c>
      <c r="X179" s="24" t="s">
        <v>584</v>
      </c>
      <c r="Y179" s="24">
        <v>4020</v>
      </c>
      <c r="Z179" s="24">
        <v>204216</v>
      </c>
      <c r="AA179" s="24">
        <v>572010</v>
      </c>
      <c r="AB179" s="24">
        <v>0</v>
      </c>
      <c r="AC179" s="24"/>
      <c r="AD179" s="24"/>
      <c r="AE179" s="24"/>
      <c r="AF179" s="24"/>
    </row>
    <row r="180" spans="1:32" ht="62.4" x14ac:dyDescent="0.3">
      <c r="A180" s="23">
        <v>41122</v>
      </c>
      <c r="B180" s="24" t="s">
        <v>571</v>
      </c>
      <c r="C180" s="24">
        <v>30264</v>
      </c>
      <c r="D180" s="24" t="s">
        <v>585</v>
      </c>
      <c r="E180" s="24" t="s">
        <v>586</v>
      </c>
      <c r="F180" s="24" t="s">
        <v>574</v>
      </c>
      <c r="G180" s="24">
        <v>2264289</v>
      </c>
      <c r="H180" s="25">
        <v>4750.88</v>
      </c>
      <c r="I180" s="26">
        <v>4750.88</v>
      </c>
      <c r="J180" s="24" t="s">
        <v>798</v>
      </c>
      <c r="K180" s="24" t="s">
        <v>724</v>
      </c>
      <c r="L180" s="24" t="s">
        <v>577</v>
      </c>
      <c r="M180" s="24" t="s">
        <v>589</v>
      </c>
      <c r="N180" s="24" t="s">
        <v>590</v>
      </c>
      <c r="O180" s="24">
        <v>262025</v>
      </c>
      <c r="P180" s="25"/>
      <c r="Q180" s="25"/>
      <c r="R180" s="24" t="s">
        <v>813</v>
      </c>
      <c r="S180" s="24" t="s">
        <v>581</v>
      </c>
      <c r="T180" s="27">
        <v>41138</v>
      </c>
      <c r="U180" s="25">
        <v>2273127</v>
      </c>
      <c r="V180" s="24" t="s">
        <v>582</v>
      </c>
      <c r="W180" s="24" t="s">
        <v>583</v>
      </c>
      <c r="X180" s="24" t="s">
        <v>584</v>
      </c>
      <c r="Y180" s="24">
        <v>4020</v>
      </c>
      <c r="Z180" s="24">
        <v>204216</v>
      </c>
      <c r="AA180" s="24">
        <v>572010</v>
      </c>
      <c r="AB180" s="24">
        <v>0</v>
      </c>
      <c r="AC180" s="24"/>
      <c r="AD180" s="24"/>
      <c r="AE180" s="24"/>
      <c r="AF180" s="24"/>
    </row>
    <row r="181" spans="1:32" ht="62.4" x14ac:dyDescent="0.3">
      <c r="A181" s="23">
        <v>41122</v>
      </c>
      <c r="B181" s="24" t="s">
        <v>571</v>
      </c>
      <c r="C181" s="24">
        <v>30264</v>
      </c>
      <c r="D181" s="24" t="s">
        <v>585</v>
      </c>
      <c r="E181" s="24" t="s">
        <v>586</v>
      </c>
      <c r="F181" s="24" t="s">
        <v>574</v>
      </c>
      <c r="G181" s="24">
        <v>2264289</v>
      </c>
      <c r="H181" s="25">
        <v>325</v>
      </c>
      <c r="I181" s="25">
        <v>325</v>
      </c>
      <c r="J181" s="24" t="s">
        <v>798</v>
      </c>
      <c r="K181" s="24" t="s">
        <v>724</v>
      </c>
      <c r="L181" s="24" t="s">
        <v>577</v>
      </c>
      <c r="M181" s="24" t="s">
        <v>589</v>
      </c>
      <c r="N181" s="24" t="s">
        <v>590</v>
      </c>
      <c r="O181" s="24">
        <v>262025</v>
      </c>
      <c r="P181" s="25"/>
      <c r="Q181" s="25"/>
      <c r="R181" s="24" t="s">
        <v>814</v>
      </c>
      <c r="S181" s="24" t="s">
        <v>581</v>
      </c>
      <c r="T181" s="27">
        <v>41138</v>
      </c>
      <c r="U181" s="25">
        <v>2273128</v>
      </c>
      <c r="V181" s="24" t="s">
        <v>582</v>
      </c>
      <c r="W181" s="24" t="s">
        <v>583</v>
      </c>
      <c r="X181" s="24" t="s">
        <v>584</v>
      </c>
      <c r="Y181" s="24">
        <v>4020</v>
      </c>
      <c r="Z181" s="24">
        <v>204216</v>
      </c>
      <c r="AA181" s="24">
        <v>572010</v>
      </c>
      <c r="AB181" s="24">
        <v>0</v>
      </c>
      <c r="AC181" s="24"/>
      <c r="AD181" s="24"/>
      <c r="AE181" s="24"/>
      <c r="AF181" s="24"/>
    </row>
    <row r="182" spans="1:32" ht="62.4" x14ac:dyDescent="0.3">
      <c r="A182" s="23">
        <v>41122</v>
      </c>
      <c r="B182" s="24" t="s">
        <v>571</v>
      </c>
      <c r="C182" s="24">
        <v>30264</v>
      </c>
      <c r="D182" s="24" t="s">
        <v>585</v>
      </c>
      <c r="E182" s="24" t="s">
        <v>586</v>
      </c>
      <c r="F182" s="24" t="s">
        <v>574</v>
      </c>
      <c r="G182" s="24">
        <v>2264289</v>
      </c>
      <c r="H182" s="25">
        <v>14804.47</v>
      </c>
      <c r="I182" s="26">
        <v>14804.47</v>
      </c>
      <c r="J182" s="24" t="s">
        <v>798</v>
      </c>
      <c r="K182" s="24" t="s">
        <v>724</v>
      </c>
      <c r="L182" s="24" t="s">
        <v>577</v>
      </c>
      <c r="M182" s="24" t="s">
        <v>589</v>
      </c>
      <c r="N182" s="24" t="s">
        <v>590</v>
      </c>
      <c r="O182" s="24">
        <v>262025</v>
      </c>
      <c r="P182" s="25"/>
      <c r="Q182" s="25"/>
      <c r="R182" s="24" t="s">
        <v>815</v>
      </c>
      <c r="S182" s="24" t="s">
        <v>581</v>
      </c>
      <c r="T182" s="27">
        <v>41138</v>
      </c>
      <c r="U182" s="25">
        <v>2273129</v>
      </c>
      <c r="V182" s="24" t="s">
        <v>582</v>
      </c>
      <c r="W182" s="24" t="s">
        <v>583</v>
      </c>
      <c r="X182" s="24" t="s">
        <v>584</v>
      </c>
      <c r="Y182" s="24">
        <v>4020</v>
      </c>
      <c r="Z182" s="24">
        <v>204216</v>
      </c>
      <c r="AA182" s="24">
        <v>572010</v>
      </c>
      <c r="AB182" s="24">
        <v>0</v>
      </c>
      <c r="AC182" s="24"/>
      <c r="AD182" s="24"/>
      <c r="AE182" s="24"/>
      <c r="AF182" s="24"/>
    </row>
    <row r="183" spans="1:32" ht="62.4" x14ac:dyDescent="0.3">
      <c r="A183" s="23">
        <v>41122</v>
      </c>
      <c r="B183" s="24" t="s">
        <v>571</v>
      </c>
      <c r="C183" s="24">
        <v>30264</v>
      </c>
      <c r="D183" s="24" t="s">
        <v>585</v>
      </c>
      <c r="E183" s="24" t="s">
        <v>586</v>
      </c>
      <c r="F183" s="24" t="s">
        <v>574</v>
      </c>
      <c r="G183" s="24">
        <v>2264289</v>
      </c>
      <c r="H183" s="25">
        <v>3708.38</v>
      </c>
      <c r="I183" s="26">
        <v>3708.38</v>
      </c>
      <c r="J183" s="24" t="s">
        <v>798</v>
      </c>
      <c r="K183" s="24" t="s">
        <v>724</v>
      </c>
      <c r="L183" s="24" t="s">
        <v>577</v>
      </c>
      <c r="M183" s="24" t="s">
        <v>589</v>
      </c>
      <c r="N183" s="24" t="s">
        <v>590</v>
      </c>
      <c r="O183" s="24">
        <v>262025</v>
      </c>
      <c r="P183" s="25"/>
      <c r="Q183" s="25"/>
      <c r="R183" s="24" t="s">
        <v>816</v>
      </c>
      <c r="S183" s="24" t="s">
        <v>581</v>
      </c>
      <c r="T183" s="27">
        <v>41138</v>
      </c>
      <c r="U183" s="25">
        <v>2273130</v>
      </c>
      <c r="V183" s="24" t="s">
        <v>582</v>
      </c>
      <c r="W183" s="24" t="s">
        <v>583</v>
      </c>
      <c r="X183" s="24" t="s">
        <v>584</v>
      </c>
      <c r="Y183" s="24">
        <v>4020</v>
      </c>
      <c r="Z183" s="24">
        <v>204216</v>
      </c>
      <c r="AA183" s="24">
        <v>572010</v>
      </c>
      <c r="AB183" s="24">
        <v>0</v>
      </c>
      <c r="AC183" s="24"/>
      <c r="AD183" s="24"/>
      <c r="AE183" s="24"/>
      <c r="AF183" s="24"/>
    </row>
    <row r="184" spans="1:32" ht="62.4" x14ac:dyDescent="0.3">
      <c r="A184" s="23">
        <v>41122</v>
      </c>
      <c r="B184" s="24" t="s">
        <v>571</v>
      </c>
      <c r="C184" s="24">
        <v>30264</v>
      </c>
      <c r="D184" s="24" t="s">
        <v>585</v>
      </c>
      <c r="E184" s="24" t="s">
        <v>586</v>
      </c>
      <c r="F184" s="24" t="s">
        <v>574</v>
      </c>
      <c r="G184" s="24">
        <v>2264289</v>
      </c>
      <c r="H184" s="25">
        <v>3120</v>
      </c>
      <c r="I184" s="26">
        <v>3120</v>
      </c>
      <c r="J184" s="24" t="s">
        <v>798</v>
      </c>
      <c r="K184" s="24" t="s">
        <v>724</v>
      </c>
      <c r="L184" s="24" t="s">
        <v>577</v>
      </c>
      <c r="M184" s="24" t="s">
        <v>589</v>
      </c>
      <c r="N184" s="24" t="s">
        <v>590</v>
      </c>
      <c r="O184" s="24">
        <v>262025</v>
      </c>
      <c r="P184" s="25"/>
      <c r="Q184" s="25"/>
      <c r="R184" s="24" t="s">
        <v>817</v>
      </c>
      <c r="S184" s="24" t="s">
        <v>581</v>
      </c>
      <c r="T184" s="27">
        <v>41138</v>
      </c>
      <c r="U184" s="25">
        <v>2273131</v>
      </c>
      <c r="V184" s="24" t="s">
        <v>582</v>
      </c>
      <c r="W184" s="24" t="s">
        <v>583</v>
      </c>
      <c r="X184" s="24" t="s">
        <v>584</v>
      </c>
      <c r="Y184" s="24">
        <v>4020</v>
      </c>
      <c r="Z184" s="24">
        <v>204216</v>
      </c>
      <c r="AA184" s="24">
        <v>572010</v>
      </c>
      <c r="AB184" s="24">
        <v>0</v>
      </c>
      <c r="AC184" s="24"/>
      <c r="AD184" s="24"/>
      <c r="AE184" s="24"/>
      <c r="AF184" s="24"/>
    </row>
    <row r="185" spans="1:32" ht="62.4" x14ac:dyDescent="0.3">
      <c r="A185" s="23">
        <v>41122</v>
      </c>
      <c r="B185" s="24" t="s">
        <v>571</v>
      </c>
      <c r="C185" s="24">
        <v>30264</v>
      </c>
      <c r="D185" s="24" t="s">
        <v>585</v>
      </c>
      <c r="E185" s="24" t="s">
        <v>586</v>
      </c>
      <c r="F185" s="24" t="s">
        <v>574</v>
      </c>
      <c r="G185" s="24">
        <v>2264289</v>
      </c>
      <c r="H185" s="25">
        <v>2165</v>
      </c>
      <c r="I185" s="26">
        <v>2165</v>
      </c>
      <c r="J185" s="24" t="s">
        <v>798</v>
      </c>
      <c r="K185" s="24" t="s">
        <v>724</v>
      </c>
      <c r="L185" s="24" t="s">
        <v>577</v>
      </c>
      <c r="M185" s="24" t="s">
        <v>589</v>
      </c>
      <c r="N185" s="24" t="s">
        <v>590</v>
      </c>
      <c r="O185" s="24">
        <v>262025</v>
      </c>
      <c r="P185" s="25"/>
      <c r="Q185" s="25"/>
      <c r="R185" s="24" t="s">
        <v>818</v>
      </c>
      <c r="S185" s="24" t="s">
        <v>581</v>
      </c>
      <c r="T185" s="27">
        <v>41138</v>
      </c>
      <c r="U185" s="25">
        <v>2273132</v>
      </c>
      <c r="V185" s="24" t="s">
        <v>582</v>
      </c>
      <c r="W185" s="24" t="s">
        <v>583</v>
      </c>
      <c r="X185" s="24" t="s">
        <v>584</v>
      </c>
      <c r="Y185" s="24">
        <v>4020</v>
      </c>
      <c r="Z185" s="24">
        <v>204216</v>
      </c>
      <c r="AA185" s="24">
        <v>572010</v>
      </c>
      <c r="AB185" s="24">
        <v>0</v>
      </c>
      <c r="AC185" s="24"/>
      <c r="AD185" s="24"/>
      <c r="AE185" s="24"/>
      <c r="AF185" s="24"/>
    </row>
    <row r="186" spans="1:32" ht="62.4" x14ac:dyDescent="0.3">
      <c r="A186" s="23">
        <v>41122</v>
      </c>
      <c r="B186" s="24" t="s">
        <v>571</v>
      </c>
      <c r="C186" s="24">
        <v>30264</v>
      </c>
      <c r="D186" s="24" t="s">
        <v>585</v>
      </c>
      <c r="E186" s="24" t="s">
        <v>586</v>
      </c>
      <c r="F186" s="24" t="s">
        <v>574</v>
      </c>
      <c r="G186" s="24">
        <v>2272274</v>
      </c>
      <c r="H186" s="25">
        <v>1468.63</v>
      </c>
      <c r="I186" s="26">
        <v>1468.63</v>
      </c>
      <c r="J186" s="24" t="s">
        <v>688</v>
      </c>
      <c r="K186" s="24" t="s">
        <v>605</v>
      </c>
      <c r="L186" s="24" t="s">
        <v>577</v>
      </c>
      <c r="M186" s="24" t="s">
        <v>589</v>
      </c>
      <c r="N186" s="24" t="s">
        <v>590</v>
      </c>
      <c r="O186" s="24">
        <v>232145</v>
      </c>
      <c r="P186" s="25"/>
      <c r="Q186" s="25"/>
      <c r="R186" s="24" t="s">
        <v>819</v>
      </c>
      <c r="S186" s="24" t="s">
        <v>581</v>
      </c>
      <c r="T186" s="27">
        <v>41141</v>
      </c>
      <c r="U186" s="25">
        <v>2275601</v>
      </c>
      <c r="V186" s="24" t="s">
        <v>582</v>
      </c>
      <c r="W186" s="24" t="s">
        <v>583</v>
      </c>
      <c r="X186" s="24" t="s">
        <v>584</v>
      </c>
      <c r="Y186" s="24">
        <v>4020</v>
      </c>
      <c r="Z186" s="24">
        <v>204216</v>
      </c>
      <c r="AA186" s="24">
        <v>572010</v>
      </c>
      <c r="AB186" s="24">
        <v>0</v>
      </c>
      <c r="AC186" s="24"/>
      <c r="AD186" s="24"/>
      <c r="AE186" s="24"/>
      <c r="AF186" s="24"/>
    </row>
    <row r="187" spans="1:32" ht="62.4" x14ac:dyDescent="0.3">
      <c r="A187" s="23">
        <v>41122</v>
      </c>
      <c r="B187" s="24" t="s">
        <v>571</v>
      </c>
      <c r="C187" s="24">
        <v>30264</v>
      </c>
      <c r="D187" s="24" t="s">
        <v>585</v>
      </c>
      <c r="E187" s="24" t="s">
        <v>586</v>
      </c>
      <c r="F187" s="24" t="s">
        <v>574</v>
      </c>
      <c r="G187" s="24">
        <v>2272274</v>
      </c>
      <c r="H187" s="25">
        <v>33665.5</v>
      </c>
      <c r="I187" s="26">
        <v>33665.5</v>
      </c>
      <c r="J187" s="24" t="s">
        <v>688</v>
      </c>
      <c r="K187" s="24" t="s">
        <v>605</v>
      </c>
      <c r="L187" s="24" t="s">
        <v>577</v>
      </c>
      <c r="M187" s="24" t="s">
        <v>589</v>
      </c>
      <c r="N187" s="24" t="s">
        <v>590</v>
      </c>
      <c r="O187" s="24">
        <v>232145</v>
      </c>
      <c r="P187" s="25"/>
      <c r="Q187" s="25"/>
      <c r="R187" s="24" t="s">
        <v>820</v>
      </c>
      <c r="S187" s="24" t="s">
        <v>581</v>
      </c>
      <c r="T187" s="27">
        <v>41141</v>
      </c>
      <c r="U187" s="25">
        <v>2275602</v>
      </c>
      <c r="V187" s="24" t="s">
        <v>582</v>
      </c>
      <c r="W187" s="24" t="s">
        <v>583</v>
      </c>
      <c r="X187" s="24" t="s">
        <v>584</v>
      </c>
      <c r="Y187" s="24">
        <v>4020</v>
      </c>
      <c r="Z187" s="24">
        <v>204216</v>
      </c>
      <c r="AA187" s="24">
        <v>572010</v>
      </c>
      <c r="AB187" s="24">
        <v>0</v>
      </c>
      <c r="AC187" s="24"/>
      <c r="AD187" s="24"/>
      <c r="AE187" s="24"/>
      <c r="AF187" s="24"/>
    </row>
    <row r="188" spans="1:32" ht="62.4" x14ac:dyDescent="0.3">
      <c r="A188" s="23">
        <v>41122</v>
      </c>
      <c r="B188" s="24" t="s">
        <v>571</v>
      </c>
      <c r="C188" s="24">
        <v>30264</v>
      </c>
      <c r="D188" s="24" t="s">
        <v>585</v>
      </c>
      <c r="E188" s="24" t="s">
        <v>586</v>
      </c>
      <c r="F188" s="24" t="s">
        <v>574</v>
      </c>
      <c r="G188" s="24">
        <v>2272274</v>
      </c>
      <c r="H188" s="25">
        <v>52019.28</v>
      </c>
      <c r="I188" s="26">
        <v>52019.28</v>
      </c>
      <c r="J188" s="24" t="s">
        <v>688</v>
      </c>
      <c r="K188" s="24" t="s">
        <v>605</v>
      </c>
      <c r="L188" s="24" t="s">
        <v>577</v>
      </c>
      <c r="M188" s="24" t="s">
        <v>589</v>
      </c>
      <c r="N188" s="24" t="s">
        <v>590</v>
      </c>
      <c r="O188" s="24">
        <v>232145</v>
      </c>
      <c r="P188" s="25"/>
      <c r="Q188" s="25"/>
      <c r="R188" s="24" t="s">
        <v>821</v>
      </c>
      <c r="S188" s="24" t="s">
        <v>581</v>
      </c>
      <c r="T188" s="27">
        <v>41141</v>
      </c>
      <c r="U188" s="25">
        <v>2275603</v>
      </c>
      <c r="V188" s="24" t="s">
        <v>582</v>
      </c>
      <c r="W188" s="24" t="s">
        <v>583</v>
      </c>
      <c r="X188" s="24" t="s">
        <v>584</v>
      </c>
      <c r="Y188" s="24">
        <v>4020</v>
      </c>
      <c r="Z188" s="24">
        <v>204216</v>
      </c>
      <c r="AA188" s="24">
        <v>572010</v>
      </c>
      <c r="AB188" s="24">
        <v>0</v>
      </c>
      <c r="AC188" s="24"/>
      <c r="AD188" s="24"/>
      <c r="AE188" s="24"/>
      <c r="AF188" s="24"/>
    </row>
    <row r="189" spans="1:32" ht="62.4" x14ac:dyDescent="0.3">
      <c r="A189" s="23">
        <v>41122</v>
      </c>
      <c r="B189" s="24" t="s">
        <v>571</v>
      </c>
      <c r="C189" s="24">
        <v>30264</v>
      </c>
      <c r="D189" s="24" t="s">
        <v>585</v>
      </c>
      <c r="E189" s="24" t="s">
        <v>586</v>
      </c>
      <c r="F189" s="24" t="s">
        <v>574</v>
      </c>
      <c r="G189" s="24">
        <v>2300811</v>
      </c>
      <c r="H189" s="25">
        <v>427.25</v>
      </c>
      <c r="I189" s="25">
        <v>427.25</v>
      </c>
      <c r="J189" s="24" t="s">
        <v>798</v>
      </c>
      <c r="K189" s="24" t="s">
        <v>724</v>
      </c>
      <c r="L189" s="24" t="s">
        <v>577</v>
      </c>
      <c r="M189" s="24" t="s">
        <v>589</v>
      </c>
      <c r="N189" s="24" t="s">
        <v>590</v>
      </c>
      <c r="O189" s="24">
        <v>262025</v>
      </c>
      <c r="P189" s="25"/>
      <c r="Q189" s="25"/>
      <c r="R189" s="24" t="s">
        <v>822</v>
      </c>
      <c r="S189" s="24" t="s">
        <v>581</v>
      </c>
      <c r="T189" s="27">
        <v>41150</v>
      </c>
      <c r="U189" s="25">
        <v>2310536</v>
      </c>
      <c r="V189" s="24" t="s">
        <v>582</v>
      </c>
      <c r="W189" s="24" t="s">
        <v>583</v>
      </c>
      <c r="X189" s="24" t="s">
        <v>584</v>
      </c>
      <c r="Y189" s="24">
        <v>4020</v>
      </c>
      <c r="Z189" s="24">
        <v>204216</v>
      </c>
      <c r="AA189" s="24">
        <v>572010</v>
      </c>
      <c r="AB189" s="24">
        <v>0</v>
      </c>
      <c r="AC189" s="24"/>
      <c r="AD189" s="24"/>
      <c r="AE189" s="24"/>
      <c r="AF189" s="24"/>
    </row>
    <row r="190" spans="1:32" ht="62.4" x14ac:dyDescent="0.3">
      <c r="A190" s="23">
        <v>41122</v>
      </c>
      <c r="B190" s="24" t="s">
        <v>571</v>
      </c>
      <c r="C190" s="24">
        <v>30264</v>
      </c>
      <c r="D190" s="24" t="s">
        <v>585</v>
      </c>
      <c r="E190" s="24" t="s">
        <v>586</v>
      </c>
      <c r="F190" s="24" t="s">
        <v>574</v>
      </c>
      <c r="G190" s="24">
        <v>2300811</v>
      </c>
      <c r="H190" s="25">
        <v>1252.69</v>
      </c>
      <c r="I190" s="26">
        <v>1252.69</v>
      </c>
      <c r="J190" s="24" t="s">
        <v>798</v>
      </c>
      <c r="K190" s="24" t="s">
        <v>724</v>
      </c>
      <c r="L190" s="24" t="s">
        <v>577</v>
      </c>
      <c r="M190" s="24" t="s">
        <v>589</v>
      </c>
      <c r="N190" s="24" t="s">
        <v>590</v>
      </c>
      <c r="O190" s="24">
        <v>262025</v>
      </c>
      <c r="P190" s="25"/>
      <c r="Q190" s="25"/>
      <c r="R190" s="24" t="s">
        <v>823</v>
      </c>
      <c r="S190" s="24" t="s">
        <v>581</v>
      </c>
      <c r="T190" s="27">
        <v>41150</v>
      </c>
      <c r="U190" s="25">
        <v>2310537</v>
      </c>
      <c r="V190" s="24" t="s">
        <v>582</v>
      </c>
      <c r="W190" s="24" t="s">
        <v>583</v>
      </c>
      <c r="X190" s="24" t="s">
        <v>584</v>
      </c>
      <c r="Y190" s="24">
        <v>4020</v>
      </c>
      <c r="Z190" s="24">
        <v>204216</v>
      </c>
      <c r="AA190" s="24">
        <v>572010</v>
      </c>
      <c r="AB190" s="24">
        <v>0</v>
      </c>
      <c r="AC190" s="24"/>
      <c r="AD190" s="24"/>
      <c r="AE190" s="24"/>
      <c r="AF190" s="24"/>
    </row>
    <row r="191" spans="1:32" ht="62.4" x14ac:dyDescent="0.3">
      <c r="A191" s="23">
        <v>41122</v>
      </c>
      <c r="B191" s="24" t="s">
        <v>571</v>
      </c>
      <c r="C191" s="24">
        <v>30264</v>
      </c>
      <c r="D191" s="24" t="s">
        <v>585</v>
      </c>
      <c r="E191" s="24" t="s">
        <v>586</v>
      </c>
      <c r="F191" s="24" t="s">
        <v>574</v>
      </c>
      <c r="G191" s="24">
        <v>2300811</v>
      </c>
      <c r="H191" s="25">
        <v>480</v>
      </c>
      <c r="I191" s="25">
        <v>480</v>
      </c>
      <c r="J191" s="24" t="s">
        <v>798</v>
      </c>
      <c r="K191" s="24" t="s">
        <v>724</v>
      </c>
      <c r="L191" s="24" t="s">
        <v>577</v>
      </c>
      <c r="M191" s="24" t="s">
        <v>589</v>
      </c>
      <c r="N191" s="24" t="s">
        <v>590</v>
      </c>
      <c r="O191" s="24">
        <v>262025</v>
      </c>
      <c r="P191" s="25"/>
      <c r="Q191" s="25"/>
      <c r="R191" s="24" t="s">
        <v>824</v>
      </c>
      <c r="S191" s="24" t="s">
        <v>581</v>
      </c>
      <c r="T191" s="27">
        <v>41150</v>
      </c>
      <c r="U191" s="25">
        <v>2310538</v>
      </c>
      <c r="V191" s="24" t="s">
        <v>582</v>
      </c>
      <c r="W191" s="24" t="s">
        <v>583</v>
      </c>
      <c r="X191" s="24" t="s">
        <v>584</v>
      </c>
      <c r="Y191" s="24">
        <v>4020</v>
      </c>
      <c r="Z191" s="24">
        <v>204216</v>
      </c>
      <c r="AA191" s="24">
        <v>572010</v>
      </c>
      <c r="AB191" s="24">
        <v>0</v>
      </c>
      <c r="AC191" s="24"/>
      <c r="AD191" s="24"/>
      <c r="AE191" s="24"/>
      <c r="AF191" s="24"/>
    </row>
    <row r="192" spans="1:32" ht="62.4" x14ac:dyDescent="0.3">
      <c r="A192" s="23">
        <v>41122</v>
      </c>
      <c r="B192" s="24" t="s">
        <v>571</v>
      </c>
      <c r="C192" s="24">
        <v>30264</v>
      </c>
      <c r="D192" s="24" t="s">
        <v>585</v>
      </c>
      <c r="E192" s="24" t="s">
        <v>825</v>
      </c>
      <c r="F192" s="24" t="s">
        <v>574</v>
      </c>
      <c r="G192" s="24">
        <v>2238000</v>
      </c>
      <c r="H192" s="25">
        <v>3120</v>
      </c>
      <c r="I192" s="26">
        <v>3120</v>
      </c>
      <c r="J192" s="24" t="s">
        <v>826</v>
      </c>
      <c r="K192" s="24" t="s">
        <v>588</v>
      </c>
      <c r="L192" s="24" t="s">
        <v>577</v>
      </c>
      <c r="M192" s="24" t="s">
        <v>504</v>
      </c>
      <c r="N192" s="24" t="s">
        <v>590</v>
      </c>
      <c r="O192" s="24">
        <v>264122</v>
      </c>
      <c r="P192" s="25"/>
      <c r="Q192" s="25"/>
      <c r="R192" s="24" t="s">
        <v>827</v>
      </c>
      <c r="S192" s="24" t="s">
        <v>581</v>
      </c>
      <c r="T192" s="27">
        <v>41130</v>
      </c>
      <c r="U192" s="25">
        <v>2253179</v>
      </c>
      <c r="V192" s="24" t="s">
        <v>582</v>
      </c>
      <c r="W192" s="24" t="s">
        <v>583</v>
      </c>
      <c r="X192" s="24" t="s">
        <v>584</v>
      </c>
      <c r="Y192" s="24">
        <v>4020</v>
      </c>
      <c r="Z192" s="24">
        <v>204216</v>
      </c>
      <c r="AA192" s="24">
        <v>586620</v>
      </c>
      <c r="AB192" s="24">
        <v>0</v>
      </c>
      <c r="AC192" s="24"/>
      <c r="AD192" s="24"/>
      <c r="AE192" s="24"/>
      <c r="AF192" s="24"/>
    </row>
    <row r="193" spans="1:32" ht="62.4" x14ac:dyDescent="0.3">
      <c r="A193" s="23">
        <v>41122</v>
      </c>
      <c r="B193" s="24" t="s">
        <v>571</v>
      </c>
      <c r="C193" s="24">
        <v>30264</v>
      </c>
      <c r="D193" s="24" t="s">
        <v>585</v>
      </c>
      <c r="E193" s="24" t="s">
        <v>783</v>
      </c>
      <c r="F193" s="24" t="s">
        <v>574</v>
      </c>
      <c r="G193" s="24">
        <v>2299651</v>
      </c>
      <c r="H193" s="25">
        <v>4300</v>
      </c>
      <c r="I193" s="26">
        <v>4300</v>
      </c>
      <c r="J193" s="24" t="s">
        <v>828</v>
      </c>
      <c r="K193" s="24" t="s">
        <v>829</v>
      </c>
      <c r="L193" s="24" t="s">
        <v>633</v>
      </c>
      <c r="M193" s="24" t="s">
        <v>785</v>
      </c>
      <c r="N193" s="24" t="s">
        <v>590</v>
      </c>
      <c r="O193" s="24">
        <v>266087</v>
      </c>
      <c r="P193" s="25"/>
      <c r="Q193" s="25"/>
      <c r="R193" s="24" t="s">
        <v>830</v>
      </c>
      <c r="S193" s="24" t="s">
        <v>581</v>
      </c>
      <c r="T193" s="27">
        <v>41149</v>
      </c>
      <c r="U193" s="25">
        <v>2305813</v>
      </c>
      <c r="V193" s="24" t="s">
        <v>582</v>
      </c>
      <c r="W193" s="24" t="s">
        <v>583</v>
      </c>
      <c r="X193" s="24" t="s">
        <v>584</v>
      </c>
      <c r="Y193" s="24">
        <v>4020</v>
      </c>
      <c r="Z193" s="24">
        <v>204216</v>
      </c>
      <c r="AA193" s="24">
        <v>588530</v>
      </c>
      <c r="AB193" s="24">
        <v>0</v>
      </c>
      <c r="AC193" s="24"/>
      <c r="AD193" s="24"/>
      <c r="AE193" s="24"/>
      <c r="AF193" s="24"/>
    </row>
    <row r="194" spans="1:32" ht="62.4" x14ac:dyDescent="0.3">
      <c r="A194" s="23">
        <v>41153</v>
      </c>
      <c r="B194" s="24" t="s">
        <v>571</v>
      </c>
      <c r="C194" s="24">
        <v>30264</v>
      </c>
      <c r="D194" s="24" t="s">
        <v>572</v>
      </c>
      <c r="E194" s="24" t="s">
        <v>573</v>
      </c>
      <c r="F194" s="24" t="s">
        <v>574</v>
      </c>
      <c r="G194" s="24">
        <v>2323981</v>
      </c>
      <c r="H194" s="25">
        <v>15324.4</v>
      </c>
      <c r="I194" s="26">
        <v>15324.4</v>
      </c>
      <c r="J194" s="24" t="s">
        <v>831</v>
      </c>
      <c r="K194" s="24" t="s">
        <v>576</v>
      </c>
      <c r="L194" s="24" t="s">
        <v>633</v>
      </c>
      <c r="M194" s="24" t="s">
        <v>578</v>
      </c>
      <c r="N194" s="24" t="s">
        <v>579</v>
      </c>
      <c r="O194" s="24">
        <v>262016</v>
      </c>
      <c r="P194" s="25"/>
      <c r="Q194" s="25"/>
      <c r="R194" s="24" t="s">
        <v>832</v>
      </c>
      <c r="S194" s="24" t="s">
        <v>581</v>
      </c>
      <c r="T194" s="27">
        <v>41156</v>
      </c>
      <c r="U194" s="25">
        <v>2336176</v>
      </c>
      <c r="V194" s="24" t="s">
        <v>582</v>
      </c>
      <c r="W194" s="24" t="s">
        <v>583</v>
      </c>
      <c r="X194" s="24" t="s">
        <v>584</v>
      </c>
      <c r="Y194" s="24">
        <v>4020</v>
      </c>
      <c r="Z194" s="24">
        <v>204216</v>
      </c>
      <c r="AA194" s="24">
        <v>630120</v>
      </c>
      <c r="AB194" s="24">
        <v>0</v>
      </c>
      <c r="AC194" s="24"/>
      <c r="AD194" s="24"/>
      <c r="AE194" s="24"/>
      <c r="AF194" s="24"/>
    </row>
    <row r="195" spans="1:32" ht="62.4" x14ac:dyDescent="0.3">
      <c r="A195" s="23">
        <v>41153</v>
      </c>
      <c r="B195" s="24" t="s">
        <v>571</v>
      </c>
      <c r="C195" s="24">
        <v>30264</v>
      </c>
      <c r="D195" s="24" t="s">
        <v>572</v>
      </c>
      <c r="E195" s="24" t="s">
        <v>573</v>
      </c>
      <c r="F195" s="24" t="s">
        <v>574</v>
      </c>
      <c r="G195" s="24">
        <v>2344002</v>
      </c>
      <c r="H195" s="25">
        <v>764.4</v>
      </c>
      <c r="I195" s="25">
        <v>764.4</v>
      </c>
      <c r="J195" s="24" t="s">
        <v>831</v>
      </c>
      <c r="K195" s="24" t="s">
        <v>576</v>
      </c>
      <c r="L195" s="24" t="s">
        <v>577</v>
      </c>
      <c r="M195" s="24" t="s">
        <v>578</v>
      </c>
      <c r="N195" s="24" t="s">
        <v>579</v>
      </c>
      <c r="O195" s="24">
        <v>262016</v>
      </c>
      <c r="P195" s="25"/>
      <c r="Q195" s="25"/>
      <c r="R195" s="24" t="s">
        <v>833</v>
      </c>
      <c r="S195" s="24" t="s">
        <v>581</v>
      </c>
      <c r="T195" s="27">
        <v>41163</v>
      </c>
      <c r="U195" s="25">
        <v>2358209</v>
      </c>
      <c r="V195" s="24" t="s">
        <v>582</v>
      </c>
      <c r="W195" s="24" t="s">
        <v>583</v>
      </c>
      <c r="X195" s="24" t="s">
        <v>584</v>
      </c>
      <c r="Y195" s="24">
        <v>4020</v>
      </c>
      <c r="Z195" s="24">
        <v>204216</v>
      </c>
      <c r="AA195" s="24">
        <v>630120</v>
      </c>
      <c r="AB195" s="24">
        <v>0</v>
      </c>
      <c r="AC195" s="24"/>
      <c r="AD195" s="24"/>
      <c r="AE195" s="24"/>
      <c r="AF195" s="24"/>
    </row>
    <row r="196" spans="1:32" ht="62.4" x14ac:dyDescent="0.3">
      <c r="A196" s="23">
        <v>41153</v>
      </c>
      <c r="B196" s="24" t="s">
        <v>571</v>
      </c>
      <c r="C196" s="24">
        <v>30264</v>
      </c>
      <c r="D196" s="24" t="s">
        <v>625</v>
      </c>
      <c r="E196" s="24" t="s">
        <v>586</v>
      </c>
      <c r="F196" s="24" t="s">
        <v>574</v>
      </c>
      <c r="G196" s="24">
        <v>2364842</v>
      </c>
      <c r="H196" s="25">
        <v>5120</v>
      </c>
      <c r="I196" s="26">
        <v>5120</v>
      </c>
      <c r="J196" s="24" t="s">
        <v>794</v>
      </c>
      <c r="K196" s="24" t="s">
        <v>627</v>
      </c>
      <c r="L196" s="24" t="s">
        <v>633</v>
      </c>
      <c r="M196" s="24" t="s">
        <v>589</v>
      </c>
      <c r="N196" s="24" t="s">
        <v>628</v>
      </c>
      <c r="O196" s="24">
        <v>262022</v>
      </c>
      <c r="P196" s="25"/>
      <c r="Q196" s="25"/>
      <c r="R196" s="24" t="s">
        <v>834</v>
      </c>
      <c r="S196" s="24" t="s">
        <v>581</v>
      </c>
      <c r="T196" s="27">
        <v>41169</v>
      </c>
      <c r="U196" s="25">
        <v>2365095</v>
      </c>
      <c r="V196" s="24" t="s">
        <v>582</v>
      </c>
      <c r="W196" s="24" t="s">
        <v>583</v>
      </c>
      <c r="X196" s="24" t="s">
        <v>584</v>
      </c>
      <c r="Y196" s="24">
        <v>4020</v>
      </c>
      <c r="Z196" s="24">
        <v>204216</v>
      </c>
      <c r="AA196" s="24">
        <v>572010</v>
      </c>
      <c r="AB196" s="24">
        <v>0</v>
      </c>
      <c r="AC196" s="24"/>
      <c r="AD196" s="24"/>
      <c r="AE196" s="24"/>
      <c r="AF196" s="24"/>
    </row>
    <row r="197" spans="1:32" ht="62.4" x14ac:dyDescent="0.3">
      <c r="A197" s="23">
        <v>41153</v>
      </c>
      <c r="B197" s="24" t="s">
        <v>571</v>
      </c>
      <c r="C197" s="24">
        <v>30264</v>
      </c>
      <c r="D197" s="24" t="s">
        <v>585</v>
      </c>
      <c r="E197" s="24" t="s">
        <v>586</v>
      </c>
      <c r="F197" s="24" t="s">
        <v>574</v>
      </c>
      <c r="G197" s="24">
        <v>2344002</v>
      </c>
      <c r="H197" s="25">
        <v>2320</v>
      </c>
      <c r="I197" s="26">
        <v>2320</v>
      </c>
      <c r="J197" s="24" t="s">
        <v>798</v>
      </c>
      <c r="K197" s="24" t="s">
        <v>724</v>
      </c>
      <c r="L197" s="24" t="s">
        <v>577</v>
      </c>
      <c r="M197" s="24" t="s">
        <v>589</v>
      </c>
      <c r="N197" s="24" t="s">
        <v>590</v>
      </c>
      <c r="O197" s="24">
        <v>262025</v>
      </c>
      <c r="P197" s="25"/>
      <c r="Q197" s="25"/>
      <c r="R197" s="24" t="s">
        <v>835</v>
      </c>
      <c r="S197" s="24" t="s">
        <v>581</v>
      </c>
      <c r="T197" s="27">
        <v>41163</v>
      </c>
      <c r="U197" s="25">
        <v>2358214</v>
      </c>
      <c r="V197" s="24" t="s">
        <v>582</v>
      </c>
      <c r="W197" s="24" t="s">
        <v>583</v>
      </c>
      <c r="X197" s="24" t="s">
        <v>584</v>
      </c>
      <c r="Y197" s="24">
        <v>4020</v>
      </c>
      <c r="Z197" s="24">
        <v>204216</v>
      </c>
      <c r="AA197" s="24">
        <v>572010</v>
      </c>
      <c r="AB197" s="24">
        <v>0</v>
      </c>
      <c r="AC197" s="24"/>
      <c r="AD197" s="24"/>
      <c r="AE197" s="24"/>
      <c r="AF197" s="24"/>
    </row>
    <row r="198" spans="1:32" ht="62.4" x14ac:dyDescent="0.3">
      <c r="A198" s="23">
        <v>41153</v>
      </c>
      <c r="B198" s="24" t="s">
        <v>571</v>
      </c>
      <c r="C198" s="24">
        <v>30264</v>
      </c>
      <c r="D198" s="24" t="s">
        <v>585</v>
      </c>
      <c r="E198" s="24" t="s">
        <v>586</v>
      </c>
      <c r="F198" s="24" t="s">
        <v>574</v>
      </c>
      <c r="G198" s="24">
        <v>2344002</v>
      </c>
      <c r="H198" s="25">
        <v>1025</v>
      </c>
      <c r="I198" s="26">
        <v>1025</v>
      </c>
      <c r="J198" s="24" t="s">
        <v>798</v>
      </c>
      <c r="K198" s="24" t="s">
        <v>724</v>
      </c>
      <c r="L198" s="24" t="s">
        <v>577</v>
      </c>
      <c r="M198" s="24" t="s">
        <v>589</v>
      </c>
      <c r="N198" s="24" t="s">
        <v>590</v>
      </c>
      <c r="O198" s="24">
        <v>262025</v>
      </c>
      <c r="P198" s="25"/>
      <c r="Q198" s="25"/>
      <c r="R198" s="24" t="s">
        <v>836</v>
      </c>
      <c r="S198" s="24" t="s">
        <v>581</v>
      </c>
      <c r="T198" s="27">
        <v>41163</v>
      </c>
      <c r="U198" s="25">
        <v>2358215</v>
      </c>
      <c r="V198" s="24" t="s">
        <v>582</v>
      </c>
      <c r="W198" s="24" t="s">
        <v>583</v>
      </c>
      <c r="X198" s="24" t="s">
        <v>584</v>
      </c>
      <c r="Y198" s="24">
        <v>4020</v>
      </c>
      <c r="Z198" s="24">
        <v>204216</v>
      </c>
      <c r="AA198" s="24">
        <v>572010</v>
      </c>
      <c r="AB198" s="24">
        <v>0</v>
      </c>
      <c r="AC198" s="24"/>
      <c r="AD198" s="24"/>
      <c r="AE198" s="24"/>
      <c r="AF198" s="24"/>
    </row>
    <row r="199" spans="1:32" ht="62.4" x14ac:dyDescent="0.3">
      <c r="A199" s="23">
        <v>41153</v>
      </c>
      <c r="B199" s="24" t="s">
        <v>571</v>
      </c>
      <c r="C199" s="24">
        <v>30264</v>
      </c>
      <c r="D199" s="24" t="s">
        <v>585</v>
      </c>
      <c r="E199" s="24" t="s">
        <v>586</v>
      </c>
      <c r="F199" s="24" t="s">
        <v>574</v>
      </c>
      <c r="G199" s="24">
        <v>2344002</v>
      </c>
      <c r="H199" s="25">
        <v>4270.38</v>
      </c>
      <c r="I199" s="26">
        <v>4270.38</v>
      </c>
      <c r="J199" s="24" t="s">
        <v>798</v>
      </c>
      <c r="K199" s="24" t="s">
        <v>724</v>
      </c>
      <c r="L199" s="24" t="s">
        <v>577</v>
      </c>
      <c r="M199" s="24" t="s">
        <v>589</v>
      </c>
      <c r="N199" s="24" t="s">
        <v>590</v>
      </c>
      <c r="O199" s="24">
        <v>262025</v>
      </c>
      <c r="P199" s="25"/>
      <c r="Q199" s="25"/>
      <c r="R199" s="24" t="s">
        <v>837</v>
      </c>
      <c r="S199" s="24" t="s">
        <v>581</v>
      </c>
      <c r="T199" s="27">
        <v>41163</v>
      </c>
      <c r="U199" s="25">
        <v>2358216</v>
      </c>
      <c r="V199" s="24" t="s">
        <v>582</v>
      </c>
      <c r="W199" s="24" t="s">
        <v>583</v>
      </c>
      <c r="X199" s="24" t="s">
        <v>584</v>
      </c>
      <c r="Y199" s="24">
        <v>4020</v>
      </c>
      <c r="Z199" s="24">
        <v>204216</v>
      </c>
      <c r="AA199" s="24">
        <v>572010</v>
      </c>
      <c r="AB199" s="24">
        <v>0</v>
      </c>
      <c r="AC199" s="24"/>
      <c r="AD199" s="24"/>
      <c r="AE199" s="24"/>
      <c r="AF199" s="24"/>
    </row>
    <row r="200" spans="1:32" ht="62.4" x14ac:dyDescent="0.3">
      <c r="A200" s="23">
        <v>41153</v>
      </c>
      <c r="B200" s="24" t="s">
        <v>571</v>
      </c>
      <c r="C200" s="24">
        <v>30264</v>
      </c>
      <c r="D200" s="24" t="s">
        <v>585</v>
      </c>
      <c r="E200" s="24" t="s">
        <v>586</v>
      </c>
      <c r="F200" s="24" t="s">
        <v>574</v>
      </c>
      <c r="G200" s="24">
        <v>2344002</v>
      </c>
      <c r="H200" s="25">
        <v>3009.25</v>
      </c>
      <c r="I200" s="26">
        <v>3009.25</v>
      </c>
      <c r="J200" s="24" t="s">
        <v>798</v>
      </c>
      <c r="K200" s="24" t="s">
        <v>724</v>
      </c>
      <c r="L200" s="24" t="s">
        <v>577</v>
      </c>
      <c r="M200" s="24" t="s">
        <v>589</v>
      </c>
      <c r="N200" s="24" t="s">
        <v>590</v>
      </c>
      <c r="O200" s="24">
        <v>262025</v>
      </c>
      <c r="P200" s="25"/>
      <c r="Q200" s="25"/>
      <c r="R200" s="24" t="s">
        <v>838</v>
      </c>
      <c r="S200" s="24" t="s">
        <v>581</v>
      </c>
      <c r="T200" s="27">
        <v>41163</v>
      </c>
      <c r="U200" s="25">
        <v>2358217</v>
      </c>
      <c r="V200" s="24" t="s">
        <v>582</v>
      </c>
      <c r="W200" s="24" t="s">
        <v>583</v>
      </c>
      <c r="X200" s="24" t="s">
        <v>584</v>
      </c>
      <c r="Y200" s="24">
        <v>4020</v>
      </c>
      <c r="Z200" s="24">
        <v>204216</v>
      </c>
      <c r="AA200" s="24">
        <v>572010</v>
      </c>
      <c r="AB200" s="24">
        <v>0</v>
      </c>
      <c r="AC200" s="24"/>
      <c r="AD200" s="24"/>
      <c r="AE200" s="24"/>
      <c r="AF200" s="24"/>
    </row>
    <row r="201" spans="1:32" ht="62.4" x14ac:dyDescent="0.3">
      <c r="A201" s="23">
        <v>41153</v>
      </c>
      <c r="B201" s="24" t="s">
        <v>571</v>
      </c>
      <c r="C201" s="24">
        <v>30264</v>
      </c>
      <c r="D201" s="24" t="s">
        <v>585</v>
      </c>
      <c r="E201" s="24" t="s">
        <v>586</v>
      </c>
      <c r="F201" s="24" t="s">
        <v>574</v>
      </c>
      <c r="G201" s="24">
        <v>2344002</v>
      </c>
      <c r="H201" s="25">
        <v>3261.25</v>
      </c>
      <c r="I201" s="26">
        <v>3261.25</v>
      </c>
      <c r="J201" s="24" t="s">
        <v>798</v>
      </c>
      <c r="K201" s="24" t="s">
        <v>724</v>
      </c>
      <c r="L201" s="24" t="s">
        <v>577</v>
      </c>
      <c r="M201" s="24" t="s">
        <v>589</v>
      </c>
      <c r="N201" s="24" t="s">
        <v>590</v>
      </c>
      <c r="O201" s="24">
        <v>262025</v>
      </c>
      <c r="P201" s="25"/>
      <c r="Q201" s="25"/>
      <c r="R201" s="24" t="s">
        <v>839</v>
      </c>
      <c r="S201" s="24" t="s">
        <v>581</v>
      </c>
      <c r="T201" s="27">
        <v>41163</v>
      </c>
      <c r="U201" s="25">
        <v>2358218</v>
      </c>
      <c r="V201" s="24" t="s">
        <v>582</v>
      </c>
      <c r="W201" s="24" t="s">
        <v>583</v>
      </c>
      <c r="X201" s="24" t="s">
        <v>584</v>
      </c>
      <c r="Y201" s="24">
        <v>4020</v>
      </c>
      <c r="Z201" s="24">
        <v>204216</v>
      </c>
      <c r="AA201" s="24">
        <v>572010</v>
      </c>
      <c r="AB201" s="24">
        <v>0</v>
      </c>
      <c r="AC201" s="24"/>
      <c r="AD201" s="24"/>
      <c r="AE201" s="24"/>
      <c r="AF201" s="24"/>
    </row>
    <row r="202" spans="1:32" ht="62.4" x14ac:dyDescent="0.3">
      <c r="A202" s="23">
        <v>41153</v>
      </c>
      <c r="B202" s="24" t="s">
        <v>571</v>
      </c>
      <c r="C202" s="24">
        <v>30264</v>
      </c>
      <c r="D202" s="24" t="s">
        <v>585</v>
      </c>
      <c r="E202" s="24" t="s">
        <v>586</v>
      </c>
      <c r="F202" s="24" t="s">
        <v>574</v>
      </c>
      <c r="G202" s="24">
        <v>2344002</v>
      </c>
      <c r="H202" s="25">
        <v>19006.63</v>
      </c>
      <c r="I202" s="26">
        <v>19006.63</v>
      </c>
      <c r="J202" s="24" t="s">
        <v>798</v>
      </c>
      <c r="K202" s="24" t="s">
        <v>724</v>
      </c>
      <c r="L202" s="24" t="s">
        <v>577</v>
      </c>
      <c r="M202" s="24" t="s">
        <v>589</v>
      </c>
      <c r="N202" s="24" t="s">
        <v>590</v>
      </c>
      <c r="O202" s="24">
        <v>262025</v>
      </c>
      <c r="P202" s="25"/>
      <c r="Q202" s="25"/>
      <c r="R202" s="24" t="s">
        <v>840</v>
      </c>
      <c r="S202" s="24" t="s">
        <v>581</v>
      </c>
      <c r="T202" s="27">
        <v>41163</v>
      </c>
      <c r="U202" s="25">
        <v>2358219</v>
      </c>
      <c r="V202" s="24" t="s">
        <v>582</v>
      </c>
      <c r="W202" s="24" t="s">
        <v>583</v>
      </c>
      <c r="X202" s="24" t="s">
        <v>584</v>
      </c>
      <c r="Y202" s="24">
        <v>4020</v>
      </c>
      <c r="Z202" s="24">
        <v>204216</v>
      </c>
      <c r="AA202" s="24">
        <v>572010</v>
      </c>
      <c r="AB202" s="24">
        <v>0</v>
      </c>
      <c r="AC202" s="24"/>
      <c r="AD202" s="24"/>
      <c r="AE202" s="24"/>
      <c r="AF202" s="24"/>
    </row>
    <row r="203" spans="1:32" ht="62.4" x14ac:dyDescent="0.3">
      <c r="A203" s="23">
        <v>41153</v>
      </c>
      <c r="B203" s="24" t="s">
        <v>571</v>
      </c>
      <c r="C203" s="24">
        <v>30264</v>
      </c>
      <c r="D203" s="24" t="s">
        <v>585</v>
      </c>
      <c r="E203" s="24" t="s">
        <v>586</v>
      </c>
      <c r="F203" s="24" t="s">
        <v>574</v>
      </c>
      <c r="G203" s="24">
        <v>2344002</v>
      </c>
      <c r="H203" s="25">
        <v>256.14</v>
      </c>
      <c r="I203" s="25">
        <v>256.14</v>
      </c>
      <c r="J203" s="24" t="s">
        <v>798</v>
      </c>
      <c r="K203" s="24" t="s">
        <v>724</v>
      </c>
      <c r="L203" s="24" t="s">
        <v>577</v>
      </c>
      <c r="M203" s="24" t="s">
        <v>589</v>
      </c>
      <c r="N203" s="24" t="s">
        <v>590</v>
      </c>
      <c r="O203" s="24">
        <v>262025</v>
      </c>
      <c r="P203" s="25"/>
      <c r="Q203" s="25"/>
      <c r="R203" s="24" t="s">
        <v>841</v>
      </c>
      <c r="S203" s="24" t="s">
        <v>581</v>
      </c>
      <c r="T203" s="27">
        <v>41163</v>
      </c>
      <c r="U203" s="25">
        <v>2358220</v>
      </c>
      <c r="V203" s="24" t="s">
        <v>582</v>
      </c>
      <c r="W203" s="24" t="s">
        <v>583</v>
      </c>
      <c r="X203" s="24" t="s">
        <v>584</v>
      </c>
      <c r="Y203" s="24">
        <v>4020</v>
      </c>
      <c r="Z203" s="24">
        <v>204216</v>
      </c>
      <c r="AA203" s="24">
        <v>572010</v>
      </c>
      <c r="AB203" s="24">
        <v>0</v>
      </c>
      <c r="AC203" s="24"/>
      <c r="AD203" s="24"/>
      <c r="AE203" s="24"/>
      <c r="AF203" s="24"/>
    </row>
    <row r="204" spans="1:32" ht="62.4" x14ac:dyDescent="0.3">
      <c r="A204" s="23">
        <v>41153</v>
      </c>
      <c r="B204" s="24" t="s">
        <v>571</v>
      </c>
      <c r="C204" s="24">
        <v>30264</v>
      </c>
      <c r="D204" s="24" t="s">
        <v>585</v>
      </c>
      <c r="E204" s="24" t="s">
        <v>586</v>
      </c>
      <c r="F204" s="24" t="s">
        <v>574</v>
      </c>
      <c r="G204" s="24">
        <v>2378278</v>
      </c>
      <c r="H204" s="25">
        <v>1785</v>
      </c>
      <c r="I204" s="26">
        <v>1785</v>
      </c>
      <c r="J204" s="24" t="s">
        <v>842</v>
      </c>
      <c r="K204" s="24" t="s">
        <v>843</v>
      </c>
      <c r="L204" s="24" t="s">
        <v>633</v>
      </c>
      <c r="M204" s="24" t="s">
        <v>589</v>
      </c>
      <c r="N204" s="24" t="s">
        <v>590</v>
      </c>
      <c r="O204" s="24">
        <v>268386</v>
      </c>
      <c r="P204" s="25"/>
      <c r="Q204" s="25"/>
      <c r="R204" s="24" t="s">
        <v>844</v>
      </c>
      <c r="S204" s="24" t="s">
        <v>581</v>
      </c>
      <c r="T204" s="27">
        <v>41173</v>
      </c>
      <c r="U204" s="25">
        <v>2381836</v>
      </c>
      <c r="V204" s="24" t="s">
        <v>582</v>
      </c>
      <c r="W204" s="24" t="s">
        <v>583</v>
      </c>
      <c r="X204" s="24" t="s">
        <v>584</v>
      </c>
      <c r="Y204" s="24">
        <v>4020</v>
      </c>
      <c r="Z204" s="24">
        <v>204255</v>
      </c>
      <c r="AA204" s="24">
        <v>572010</v>
      </c>
      <c r="AB204" s="24">
        <v>0</v>
      </c>
      <c r="AC204" s="24"/>
      <c r="AD204" s="24"/>
      <c r="AE204" s="24"/>
      <c r="AF204" s="24"/>
    </row>
    <row r="205" spans="1:32" ht="62.4" x14ac:dyDescent="0.3">
      <c r="A205" s="23">
        <v>41153</v>
      </c>
      <c r="B205" s="24" t="s">
        <v>571</v>
      </c>
      <c r="C205" s="24">
        <v>30264</v>
      </c>
      <c r="D205" s="24" t="s">
        <v>585</v>
      </c>
      <c r="E205" s="24" t="s">
        <v>845</v>
      </c>
      <c r="F205" s="24" t="s">
        <v>574</v>
      </c>
      <c r="G205" s="24">
        <v>2364842</v>
      </c>
      <c r="H205" s="25">
        <v>1250</v>
      </c>
      <c r="I205" s="26">
        <v>1250</v>
      </c>
      <c r="J205" s="24" t="s">
        <v>846</v>
      </c>
      <c r="K205" s="24" t="s">
        <v>790</v>
      </c>
      <c r="L205" s="24" t="s">
        <v>633</v>
      </c>
      <c r="M205" s="24" t="s">
        <v>504</v>
      </c>
      <c r="N205" s="24" t="s">
        <v>590</v>
      </c>
      <c r="O205" s="24">
        <v>267386</v>
      </c>
      <c r="P205" s="25"/>
      <c r="Q205" s="25"/>
      <c r="R205" s="24" t="s">
        <v>847</v>
      </c>
      <c r="S205" s="24" t="s">
        <v>581</v>
      </c>
      <c r="T205" s="27">
        <v>41169</v>
      </c>
      <c r="U205" s="25">
        <v>2365360</v>
      </c>
      <c r="V205" s="24" t="s">
        <v>582</v>
      </c>
      <c r="W205" s="24" t="s">
        <v>583</v>
      </c>
      <c r="X205" s="24" t="s">
        <v>584</v>
      </c>
      <c r="Y205" s="24">
        <v>4020</v>
      </c>
      <c r="Z205" s="24">
        <v>204216</v>
      </c>
      <c r="AA205" s="24">
        <v>586800</v>
      </c>
      <c r="AB205" s="24">
        <v>0</v>
      </c>
      <c r="AC205" s="24"/>
      <c r="AD205" s="24"/>
      <c r="AE205" s="24"/>
      <c r="AF205" s="24"/>
    </row>
    <row r="206" spans="1:32" ht="62.4" x14ac:dyDescent="0.3">
      <c r="A206" s="23">
        <v>41183</v>
      </c>
      <c r="B206" s="24" t="s">
        <v>571</v>
      </c>
      <c r="C206" s="24">
        <v>30264</v>
      </c>
      <c r="D206" s="24" t="s">
        <v>572</v>
      </c>
      <c r="E206" s="24" t="s">
        <v>573</v>
      </c>
      <c r="F206" s="24" t="s">
        <v>574</v>
      </c>
      <c r="G206" s="24">
        <v>2442046</v>
      </c>
      <c r="H206" s="25">
        <v>3985.8</v>
      </c>
      <c r="I206" s="26">
        <v>3985.8</v>
      </c>
      <c r="J206" s="24" t="s">
        <v>831</v>
      </c>
      <c r="K206" s="24" t="s">
        <v>576</v>
      </c>
      <c r="L206" s="24" t="s">
        <v>633</v>
      </c>
      <c r="M206" s="24" t="s">
        <v>578</v>
      </c>
      <c r="N206" s="24" t="s">
        <v>579</v>
      </c>
      <c r="O206" s="24">
        <v>269422</v>
      </c>
      <c r="P206" s="25"/>
      <c r="Q206" s="25"/>
      <c r="R206" s="24" t="s">
        <v>848</v>
      </c>
      <c r="S206" s="24" t="s">
        <v>581</v>
      </c>
      <c r="T206" s="27">
        <v>41192</v>
      </c>
      <c r="U206" s="25">
        <v>2442941</v>
      </c>
      <c r="V206" s="24" t="s">
        <v>582</v>
      </c>
      <c r="W206" s="24" t="s">
        <v>583</v>
      </c>
      <c r="X206" s="24" t="s">
        <v>584</v>
      </c>
      <c r="Y206" s="24">
        <v>4020</v>
      </c>
      <c r="Z206" s="24">
        <v>204255</v>
      </c>
      <c r="AA206" s="24">
        <v>630120</v>
      </c>
      <c r="AB206" s="24">
        <v>0</v>
      </c>
      <c r="AC206" s="24"/>
      <c r="AD206" s="24"/>
      <c r="AE206" s="24"/>
      <c r="AF206" s="24"/>
    </row>
    <row r="207" spans="1:32" ht="62.4" x14ac:dyDescent="0.3">
      <c r="A207" s="23">
        <v>41183</v>
      </c>
      <c r="B207" s="24" t="s">
        <v>571</v>
      </c>
      <c r="C207" s="24">
        <v>30264</v>
      </c>
      <c r="D207" s="24" t="s">
        <v>585</v>
      </c>
      <c r="E207" s="24" t="s">
        <v>586</v>
      </c>
      <c r="F207" s="24" t="s">
        <v>574</v>
      </c>
      <c r="G207" s="24">
        <v>2456258</v>
      </c>
      <c r="H207" s="25">
        <v>3935</v>
      </c>
      <c r="I207" s="26">
        <v>3935</v>
      </c>
      <c r="J207" s="24" t="s">
        <v>849</v>
      </c>
      <c r="K207" s="24" t="s">
        <v>588</v>
      </c>
      <c r="L207" s="24" t="s">
        <v>633</v>
      </c>
      <c r="M207" s="24" t="s">
        <v>589</v>
      </c>
      <c r="N207" s="24" t="s">
        <v>590</v>
      </c>
      <c r="O207" s="24">
        <v>270307</v>
      </c>
      <c r="P207" s="25"/>
      <c r="Q207" s="25"/>
      <c r="R207" s="24" t="s">
        <v>850</v>
      </c>
      <c r="S207" s="24" t="s">
        <v>581</v>
      </c>
      <c r="T207" s="27">
        <v>41197</v>
      </c>
      <c r="U207" s="25">
        <v>2449287</v>
      </c>
      <c r="V207" s="24" t="s">
        <v>582</v>
      </c>
      <c r="W207" s="24" t="s">
        <v>583</v>
      </c>
      <c r="X207" s="24" t="s">
        <v>584</v>
      </c>
      <c r="Y207" s="24">
        <v>4020</v>
      </c>
      <c r="Z207" s="24">
        <v>204255</v>
      </c>
      <c r="AA207" s="24">
        <v>572010</v>
      </c>
      <c r="AB207" s="24">
        <v>0</v>
      </c>
      <c r="AC207" s="24"/>
      <c r="AD207" s="24"/>
      <c r="AE207" s="24"/>
      <c r="AF207" s="24"/>
    </row>
    <row r="208" spans="1:32" ht="62.4" x14ac:dyDescent="0.3">
      <c r="A208" s="23">
        <v>41214</v>
      </c>
      <c r="B208" s="24" t="s">
        <v>571</v>
      </c>
      <c r="C208" s="24">
        <v>30264</v>
      </c>
      <c r="D208" s="24" t="s">
        <v>851</v>
      </c>
      <c r="E208" s="24" t="s">
        <v>586</v>
      </c>
      <c r="F208" s="24" t="s">
        <v>574</v>
      </c>
      <c r="G208" s="24">
        <v>2530566</v>
      </c>
      <c r="H208" s="25">
        <v>460</v>
      </c>
      <c r="I208" s="25">
        <v>460</v>
      </c>
      <c r="J208" s="24" t="s">
        <v>852</v>
      </c>
      <c r="K208" s="24" t="s">
        <v>853</v>
      </c>
      <c r="L208" s="24" t="s">
        <v>633</v>
      </c>
      <c r="M208" s="24" t="s">
        <v>589</v>
      </c>
      <c r="N208" s="24" t="s">
        <v>854</v>
      </c>
      <c r="O208" s="24">
        <v>272226</v>
      </c>
      <c r="P208" s="25"/>
      <c r="Q208" s="25"/>
      <c r="R208" s="24" t="s">
        <v>855</v>
      </c>
      <c r="S208" s="24" t="s">
        <v>581</v>
      </c>
      <c r="T208" s="27">
        <v>41220</v>
      </c>
      <c r="U208" s="25">
        <v>2531988</v>
      </c>
      <c r="V208" s="24" t="s">
        <v>582</v>
      </c>
      <c r="W208" s="24" t="s">
        <v>583</v>
      </c>
      <c r="X208" s="24" t="s">
        <v>584</v>
      </c>
      <c r="Y208" s="24">
        <v>4020</v>
      </c>
      <c r="Z208" s="24">
        <v>204255</v>
      </c>
      <c r="AA208" s="24">
        <v>572010</v>
      </c>
      <c r="AB208" s="24">
        <v>0</v>
      </c>
      <c r="AC208" s="24"/>
      <c r="AD208" s="24"/>
      <c r="AE208" s="24"/>
      <c r="AF208" s="24"/>
    </row>
    <row r="209" spans="1:32" ht="62.4" x14ac:dyDescent="0.3">
      <c r="A209" s="23">
        <v>41214</v>
      </c>
      <c r="B209" s="24" t="s">
        <v>571</v>
      </c>
      <c r="C209" s="24">
        <v>30264</v>
      </c>
      <c r="D209" s="24" t="s">
        <v>851</v>
      </c>
      <c r="E209" s="24" t="s">
        <v>586</v>
      </c>
      <c r="F209" s="24" t="s">
        <v>574</v>
      </c>
      <c r="G209" s="24">
        <v>2530566</v>
      </c>
      <c r="H209" s="25">
        <v>770</v>
      </c>
      <c r="I209" s="25">
        <v>770</v>
      </c>
      <c r="J209" s="24" t="s">
        <v>852</v>
      </c>
      <c r="K209" s="24" t="s">
        <v>853</v>
      </c>
      <c r="L209" s="24" t="s">
        <v>633</v>
      </c>
      <c r="M209" s="24" t="s">
        <v>589</v>
      </c>
      <c r="N209" s="24" t="s">
        <v>854</v>
      </c>
      <c r="O209" s="24">
        <v>272226</v>
      </c>
      <c r="P209" s="25"/>
      <c r="Q209" s="25"/>
      <c r="R209" s="24" t="s">
        <v>856</v>
      </c>
      <c r="S209" s="24" t="s">
        <v>581</v>
      </c>
      <c r="T209" s="27">
        <v>41220</v>
      </c>
      <c r="U209" s="25">
        <v>2531989</v>
      </c>
      <c r="V209" s="24" t="s">
        <v>582</v>
      </c>
      <c r="W209" s="24" t="s">
        <v>583</v>
      </c>
      <c r="X209" s="24" t="s">
        <v>584</v>
      </c>
      <c r="Y209" s="24">
        <v>4020</v>
      </c>
      <c r="Z209" s="24">
        <v>204255</v>
      </c>
      <c r="AA209" s="24">
        <v>572010</v>
      </c>
      <c r="AB209" s="24">
        <v>0</v>
      </c>
      <c r="AC209" s="24"/>
      <c r="AD209" s="24"/>
      <c r="AE209" s="24"/>
      <c r="AF209" s="24"/>
    </row>
    <row r="210" spans="1:32" ht="62.4" x14ac:dyDescent="0.3">
      <c r="A210" s="23">
        <v>41214</v>
      </c>
      <c r="B210" s="24" t="s">
        <v>571</v>
      </c>
      <c r="C210" s="24">
        <v>30264</v>
      </c>
      <c r="D210" s="24" t="s">
        <v>851</v>
      </c>
      <c r="E210" s="24" t="s">
        <v>586</v>
      </c>
      <c r="F210" s="24" t="s">
        <v>574</v>
      </c>
      <c r="G210" s="24">
        <v>2587878</v>
      </c>
      <c r="H210" s="25">
        <v>1727.27</v>
      </c>
      <c r="I210" s="26">
        <v>1727.27</v>
      </c>
      <c r="J210" s="24" t="s">
        <v>857</v>
      </c>
      <c r="K210" s="24" t="s">
        <v>853</v>
      </c>
      <c r="L210" s="24" t="s">
        <v>633</v>
      </c>
      <c r="M210" s="24" t="s">
        <v>589</v>
      </c>
      <c r="N210" s="24" t="s">
        <v>854</v>
      </c>
      <c r="O210" s="24">
        <v>273540</v>
      </c>
      <c r="P210" s="25"/>
      <c r="Q210" s="25"/>
      <c r="R210" s="24" t="s">
        <v>858</v>
      </c>
      <c r="S210" s="24" t="s">
        <v>581</v>
      </c>
      <c r="T210" s="27">
        <v>41239</v>
      </c>
      <c r="U210" s="25">
        <v>2572412</v>
      </c>
      <c r="V210" s="24" t="s">
        <v>582</v>
      </c>
      <c r="W210" s="24" t="s">
        <v>583</v>
      </c>
      <c r="X210" s="24" t="s">
        <v>584</v>
      </c>
      <c r="Y210" s="24">
        <v>4091</v>
      </c>
      <c r="Z210" s="24">
        <v>204411</v>
      </c>
      <c r="AA210" s="24">
        <v>572010</v>
      </c>
      <c r="AB210" s="24">
        <v>0</v>
      </c>
      <c r="AC210" s="24"/>
      <c r="AD210" s="24"/>
      <c r="AE210" s="24"/>
      <c r="AF210" s="24"/>
    </row>
    <row r="211" spans="1:32" ht="62.4" x14ac:dyDescent="0.3">
      <c r="A211" s="23">
        <v>41214</v>
      </c>
      <c r="B211" s="24" t="s">
        <v>571</v>
      </c>
      <c r="C211" s="24">
        <v>30264</v>
      </c>
      <c r="D211" s="24" t="s">
        <v>851</v>
      </c>
      <c r="E211" s="24" t="s">
        <v>586</v>
      </c>
      <c r="F211" s="24" t="s">
        <v>574</v>
      </c>
      <c r="G211" s="24">
        <v>2587878</v>
      </c>
      <c r="H211" s="25">
        <v>1445</v>
      </c>
      <c r="I211" s="26">
        <v>1445</v>
      </c>
      <c r="J211" s="24" t="s">
        <v>857</v>
      </c>
      <c r="K211" s="24" t="s">
        <v>853</v>
      </c>
      <c r="L211" s="24" t="s">
        <v>633</v>
      </c>
      <c r="M211" s="24" t="s">
        <v>589</v>
      </c>
      <c r="N211" s="24" t="s">
        <v>854</v>
      </c>
      <c r="O211" s="24">
        <v>273540</v>
      </c>
      <c r="P211" s="25"/>
      <c r="Q211" s="25"/>
      <c r="R211" s="24" t="s">
        <v>859</v>
      </c>
      <c r="S211" s="24" t="s">
        <v>581</v>
      </c>
      <c r="T211" s="27">
        <v>41239</v>
      </c>
      <c r="U211" s="25">
        <v>2572413</v>
      </c>
      <c r="V211" s="24" t="s">
        <v>582</v>
      </c>
      <c r="W211" s="24" t="s">
        <v>583</v>
      </c>
      <c r="X211" s="24" t="s">
        <v>584</v>
      </c>
      <c r="Y211" s="24">
        <v>4091</v>
      </c>
      <c r="Z211" s="24">
        <v>204411</v>
      </c>
      <c r="AA211" s="24">
        <v>572010</v>
      </c>
      <c r="AB211" s="24">
        <v>0</v>
      </c>
      <c r="AC211" s="24"/>
      <c r="AD211" s="24"/>
      <c r="AE211" s="24"/>
      <c r="AF211" s="24"/>
    </row>
    <row r="212" spans="1:32" ht="62.4" x14ac:dyDescent="0.3">
      <c r="A212" s="23">
        <v>41214</v>
      </c>
      <c r="B212" s="24" t="s">
        <v>571</v>
      </c>
      <c r="C212" s="24">
        <v>30264</v>
      </c>
      <c r="D212" s="24" t="s">
        <v>572</v>
      </c>
      <c r="E212" s="24" t="s">
        <v>573</v>
      </c>
      <c r="F212" s="24" t="s">
        <v>574</v>
      </c>
      <c r="G212" s="24">
        <v>2570027</v>
      </c>
      <c r="H212" s="25">
        <v>4349.8</v>
      </c>
      <c r="I212" s="26">
        <v>4349.8</v>
      </c>
      <c r="J212" s="24" t="s">
        <v>831</v>
      </c>
      <c r="K212" s="24" t="s">
        <v>576</v>
      </c>
      <c r="L212" s="24" t="s">
        <v>633</v>
      </c>
      <c r="M212" s="24" t="s">
        <v>578</v>
      </c>
      <c r="N212" s="24" t="s">
        <v>579</v>
      </c>
      <c r="O212" s="24">
        <v>269422</v>
      </c>
      <c r="P212" s="25"/>
      <c r="Q212" s="25"/>
      <c r="R212" s="24" t="s">
        <v>860</v>
      </c>
      <c r="S212" s="24" t="s">
        <v>581</v>
      </c>
      <c r="T212" s="27">
        <v>41233</v>
      </c>
      <c r="U212" s="25">
        <v>2563276</v>
      </c>
      <c r="V212" s="24" t="s">
        <v>582</v>
      </c>
      <c r="W212" s="24" t="s">
        <v>583</v>
      </c>
      <c r="X212" s="24" t="s">
        <v>584</v>
      </c>
      <c r="Y212" s="24">
        <v>4020</v>
      </c>
      <c r="Z212" s="24">
        <v>204255</v>
      </c>
      <c r="AA212" s="24">
        <v>630120</v>
      </c>
      <c r="AB212" s="24">
        <v>0</v>
      </c>
      <c r="AC212" s="24"/>
      <c r="AD212" s="24"/>
      <c r="AE212" s="24"/>
      <c r="AF212" s="24"/>
    </row>
    <row r="213" spans="1:32" ht="62.4" x14ac:dyDescent="0.3">
      <c r="A213" s="23">
        <v>41214</v>
      </c>
      <c r="B213" s="24" t="s">
        <v>571</v>
      </c>
      <c r="C213" s="24">
        <v>30264</v>
      </c>
      <c r="D213" s="24" t="s">
        <v>625</v>
      </c>
      <c r="E213" s="24" t="s">
        <v>586</v>
      </c>
      <c r="F213" s="24" t="s">
        <v>574</v>
      </c>
      <c r="G213" s="24">
        <v>2587878</v>
      </c>
      <c r="H213" s="25">
        <v>6320</v>
      </c>
      <c r="I213" s="26">
        <v>6320</v>
      </c>
      <c r="J213" s="24" t="s">
        <v>794</v>
      </c>
      <c r="K213" s="24" t="s">
        <v>627</v>
      </c>
      <c r="L213" s="24" t="s">
        <v>633</v>
      </c>
      <c r="M213" s="24" t="s">
        <v>589</v>
      </c>
      <c r="N213" s="24" t="s">
        <v>628</v>
      </c>
      <c r="O213" s="24">
        <v>269473</v>
      </c>
      <c r="P213" s="25"/>
      <c r="Q213" s="25"/>
      <c r="R213" s="24" t="s">
        <v>861</v>
      </c>
      <c r="S213" s="24" t="s">
        <v>581</v>
      </c>
      <c r="T213" s="27">
        <v>41239</v>
      </c>
      <c r="U213" s="25">
        <v>2572218</v>
      </c>
      <c r="V213" s="24" t="s">
        <v>582</v>
      </c>
      <c r="W213" s="24" t="s">
        <v>583</v>
      </c>
      <c r="X213" s="24" t="s">
        <v>584</v>
      </c>
      <c r="Y213" s="24">
        <v>4020</v>
      </c>
      <c r="Z213" s="24">
        <v>204255</v>
      </c>
      <c r="AA213" s="24">
        <v>572010</v>
      </c>
      <c r="AB213" s="24">
        <v>0</v>
      </c>
      <c r="AC213" s="24"/>
      <c r="AD213" s="24"/>
      <c r="AE213" s="24"/>
      <c r="AF213" s="24"/>
    </row>
    <row r="214" spans="1:32" ht="62.4" x14ac:dyDescent="0.3">
      <c r="A214" s="23">
        <v>41214</v>
      </c>
      <c r="B214" s="24" t="s">
        <v>571</v>
      </c>
      <c r="C214" s="24">
        <v>30264</v>
      </c>
      <c r="D214" s="24" t="s">
        <v>585</v>
      </c>
      <c r="E214" s="24" t="s">
        <v>586</v>
      </c>
      <c r="F214" s="24" t="s">
        <v>574</v>
      </c>
      <c r="G214" s="24">
        <v>2511647</v>
      </c>
      <c r="H214" s="25">
        <v>2712.25</v>
      </c>
      <c r="I214" s="26">
        <v>2712.25</v>
      </c>
      <c r="J214" s="24" t="s">
        <v>798</v>
      </c>
      <c r="K214" s="24" t="s">
        <v>724</v>
      </c>
      <c r="L214" s="24" t="s">
        <v>577</v>
      </c>
      <c r="M214" s="24" t="s">
        <v>589</v>
      </c>
      <c r="N214" s="24" t="s">
        <v>590</v>
      </c>
      <c r="O214" s="24">
        <v>269424</v>
      </c>
      <c r="P214" s="25"/>
      <c r="Q214" s="25"/>
      <c r="R214" s="24" t="s">
        <v>862</v>
      </c>
      <c r="S214" s="24" t="s">
        <v>581</v>
      </c>
      <c r="T214" s="27">
        <v>41215</v>
      </c>
      <c r="U214" s="25">
        <v>2521806</v>
      </c>
      <c r="V214" s="24" t="s">
        <v>582</v>
      </c>
      <c r="W214" s="24" t="s">
        <v>583</v>
      </c>
      <c r="X214" s="24" t="s">
        <v>584</v>
      </c>
      <c r="Y214" s="24">
        <v>4020</v>
      </c>
      <c r="Z214" s="24">
        <v>204255</v>
      </c>
      <c r="AA214" s="24">
        <v>572010</v>
      </c>
      <c r="AB214" s="24">
        <v>0</v>
      </c>
      <c r="AC214" s="24"/>
      <c r="AD214" s="24"/>
      <c r="AE214" s="24"/>
      <c r="AF214" s="24"/>
    </row>
    <row r="215" spans="1:32" ht="62.4" x14ac:dyDescent="0.3">
      <c r="A215" s="23">
        <v>41214</v>
      </c>
      <c r="B215" s="24" t="s">
        <v>571</v>
      </c>
      <c r="C215" s="24">
        <v>30264</v>
      </c>
      <c r="D215" s="24" t="s">
        <v>585</v>
      </c>
      <c r="E215" s="24" t="s">
        <v>586</v>
      </c>
      <c r="F215" s="24" t="s">
        <v>574</v>
      </c>
      <c r="G215" s="24">
        <v>2511647</v>
      </c>
      <c r="H215" s="25">
        <v>5136.6099999999997</v>
      </c>
      <c r="I215" s="26">
        <v>5136.6099999999997</v>
      </c>
      <c r="J215" s="24" t="s">
        <v>798</v>
      </c>
      <c r="K215" s="24" t="s">
        <v>724</v>
      </c>
      <c r="L215" s="24" t="s">
        <v>577</v>
      </c>
      <c r="M215" s="24" t="s">
        <v>589</v>
      </c>
      <c r="N215" s="24" t="s">
        <v>590</v>
      </c>
      <c r="O215" s="24">
        <v>269424</v>
      </c>
      <c r="P215" s="25"/>
      <c r="Q215" s="25"/>
      <c r="R215" s="24" t="s">
        <v>863</v>
      </c>
      <c r="S215" s="24" t="s">
        <v>581</v>
      </c>
      <c r="T215" s="27">
        <v>41215</v>
      </c>
      <c r="U215" s="25">
        <v>2521807</v>
      </c>
      <c r="V215" s="24" t="s">
        <v>582</v>
      </c>
      <c r="W215" s="24" t="s">
        <v>583</v>
      </c>
      <c r="X215" s="24" t="s">
        <v>584</v>
      </c>
      <c r="Y215" s="24">
        <v>4020</v>
      </c>
      <c r="Z215" s="24">
        <v>204255</v>
      </c>
      <c r="AA215" s="24">
        <v>572010</v>
      </c>
      <c r="AB215" s="24">
        <v>0</v>
      </c>
      <c r="AC215" s="24"/>
      <c r="AD215" s="24"/>
      <c r="AE215" s="24"/>
      <c r="AF215" s="24"/>
    </row>
    <row r="216" spans="1:32" ht="62.4" x14ac:dyDescent="0.3">
      <c r="A216" s="23">
        <v>41214</v>
      </c>
      <c r="B216" s="24" t="s">
        <v>571</v>
      </c>
      <c r="C216" s="24">
        <v>30264</v>
      </c>
      <c r="D216" s="24" t="s">
        <v>585</v>
      </c>
      <c r="E216" s="24" t="s">
        <v>586</v>
      </c>
      <c r="F216" s="24" t="s">
        <v>574</v>
      </c>
      <c r="G216" s="24">
        <v>2511647</v>
      </c>
      <c r="H216" s="25">
        <v>16782.689999999999</v>
      </c>
      <c r="I216" s="26">
        <v>16782.689999999999</v>
      </c>
      <c r="J216" s="24" t="s">
        <v>798</v>
      </c>
      <c r="K216" s="24" t="s">
        <v>724</v>
      </c>
      <c r="L216" s="24" t="s">
        <v>577</v>
      </c>
      <c r="M216" s="24" t="s">
        <v>589</v>
      </c>
      <c r="N216" s="24" t="s">
        <v>590</v>
      </c>
      <c r="O216" s="24">
        <v>269424</v>
      </c>
      <c r="P216" s="25"/>
      <c r="Q216" s="25"/>
      <c r="R216" s="24" t="s">
        <v>864</v>
      </c>
      <c r="S216" s="24" t="s">
        <v>581</v>
      </c>
      <c r="T216" s="27">
        <v>41215</v>
      </c>
      <c r="U216" s="25">
        <v>2521808</v>
      </c>
      <c r="V216" s="24" t="s">
        <v>582</v>
      </c>
      <c r="W216" s="24" t="s">
        <v>583</v>
      </c>
      <c r="X216" s="24" t="s">
        <v>584</v>
      </c>
      <c r="Y216" s="24">
        <v>4020</v>
      </c>
      <c r="Z216" s="24">
        <v>204255</v>
      </c>
      <c r="AA216" s="24">
        <v>572010</v>
      </c>
      <c r="AB216" s="24">
        <v>0</v>
      </c>
      <c r="AC216" s="24"/>
      <c r="AD216" s="24"/>
      <c r="AE216" s="24"/>
      <c r="AF216" s="24"/>
    </row>
    <row r="217" spans="1:32" ht="62.4" x14ac:dyDescent="0.3">
      <c r="A217" s="23">
        <v>41214</v>
      </c>
      <c r="B217" s="24" t="s">
        <v>571</v>
      </c>
      <c r="C217" s="24">
        <v>30264</v>
      </c>
      <c r="D217" s="24" t="s">
        <v>585</v>
      </c>
      <c r="E217" s="24" t="s">
        <v>586</v>
      </c>
      <c r="F217" s="24" t="s">
        <v>574</v>
      </c>
      <c r="G217" s="24">
        <v>2511647</v>
      </c>
      <c r="H217" s="25">
        <v>347.5</v>
      </c>
      <c r="I217" s="25">
        <v>347.5</v>
      </c>
      <c r="J217" s="24" t="s">
        <v>798</v>
      </c>
      <c r="K217" s="24" t="s">
        <v>724</v>
      </c>
      <c r="L217" s="24" t="s">
        <v>577</v>
      </c>
      <c r="M217" s="24" t="s">
        <v>589</v>
      </c>
      <c r="N217" s="24" t="s">
        <v>590</v>
      </c>
      <c r="O217" s="24">
        <v>269424</v>
      </c>
      <c r="P217" s="25"/>
      <c r="Q217" s="25"/>
      <c r="R217" s="24" t="s">
        <v>865</v>
      </c>
      <c r="S217" s="24" t="s">
        <v>581</v>
      </c>
      <c r="T217" s="27">
        <v>41215</v>
      </c>
      <c r="U217" s="25">
        <v>2521809</v>
      </c>
      <c r="V217" s="24" t="s">
        <v>582</v>
      </c>
      <c r="W217" s="24" t="s">
        <v>583</v>
      </c>
      <c r="X217" s="24" t="s">
        <v>584</v>
      </c>
      <c r="Y217" s="24">
        <v>4020</v>
      </c>
      <c r="Z217" s="24">
        <v>204255</v>
      </c>
      <c r="AA217" s="24">
        <v>572010</v>
      </c>
      <c r="AB217" s="24">
        <v>0</v>
      </c>
      <c r="AC217" s="24"/>
      <c r="AD217" s="24"/>
      <c r="AE217" s="24"/>
      <c r="AF217" s="24"/>
    </row>
    <row r="218" spans="1:32" ht="62.4" x14ac:dyDescent="0.3">
      <c r="A218" s="23">
        <v>41214</v>
      </c>
      <c r="B218" s="24" t="s">
        <v>571</v>
      </c>
      <c r="C218" s="24">
        <v>30264</v>
      </c>
      <c r="D218" s="24" t="s">
        <v>585</v>
      </c>
      <c r="E218" s="24" t="s">
        <v>586</v>
      </c>
      <c r="F218" s="24" t="s">
        <v>574</v>
      </c>
      <c r="G218" s="24">
        <v>2511647</v>
      </c>
      <c r="H218" s="25">
        <v>2960</v>
      </c>
      <c r="I218" s="26">
        <v>2960</v>
      </c>
      <c r="J218" s="24" t="s">
        <v>798</v>
      </c>
      <c r="K218" s="24" t="s">
        <v>724</v>
      </c>
      <c r="L218" s="24" t="s">
        <v>577</v>
      </c>
      <c r="M218" s="24" t="s">
        <v>589</v>
      </c>
      <c r="N218" s="24" t="s">
        <v>590</v>
      </c>
      <c r="O218" s="24">
        <v>269424</v>
      </c>
      <c r="P218" s="25"/>
      <c r="Q218" s="25"/>
      <c r="R218" s="24" t="s">
        <v>866</v>
      </c>
      <c r="S218" s="24" t="s">
        <v>581</v>
      </c>
      <c r="T218" s="27">
        <v>41215</v>
      </c>
      <c r="U218" s="25">
        <v>2521810</v>
      </c>
      <c r="V218" s="24" t="s">
        <v>582</v>
      </c>
      <c r="W218" s="24" t="s">
        <v>583</v>
      </c>
      <c r="X218" s="24" t="s">
        <v>584</v>
      </c>
      <c r="Y218" s="24">
        <v>4020</v>
      </c>
      <c r="Z218" s="24">
        <v>204255</v>
      </c>
      <c r="AA218" s="24">
        <v>572010</v>
      </c>
      <c r="AB218" s="24">
        <v>0</v>
      </c>
      <c r="AC218" s="24"/>
      <c r="AD218" s="24"/>
      <c r="AE218" s="24"/>
      <c r="AF218" s="24"/>
    </row>
    <row r="219" spans="1:32" ht="62.4" x14ac:dyDescent="0.3">
      <c r="A219" s="23">
        <v>41214</v>
      </c>
      <c r="B219" s="24" t="s">
        <v>571</v>
      </c>
      <c r="C219" s="24">
        <v>30264</v>
      </c>
      <c r="D219" s="24" t="s">
        <v>585</v>
      </c>
      <c r="E219" s="24" t="s">
        <v>586</v>
      </c>
      <c r="F219" s="24" t="s">
        <v>574</v>
      </c>
      <c r="G219" s="24">
        <v>2511647</v>
      </c>
      <c r="H219" s="25">
        <v>1398.25</v>
      </c>
      <c r="I219" s="26">
        <v>1398.25</v>
      </c>
      <c r="J219" s="24" t="s">
        <v>798</v>
      </c>
      <c r="K219" s="24" t="s">
        <v>724</v>
      </c>
      <c r="L219" s="24" t="s">
        <v>577</v>
      </c>
      <c r="M219" s="24" t="s">
        <v>589</v>
      </c>
      <c r="N219" s="24" t="s">
        <v>590</v>
      </c>
      <c r="O219" s="24">
        <v>269424</v>
      </c>
      <c r="P219" s="25"/>
      <c r="Q219" s="25"/>
      <c r="R219" s="24" t="s">
        <v>867</v>
      </c>
      <c r="S219" s="24" t="s">
        <v>581</v>
      </c>
      <c r="T219" s="27">
        <v>41215</v>
      </c>
      <c r="U219" s="25">
        <v>2521811</v>
      </c>
      <c r="V219" s="24" t="s">
        <v>582</v>
      </c>
      <c r="W219" s="24" t="s">
        <v>583</v>
      </c>
      <c r="X219" s="24" t="s">
        <v>584</v>
      </c>
      <c r="Y219" s="24">
        <v>4020</v>
      </c>
      <c r="Z219" s="24">
        <v>204255</v>
      </c>
      <c r="AA219" s="24">
        <v>572010</v>
      </c>
      <c r="AB219" s="24">
        <v>0</v>
      </c>
      <c r="AC219" s="24"/>
      <c r="AD219" s="24"/>
      <c r="AE219" s="24"/>
      <c r="AF219" s="24"/>
    </row>
    <row r="220" spans="1:32" ht="62.4" x14ac:dyDescent="0.3">
      <c r="A220" s="23">
        <v>41214</v>
      </c>
      <c r="B220" s="24" t="s">
        <v>571</v>
      </c>
      <c r="C220" s="24">
        <v>30264</v>
      </c>
      <c r="D220" s="24" t="s">
        <v>585</v>
      </c>
      <c r="E220" s="24" t="s">
        <v>586</v>
      </c>
      <c r="F220" s="24" t="s">
        <v>574</v>
      </c>
      <c r="G220" s="24">
        <v>2530566</v>
      </c>
      <c r="H220" s="25">
        <v>5965.06</v>
      </c>
      <c r="I220" s="26">
        <v>5965.06</v>
      </c>
      <c r="J220" s="24" t="s">
        <v>868</v>
      </c>
      <c r="K220" s="24" t="s">
        <v>674</v>
      </c>
      <c r="L220" s="24" t="s">
        <v>633</v>
      </c>
      <c r="M220" s="24" t="s">
        <v>589</v>
      </c>
      <c r="N220" s="24" t="s">
        <v>590</v>
      </c>
      <c r="O220" s="24">
        <v>272224</v>
      </c>
      <c r="P220" s="25"/>
      <c r="Q220" s="25"/>
      <c r="R220" s="24" t="s">
        <v>869</v>
      </c>
      <c r="S220" s="24" t="s">
        <v>581</v>
      </c>
      <c r="T220" s="27">
        <v>41220</v>
      </c>
      <c r="U220" s="25">
        <v>2531984</v>
      </c>
      <c r="V220" s="24" t="s">
        <v>582</v>
      </c>
      <c r="W220" s="24" t="s">
        <v>583</v>
      </c>
      <c r="X220" s="24" t="s">
        <v>584</v>
      </c>
      <c r="Y220" s="24">
        <v>4020</v>
      </c>
      <c r="Z220" s="24">
        <v>204255</v>
      </c>
      <c r="AA220" s="24">
        <v>572010</v>
      </c>
      <c r="AB220" s="24">
        <v>0</v>
      </c>
      <c r="AC220" s="24"/>
      <c r="AD220" s="24"/>
      <c r="AE220" s="24"/>
      <c r="AF220" s="24"/>
    </row>
    <row r="221" spans="1:32" ht="62.4" x14ac:dyDescent="0.3">
      <c r="A221" s="23">
        <v>41214</v>
      </c>
      <c r="B221" s="24" t="s">
        <v>571</v>
      </c>
      <c r="C221" s="24">
        <v>30264</v>
      </c>
      <c r="D221" s="24" t="s">
        <v>585</v>
      </c>
      <c r="E221" s="24" t="s">
        <v>586</v>
      </c>
      <c r="F221" s="24" t="s">
        <v>574</v>
      </c>
      <c r="G221" s="24">
        <v>2530566</v>
      </c>
      <c r="H221" s="25">
        <v>1513</v>
      </c>
      <c r="I221" s="26">
        <v>1513</v>
      </c>
      <c r="J221" s="24" t="s">
        <v>870</v>
      </c>
      <c r="K221" s="24" t="s">
        <v>871</v>
      </c>
      <c r="L221" s="24" t="s">
        <v>633</v>
      </c>
      <c r="M221" s="24" t="s">
        <v>589</v>
      </c>
      <c r="N221" s="24" t="s">
        <v>590</v>
      </c>
      <c r="O221" s="24">
        <v>272228</v>
      </c>
      <c r="P221" s="25"/>
      <c r="Q221" s="25"/>
      <c r="R221" s="24" t="s">
        <v>872</v>
      </c>
      <c r="S221" s="24" t="s">
        <v>581</v>
      </c>
      <c r="T221" s="27">
        <v>41220</v>
      </c>
      <c r="U221" s="25">
        <v>2531991</v>
      </c>
      <c r="V221" s="24" t="s">
        <v>582</v>
      </c>
      <c r="W221" s="24" t="s">
        <v>583</v>
      </c>
      <c r="X221" s="24" t="s">
        <v>584</v>
      </c>
      <c r="Y221" s="24">
        <v>4020</v>
      </c>
      <c r="Z221" s="24">
        <v>204255</v>
      </c>
      <c r="AA221" s="24">
        <v>572010</v>
      </c>
      <c r="AB221" s="24">
        <v>0</v>
      </c>
      <c r="AC221" s="24"/>
      <c r="AD221" s="24"/>
      <c r="AE221" s="24"/>
      <c r="AF221" s="24"/>
    </row>
    <row r="222" spans="1:32" ht="62.4" x14ac:dyDescent="0.3">
      <c r="A222" s="23">
        <v>41214</v>
      </c>
      <c r="B222" s="24" t="s">
        <v>571</v>
      </c>
      <c r="C222" s="24">
        <v>30264</v>
      </c>
      <c r="D222" s="24" t="s">
        <v>585</v>
      </c>
      <c r="E222" s="24" t="s">
        <v>586</v>
      </c>
      <c r="F222" s="24" t="s">
        <v>574</v>
      </c>
      <c r="G222" s="24">
        <v>2530566</v>
      </c>
      <c r="H222" s="25">
        <v>2332</v>
      </c>
      <c r="I222" s="26">
        <v>2332</v>
      </c>
      <c r="J222" s="24" t="s">
        <v>870</v>
      </c>
      <c r="K222" s="24" t="s">
        <v>871</v>
      </c>
      <c r="L222" s="24" t="s">
        <v>633</v>
      </c>
      <c r="M222" s="24" t="s">
        <v>589</v>
      </c>
      <c r="N222" s="24" t="s">
        <v>590</v>
      </c>
      <c r="O222" s="24">
        <v>272228</v>
      </c>
      <c r="P222" s="25"/>
      <c r="Q222" s="25"/>
      <c r="R222" s="24" t="s">
        <v>873</v>
      </c>
      <c r="S222" s="24" t="s">
        <v>581</v>
      </c>
      <c r="T222" s="27">
        <v>41220</v>
      </c>
      <c r="U222" s="25">
        <v>2531992</v>
      </c>
      <c r="V222" s="24" t="s">
        <v>582</v>
      </c>
      <c r="W222" s="24" t="s">
        <v>583</v>
      </c>
      <c r="X222" s="24" t="s">
        <v>584</v>
      </c>
      <c r="Y222" s="24">
        <v>4020</v>
      </c>
      <c r="Z222" s="24">
        <v>204255</v>
      </c>
      <c r="AA222" s="24">
        <v>572010</v>
      </c>
      <c r="AB222" s="24">
        <v>0</v>
      </c>
      <c r="AC222" s="24"/>
      <c r="AD222" s="24"/>
      <c r="AE222" s="24"/>
      <c r="AF222" s="24"/>
    </row>
    <row r="223" spans="1:32" ht="62.4" x14ac:dyDescent="0.3">
      <c r="A223" s="23">
        <v>41214</v>
      </c>
      <c r="B223" s="24" t="s">
        <v>571</v>
      </c>
      <c r="C223" s="24">
        <v>30264</v>
      </c>
      <c r="D223" s="24" t="s">
        <v>585</v>
      </c>
      <c r="E223" s="24" t="s">
        <v>586</v>
      </c>
      <c r="F223" s="24" t="s">
        <v>574</v>
      </c>
      <c r="G223" s="24">
        <v>2530566</v>
      </c>
      <c r="H223" s="25">
        <v>1446</v>
      </c>
      <c r="I223" s="26">
        <v>1446</v>
      </c>
      <c r="J223" s="24" t="s">
        <v>870</v>
      </c>
      <c r="K223" s="24" t="s">
        <v>871</v>
      </c>
      <c r="L223" s="24" t="s">
        <v>633</v>
      </c>
      <c r="M223" s="24" t="s">
        <v>589</v>
      </c>
      <c r="N223" s="24" t="s">
        <v>590</v>
      </c>
      <c r="O223" s="24">
        <v>272228</v>
      </c>
      <c r="P223" s="25"/>
      <c r="Q223" s="25"/>
      <c r="R223" s="24" t="s">
        <v>874</v>
      </c>
      <c r="S223" s="24" t="s">
        <v>581</v>
      </c>
      <c r="T223" s="27">
        <v>41220</v>
      </c>
      <c r="U223" s="25">
        <v>2531993</v>
      </c>
      <c r="V223" s="24" t="s">
        <v>582</v>
      </c>
      <c r="W223" s="24" t="s">
        <v>583</v>
      </c>
      <c r="X223" s="24" t="s">
        <v>584</v>
      </c>
      <c r="Y223" s="24">
        <v>4020</v>
      </c>
      <c r="Z223" s="24">
        <v>204255</v>
      </c>
      <c r="AA223" s="24">
        <v>572010</v>
      </c>
      <c r="AB223" s="24">
        <v>0</v>
      </c>
      <c r="AC223" s="24"/>
      <c r="AD223" s="24"/>
      <c r="AE223" s="24"/>
      <c r="AF223" s="24"/>
    </row>
    <row r="224" spans="1:32" ht="62.4" x14ac:dyDescent="0.3">
      <c r="A224" s="23">
        <v>41214</v>
      </c>
      <c r="B224" s="24" t="s">
        <v>571</v>
      </c>
      <c r="C224" s="24">
        <v>30264</v>
      </c>
      <c r="D224" s="24" t="s">
        <v>585</v>
      </c>
      <c r="E224" s="24" t="s">
        <v>875</v>
      </c>
      <c r="F224" s="24" t="s">
        <v>574</v>
      </c>
      <c r="G224" s="24">
        <v>2530566</v>
      </c>
      <c r="H224" s="25">
        <v>584.49</v>
      </c>
      <c r="I224" s="25">
        <v>584.49</v>
      </c>
      <c r="J224" s="24" t="s">
        <v>876</v>
      </c>
      <c r="K224" s="24" t="s">
        <v>877</v>
      </c>
      <c r="L224" s="24" t="s">
        <v>633</v>
      </c>
      <c r="M224" s="24" t="s">
        <v>878</v>
      </c>
      <c r="N224" s="24" t="s">
        <v>590</v>
      </c>
      <c r="O224" s="24">
        <v>272223</v>
      </c>
      <c r="P224" s="25"/>
      <c r="Q224" s="25"/>
      <c r="R224" s="24" t="s">
        <v>879</v>
      </c>
      <c r="S224" s="24" t="s">
        <v>581</v>
      </c>
      <c r="T224" s="27">
        <v>41220</v>
      </c>
      <c r="U224" s="25">
        <v>2531983</v>
      </c>
      <c r="V224" s="24" t="s">
        <v>582</v>
      </c>
      <c r="W224" s="24" t="s">
        <v>583</v>
      </c>
      <c r="X224" s="24" t="s">
        <v>584</v>
      </c>
      <c r="Y224" s="24">
        <v>4020</v>
      </c>
      <c r="Z224" s="24">
        <v>204255</v>
      </c>
      <c r="AA224" s="24">
        <v>670160</v>
      </c>
      <c r="AB224" s="24">
        <v>0</v>
      </c>
      <c r="AC224" s="24"/>
      <c r="AD224" s="24"/>
      <c r="AE224" s="24"/>
      <c r="AF224" s="24"/>
    </row>
    <row r="225" spans="1:32" ht="62.4" x14ac:dyDescent="0.3">
      <c r="A225" s="23">
        <v>41244</v>
      </c>
      <c r="B225" s="24" t="s">
        <v>571</v>
      </c>
      <c r="C225" s="24">
        <v>30264</v>
      </c>
      <c r="D225" s="24" t="s">
        <v>625</v>
      </c>
      <c r="E225" s="24" t="s">
        <v>586</v>
      </c>
      <c r="F225" s="24" t="s">
        <v>574</v>
      </c>
      <c r="G225" s="24">
        <v>2615955</v>
      </c>
      <c r="H225" s="25">
        <v>1650</v>
      </c>
      <c r="I225" s="26">
        <v>1650</v>
      </c>
      <c r="J225" s="24" t="s">
        <v>794</v>
      </c>
      <c r="K225" s="24" t="s">
        <v>627</v>
      </c>
      <c r="L225" s="24" t="s">
        <v>577</v>
      </c>
      <c r="M225" s="24" t="s">
        <v>589</v>
      </c>
      <c r="N225" s="24" t="s">
        <v>628</v>
      </c>
      <c r="O225" s="24">
        <v>269473</v>
      </c>
      <c r="P225" s="25"/>
      <c r="Q225" s="25"/>
      <c r="R225" s="24" t="s">
        <v>880</v>
      </c>
      <c r="S225" s="24" t="s">
        <v>581</v>
      </c>
      <c r="T225" s="27">
        <v>41248</v>
      </c>
      <c r="U225" s="25">
        <v>2621431</v>
      </c>
      <c r="V225" s="24" t="s">
        <v>582</v>
      </c>
      <c r="W225" s="24" t="s">
        <v>583</v>
      </c>
      <c r="X225" s="24" t="s">
        <v>584</v>
      </c>
      <c r="Y225" s="24">
        <v>4020</v>
      </c>
      <c r="Z225" s="24">
        <v>204255</v>
      </c>
      <c r="AA225" s="24">
        <v>572010</v>
      </c>
      <c r="AB225" s="24">
        <v>0</v>
      </c>
      <c r="AC225" s="24"/>
      <c r="AD225" s="24"/>
      <c r="AE225" s="24"/>
      <c r="AF225" s="24"/>
    </row>
    <row r="226" spans="1:32" ht="62.4" x14ac:dyDescent="0.3">
      <c r="A226" s="23">
        <v>41244</v>
      </c>
      <c r="B226" s="24" t="s">
        <v>571</v>
      </c>
      <c r="C226" s="24">
        <v>30264</v>
      </c>
      <c r="D226" s="24" t="s">
        <v>625</v>
      </c>
      <c r="E226" s="24" t="s">
        <v>586</v>
      </c>
      <c r="F226" s="24" t="s">
        <v>574</v>
      </c>
      <c r="G226" s="24">
        <v>2663124</v>
      </c>
      <c r="H226" s="25">
        <v>3480</v>
      </c>
      <c r="I226" s="26">
        <v>3480</v>
      </c>
      <c r="J226" s="24" t="s">
        <v>794</v>
      </c>
      <c r="K226" s="24" t="s">
        <v>627</v>
      </c>
      <c r="L226" s="24" t="s">
        <v>577</v>
      </c>
      <c r="M226" s="24" t="s">
        <v>589</v>
      </c>
      <c r="N226" s="24" t="s">
        <v>628</v>
      </c>
      <c r="O226" s="24">
        <v>269473</v>
      </c>
      <c r="P226" s="25"/>
      <c r="Q226" s="25"/>
      <c r="R226" s="24" t="s">
        <v>881</v>
      </c>
      <c r="S226" s="24" t="s">
        <v>581</v>
      </c>
      <c r="T226" s="27">
        <v>41262</v>
      </c>
      <c r="U226" s="25">
        <v>2661648</v>
      </c>
      <c r="V226" s="24" t="s">
        <v>582</v>
      </c>
      <c r="W226" s="24" t="s">
        <v>583</v>
      </c>
      <c r="X226" s="24" t="s">
        <v>584</v>
      </c>
      <c r="Y226" s="24">
        <v>4020</v>
      </c>
      <c r="Z226" s="24">
        <v>204255</v>
      </c>
      <c r="AA226" s="24">
        <v>572010</v>
      </c>
      <c r="AB226" s="24">
        <v>0</v>
      </c>
      <c r="AC226" s="24"/>
      <c r="AD226" s="24"/>
      <c r="AE226" s="24"/>
      <c r="AF226" s="24"/>
    </row>
    <row r="227" spans="1:32" ht="62.4" x14ac:dyDescent="0.3">
      <c r="A227" s="23">
        <v>41244</v>
      </c>
      <c r="B227" s="24" t="s">
        <v>571</v>
      </c>
      <c r="C227" s="24">
        <v>30264</v>
      </c>
      <c r="D227" s="24" t="s">
        <v>585</v>
      </c>
      <c r="E227" s="24" t="s">
        <v>586</v>
      </c>
      <c r="F227" s="24" t="s">
        <v>574</v>
      </c>
      <c r="G227" s="24">
        <v>2637348</v>
      </c>
      <c r="H227" s="25">
        <v>350</v>
      </c>
      <c r="I227" s="25">
        <v>350</v>
      </c>
      <c r="J227" s="24" t="s">
        <v>798</v>
      </c>
      <c r="K227" s="24" t="s">
        <v>724</v>
      </c>
      <c r="L227" s="24" t="s">
        <v>577</v>
      </c>
      <c r="M227" s="24" t="s">
        <v>589</v>
      </c>
      <c r="N227" s="24" t="s">
        <v>590</v>
      </c>
      <c r="O227" s="24">
        <v>269424</v>
      </c>
      <c r="P227" s="25"/>
      <c r="Q227" s="25"/>
      <c r="R227" s="24" t="s">
        <v>882</v>
      </c>
      <c r="S227" s="24" t="s">
        <v>581</v>
      </c>
      <c r="T227" s="27">
        <v>41254</v>
      </c>
      <c r="U227" s="25">
        <v>2637803</v>
      </c>
      <c r="V227" s="24" t="s">
        <v>582</v>
      </c>
      <c r="W227" s="24" t="s">
        <v>583</v>
      </c>
      <c r="X227" s="24" t="s">
        <v>584</v>
      </c>
      <c r="Y227" s="24">
        <v>4020</v>
      </c>
      <c r="Z227" s="24">
        <v>204255</v>
      </c>
      <c r="AA227" s="24">
        <v>572010</v>
      </c>
      <c r="AB227" s="24">
        <v>0</v>
      </c>
      <c r="AC227" s="24"/>
      <c r="AD227" s="24"/>
      <c r="AE227" s="24"/>
      <c r="AF227" s="24"/>
    </row>
    <row r="228" spans="1:32" ht="62.4" x14ac:dyDescent="0.3">
      <c r="A228" s="23">
        <v>41244</v>
      </c>
      <c r="B228" s="24" t="s">
        <v>571</v>
      </c>
      <c r="C228" s="24">
        <v>30264</v>
      </c>
      <c r="D228" s="24" t="s">
        <v>585</v>
      </c>
      <c r="E228" s="24" t="s">
        <v>586</v>
      </c>
      <c r="F228" s="24" t="s">
        <v>574</v>
      </c>
      <c r="G228" s="24">
        <v>2637348</v>
      </c>
      <c r="H228" s="25">
        <v>792.5</v>
      </c>
      <c r="I228" s="25">
        <v>792.5</v>
      </c>
      <c r="J228" s="24" t="s">
        <v>798</v>
      </c>
      <c r="K228" s="24" t="s">
        <v>724</v>
      </c>
      <c r="L228" s="24" t="s">
        <v>577</v>
      </c>
      <c r="M228" s="24" t="s">
        <v>589</v>
      </c>
      <c r="N228" s="24" t="s">
        <v>590</v>
      </c>
      <c r="O228" s="24">
        <v>269424</v>
      </c>
      <c r="P228" s="25"/>
      <c r="Q228" s="25"/>
      <c r="R228" s="24" t="s">
        <v>883</v>
      </c>
      <c r="S228" s="24" t="s">
        <v>581</v>
      </c>
      <c r="T228" s="27">
        <v>41254</v>
      </c>
      <c r="U228" s="25">
        <v>2637805</v>
      </c>
      <c r="V228" s="24" t="s">
        <v>582</v>
      </c>
      <c r="W228" s="24" t="s">
        <v>583</v>
      </c>
      <c r="X228" s="24" t="s">
        <v>584</v>
      </c>
      <c r="Y228" s="24">
        <v>4020</v>
      </c>
      <c r="Z228" s="24">
        <v>204255</v>
      </c>
      <c r="AA228" s="24">
        <v>572010</v>
      </c>
      <c r="AB228" s="24">
        <v>0</v>
      </c>
      <c r="AC228" s="24"/>
      <c r="AD228" s="24"/>
      <c r="AE228" s="24"/>
      <c r="AF228" s="24"/>
    </row>
    <row r="229" spans="1:32" ht="62.4" x14ac:dyDescent="0.3">
      <c r="A229" s="23">
        <v>41244</v>
      </c>
      <c r="B229" s="24" t="s">
        <v>571</v>
      </c>
      <c r="C229" s="24">
        <v>30264</v>
      </c>
      <c r="D229" s="24" t="s">
        <v>585</v>
      </c>
      <c r="E229" s="24" t="s">
        <v>586</v>
      </c>
      <c r="F229" s="24" t="s">
        <v>574</v>
      </c>
      <c r="G229" s="24">
        <v>2637348</v>
      </c>
      <c r="H229" s="25">
        <v>778.63</v>
      </c>
      <c r="I229" s="25">
        <v>778.63</v>
      </c>
      <c r="J229" s="24" t="s">
        <v>798</v>
      </c>
      <c r="K229" s="24" t="s">
        <v>724</v>
      </c>
      <c r="L229" s="24" t="s">
        <v>577</v>
      </c>
      <c r="M229" s="24" t="s">
        <v>589</v>
      </c>
      <c r="N229" s="24" t="s">
        <v>590</v>
      </c>
      <c r="O229" s="24">
        <v>269424</v>
      </c>
      <c r="P229" s="25"/>
      <c r="Q229" s="25"/>
      <c r="R229" s="24" t="s">
        <v>884</v>
      </c>
      <c r="S229" s="24" t="s">
        <v>581</v>
      </c>
      <c r="T229" s="27">
        <v>41254</v>
      </c>
      <c r="U229" s="25">
        <v>2637806</v>
      </c>
      <c r="V229" s="24" t="s">
        <v>582</v>
      </c>
      <c r="W229" s="24" t="s">
        <v>583</v>
      </c>
      <c r="X229" s="24" t="s">
        <v>584</v>
      </c>
      <c r="Y229" s="24">
        <v>4020</v>
      </c>
      <c r="Z229" s="24">
        <v>204255</v>
      </c>
      <c r="AA229" s="24">
        <v>572010</v>
      </c>
      <c r="AB229" s="24">
        <v>0</v>
      </c>
      <c r="AC229" s="24"/>
      <c r="AD229" s="24"/>
      <c r="AE229" s="24"/>
      <c r="AF229" s="24"/>
    </row>
    <row r="230" spans="1:32" ht="62.4" x14ac:dyDescent="0.3">
      <c r="A230" s="23">
        <v>41244</v>
      </c>
      <c r="B230" s="24" t="s">
        <v>571</v>
      </c>
      <c r="C230" s="24">
        <v>30264</v>
      </c>
      <c r="D230" s="24" t="s">
        <v>585</v>
      </c>
      <c r="E230" s="24" t="s">
        <v>586</v>
      </c>
      <c r="F230" s="24" t="s">
        <v>574</v>
      </c>
      <c r="G230" s="24">
        <v>2637348</v>
      </c>
      <c r="H230" s="25">
        <v>960.88</v>
      </c>
      <c r="I230" s="25">
        <v>960.88</v>
      </c>
      <c r="J230" s="24" t="s">
        <v>798</v>
      </c>
      <c r="K230" s="24" t="s">
        <v>724</v>
      </c>
      <c r="L230" s="24" t="s">
        <v>577</v>
      </c>
      <c r="M230" s="24" t="s">
        <v>589</v>
      </c>
      <c r="N230" s="24" t="s">
        <v>590</v>
      </c>
      <c r="O230" s="24">
        <v>269424</v>
      </c>
      <c r="P230" s="25"/>
      <c r="Q230" s="25"/>
      <c r="R230" s="24" t="s">
        <v>885</v>
      </c>
      <c r="S230" s="24" t="s">
        <v>581</v>
      </c>
      <c r="T230" s="27">
        <v>41254</v>
      </c>
      <c r="U230" s="25">
        <v>2637807</v>
      </c>
      <c r="V230" s="24" t="s">
        <v>582</v>
      </c>
      <c r="W230" s="24" t="s">
        <v>583</v>
      </c>
      <c r="X230" s="24" t="s">
        <v>584</v>
      </c>
      <c r="Y230" s="24">
        <v>4020</v>
      </c>
      <c r="Z230" s="24">
        <v>204255</v>
      </c>
      <c r="AA230" s="24">
        <v>572010</v>
      </c>
      <c r="AB230" s="24">
        <v>0</v>
      </c>
      <c r="AC230" s="24"/>
      <c r="AD230" s="24"/>
      <c r="AE230" s="24"/>
      <c r="AF230" s="24"/>
    </row>
    <row r="231" spans="1:32" ht="62.4" x14ac:dyDescent="0.3">
      <c r="A231" s="23">
        <v>41244</v>
      </c>
      <c r="B231" s="24" t="s">
        <v>571</v>
      </c>
      <c r="C231" s="24">
        <v>30264</v>
      </c>
      <c r="D231" s="24" t="s">
        <v>585</v>
      </c>
      <c r="E231" s="24" t="s">
        <v>586</v>
      </c>
      <c r="F231" s="24" t="s">
        <v>574</v>
      </c>
      <c r="G231" s="24">
        <v>2637348</v>
      </c>
      <c r="H231" s="25">
        <v>275</v>
      </c>
      <c r="I231" s="25">
        <v>275</v>
      </c>
      <c r="J231" s="24" t="s">
        <v>798</v>
      </c>
      <c r="K231" s="24" t="s">
        <v>724</v>
      </c>
      <c r="L231" s="24" t="s">
        <v>577</v>
      </c>
      <c r="M231" s="24" t="s">
        <v>589</v>
      </c>
      <c r="N231" s="24" t="s">
        <v>590</v>
      </c>
      <c r="O231" s="24">
        <v>269424</v>
      </c>
      <c r="P231" s="25"/>
      <c r="Q231" s="25"/>
      <c r="R231" s="24" t="s">
        <v>886</v>
      </c>
      <c r="S231" s="24" t="s">
        <v>581</v>
      </c>
      <c r="T231" s="27">
        <v>41254</v>
      </c>
      <c r="U231" s="25">
        <v>2637808</v>
      </c>
      <c r="V231" s="24" t="s">
        <v>582</v>
      </c>
      <c r="W231" s="24" t="s">
        <v>583</v>
      </c>
      <c r="X231" s="24" t="s">
        <v>584</v>
      </c>
      <c r="Y231" s="24">
        <v>4020</v>
      </c>
      <c r="Z231" s="24">
        <v>204255</v>
      </c>
      <c r="AA231" s="24">
        <v>572010</v>
      </c>
      <c r="AB231" s="24">
        <v>0</v>
      </c>
      <c r="AC231" s="24"/>
      <c r="AD231" s="24"/>
      <c r="AE231" s="24"/>
      <c r="AF231" s="24"/>
    </row>
    <row r="232" spans="1:32" ht="62.4" x14ac:dyDescent="0.3">
      <c r="A232" s="23">
        <v>41244</v>
      </c>
      <c r="B232" s="24" t="s">
        <v>571</v>
      </c>
      <c r="C232" s="24">
        <v>30264</v>
      </c>
      <c r="D232" s="24" t="s">
        <v>585</v>
      </c>
      <c r="E232" s="24" t="s">
        <v>586</v>
      </c>
      <c r="F232" s="24" t="s">
        <v>574</v>
      </c>
      <c r="G232" s="24">
        <v>2637348</v>
      </c>
      <c r="H232" s="25">
        <v>3989</v>
      </c>
      <c r="I232" s="26">
        <v>3989</v>
      </c>
      <c r="J232" s="24" t="s">
        <v>798</v>
      </c>
      <c r="K232" s="24" t="s">
        <v>724</v>
      </c>
      <c r="L232" s="24" t="s">
        <v>577</v>
      </c>
      <c r="M232" s="24" t="s">
        <v>589</v>
      </c>
      <c r="N232" s="24" t="s">
        <v>590</v>
      </c>
      <c r="O232" s="24">
        <v>269424</v>
      </c>
      <c r="P232" s="25"/>
      <c r="Q232" s="25"/>
      <c r="R232" s="24" t="s">
        <v>887</v>
      </c>
      <c r="S232" s="24" t="s">
        <v>581</v>
      </c>
      <c r="T232" s="27">
        <v>41254</v>
      </c>
      <c r="U232" s="25">
        <v>2637809</v>
      </c>
      <c r="V232" s="24" t="s">
        <v>582</v>
      </c>
      <c r="W232" s="24" t="s">
        <v>583</v>
      </c>
      <c r="X232" s="24" t="s">
        <v>584</v>
      </c>
      <c r="Y232" s="24">
        <v>4020</v>
      </c>
      <c r="Z232" s="24">
        <v>204255</v>
      </c>
      <c r="AA232" s="24">
        <v>572010</v>
      </c>
      <c r="AB232" s="24">
        <v>0</v>
      </c>
      <c r="AC232" s="24"/>
      <c r="AD232" s="24"/>
      <c r="AE232" s="24"/>
      <c r="AF232" s="24"/>
    </row>
    <row r="233" spans="1:32" ht="62.4" x14ac:dyDescent="0.3">
      <c r="A233" s="23">
        <v>41244</v>
      </c>
      <c r="B233" s="24" t="s">
        <v>571</v>
      </c>
      <c r="C233" s="24">
        <v>30264</v>
      </c>
      <c r="D233" s="24" t="s">
        <v>585</v>
      </c>
      <c r="E233" s="24" t="s">
        <v>586</v>
      </c>
      <c r="F233" s="24" t="s">
        <v>574</v>
      </c>
      <c r="G233" s="24">
        <v>2637348</v>
      </c>
      <c r="H233" s="25">
        <v>1922.25</v>
      </c>
      <c r="I233" s="26">
        <v>1922.25</v>
      </c>
      <c r="J233" s="24" t="s">
        <v>798</v>
      </c>
      <c r="K233" s="24" t="s">
        <v>724</v>
      </c>
      <c r="L233" s="24" t="s">
        <v>577</v>
      </c>
      <c r="M233" s="24" t="s">
        <v>589</v>
      </c>
      <c r="N233" s="24" t="s">
        <v>590</v>
      </c>
      <c r="O233" s="24">
        <v>269424</v>
      </c>
      <c r="P233" s="25"/>
      <c r="Q233" s="25"/>
      <c r="R233" s="24" t="s">
        <v>888</v>
      </c>
      <c r="S233" s="24" t="s">
        <v>581</v>
      </c>
      <c r="T233" s="27">
        <v>41254</v>
      </c>
      <c r="U233" s="25">
        <v>2637810</v>
      </c>
      <c r="V233" s="24" t="s">
        <v>582</v>
      </c>
      <c r="W233" s="24" t="s">
        <v>583</v>
      </c>
      <c r="X233" s="24" t="s">
        <v>584</v>
      </c>
      <c r="Y233" s="24">
        <v>4020</v>
      </c>
      <c r="Z233" s="24">
        <v>204255</v>
      </c>
      <c r="AA233" s="24">
        <v>572010</v>
      </c>
      <c r="AB233" s="24">
        <v>0</v>
      </c>
      <c r="AC233" s="24"/>
      <c r="AD233" s="24"/>
      <c r="AE233" s="24"/>
      <c r="AF233" s="24"/>
    </row>
    <row r="234" spans="1:32" ht="62.4" x14ac:dyDescent="0.3">
      <c r="A234" s="23">
        <v>41244</v>
      </c>
      <c r="B234" s="24" t="s">
        <v>571</v>
      </c>
      <c r="C234" s="24">
        <v>30264</v>
      </c>
      <c r="D234" s="24" t="s">
        <v>585</v>
      </c>
      <c r="E234" s="24" t="s">
        <v>586</v>
      </c>
      <c r="F234" s="24" t="s">
        <v>574</v>
      </c>
      <c r="G234" s="24">
        <v>2637348</v>
      </c>
      <c r="H234" s="25">
        <v>455</v>
      </c>
      <c r="I234" s="25">
        <v>455</v>
      </c>
      <c r="J234" s="24" t="s">
        <v>798</v>
      </c>
      <c r="K234" s="24" t="s">
        <v>724</v>
      </c>
      <c r="L234" s="24" t="s">
        <v>577</v>
      </c>
      <c r="M234" s="24" t="s">
        <v>589</v>
      </c>
      <c r="N234" s="24" t="s">
        <v>590</v>
      </c>
      <c r="O234" s="24">
        <v>269424</v>
      </c>
      <c r="P234" s="25"/>
      <c r="Q234" s="25"/>
      <c r="R234" s="24" t="s">
        <v>889</v>
      </c>
      <c r="S234" s="24" t="s">
        <v>581</v>
      </c>
      <c r="T234" s="27">
        <v>41254</v>
      </c>
      <c r="U234" s="25">
        <v>2637812</v>
      </c>
      <c r="V234" s="24" t="s">
        <v>582</v>
      </c>
      <c r="W234" s="24" t="s">
        <v>583</v>
      </c>
      <c r="X234" s="24" t="s">
        <v>584</v>
      </c>
      <c r="Y234" s="24">
        <v>4020</v>
      </c>
      <c r="Z234" s="24">
        <v>204255</v>
      </c>
      <c r="AA234" s="24">
        <v>572010</v>
      </c>
      <c r="AB234" s="24">
        <v>0</v>
      </c>
      <c r="AC234" s="24"/>
      <c r="AD234" s="24"/>
      <c r="AE234" s="24"/>
      <c r="AF234" s="24"/>
    </row>
    <row r="235" spans="1:32" ht="62.4" x14ac:dyDescent="0.3">
      <c r="A235" s="23">
        <v>41244</v>
      </c>
      <c r="B235" s="24" t="s">
        <v>571</v>
      </c>
      <c r="C235" s="24">
        <v>30264</v>
      </c>
      <c r="D235" s="24" t="s">
        <v>585</v>
      </c>
      <c r="E235" s="24" t="s">
        <v>586</v>
      </c>
      <c r="F235" s="24" t="s">
        <v>574</v>
      </c>
      <c r="G235" s="24">
        <v>2637348</v>
      </c>
      <c r="H235" s="25">
        <v>2639.56</v>
      </c>
      <c r="I235" s="26">
        <v>2639.56</v>
      </c>
      <c r="J235" s="24" t="s">
        <v>798</v>
      </c>
      <c r="K235" s="24" t="s">
        <v>724</v>
      </c>
      <c r="L235" s="24" t="s">
        <v>577</v>
      </c>
      <c r="M235" s="24" t="s">
        <v>589</v>
      </c>
      <c r="N235" s="24" t="s">
        <v>590</v>
      </c>
      <c r="O235" s="24">
        <v>269424</v>
      </c>
      <c r="P235" s="25"/>
      <c r="Q235" s="25"/>
      <c r="R235" s="24" t="s">
        <v>890</v>
      </c>
      <c r="S235" s="24" t="s">
        <v>581</v>
      </c>
      <c r="T235" s="27">
        <v>41254</v>
      </c>
      <c r="U235" s="25">
        <v>2637813</v>
      </c>
      <c r="V235" s="24" t="s">
        <v>582</v>
      </c>
      <c r="W235" s="24" t="s">
        <v>583</v>
      </c>
      <c r="X235" s="24" t="s">
        <v>584</v>
      </c>
      <c r="Y235" s="24">
        <v>4020</v>
      </c>
      <c r="Z235" s="24">
        <v>204255</v>
      </c>
      <c r="AA235" s="24">
        <v>572010</v>
      </c>
      <c r="AB235" s="24">
        <v>0</v>
      </c>
      <c r="AC235" s="24"/>
      <c r="AD235" s="24"/>
      <c r="AE235" s="24"/>
      <c r="AF235" s="24"/>
    </row>
    <row r="236" spans="1:32" ht="62.4" x14ac:dyDescent="0.3">
      <c r="A236" s="23">
        <v>41244</v>
      </c>
      <c r="B236" s="24" t="s">
        <v>571</v>
      </c>
      <c r="C236" s="24">
        <v>30264</v>
      </c>
      <c r="D236" s="24" t="s">
        <v>585</v>
      </c>
      <c r="E236" s="24" t="s">
        <v>586</v>
      </c>
      <c r="F236" s="24" t="s">
        <v>574</v>
      </c>
      <c r="G236" s="24">
        <v>2637348</v>
      </c>
      <c r="H236" s="25">
        <v>8427.5</v>
      </c>
      <c r="I236" s="26">
        <v>8427.5</v>
      </c>
      <c r="J236" s="24" t="s">
        <v>798</v>
      </c>
      <c r="K236" s="24" t="s">
        <v>724</v>
      </c>
      <c r="L236" s="24" t="s">
        <v>577</v>
      </c>
      <c r="M236" s="24" t="s">
        <v>589</v>
      </c>
      <c r="N236" s="24" t="s">
        <v>590</v>
      </c>
      <c r="O236" s="24">
        <v>269424</v>
      </c>
      <c r="P236" s="25"/>
      <c r="Q236" s="25"/>
      <c r="R236" s="24" t="s">
        <v>891</v>
      </c>
      <c r="S236" s="24" t="s">
        <v>581</v>
      </c>
      <c r="T236" s="27">
        <v>41254</v>
      </c>
      <c r="U236" s="25">
        <v>2637814</v>
      </c>
      <c r="V236" s="24" t="s">
        <v>582</v>
      </c>
      <c r="W236" s="24" t="s">
        <v>583</v>
      </c>
      <c r="X236" s="24" t="s">
        <v>584</v>
      </c>
      <c r="Y236" s="24">
        <v>4020</v>
      </c>
      <c r="Z236" s="24">
        <v>204255</v>
      </c>
      <c r="AA236" s="24">
        <v>572010</v>
      </c>
      <c r="AB236" s="24">
        <v>0</v>
      </c>
      <c r="AC236" s="24"/>
      <c r="AD236" s="24"/>
      <c r="AE236" s="24"/>
      <c r="AF236" s="24"/>
    </row>
    <row r="237" spans="1:32" ht="62.4" x14ac:dyDescent="0.3">
      <c r="A237" s="23">
        <v>41244</v>
      </c>
      <c r="B237" s="24" t="s">
        <v>571</v>
      </c>
      <c r="C237" s="24">
        <v>30264</v>
      </c>
      <c r="D237" s="24" t="s">
        <v>585</v>
      </c>
      <c r="E237" s="24" t="s">
        <v>586</v>
      </c>
      <c r="F237" s="24" t="s">
        <v>574</v>
      </c>
      <c r="G237" s="24">
        <v>2637348</v>
      </c>
      <c r="H237" s="25">
        <v>2109.5</v>
      </c>
      <c r="I237" s="26">
        <v>2109.5</v>
      </c>
      <c r="J237" s="24" t="s">
        <v>798</v>
      </c>
      <c r="K237" s="24" t="s">
        <v>724</v>
      </c>
      <c r="L237" s="24" t="s">
        <v>577</v>
      </c>
      <c r="M237" s="24" t="s">
        <v>589</v>
      </c>
      <c r="N237" s="24" t="s">
        <v>590</v>
      </c>
      <c r="O237" s="24">
        <v>269424</v>
      </c>
      <c r="P237" s="25"/>
      <c r="Q237" s="25"/>
      <c r="R237" s="24" t="s">
        <v>892</v>
      </c>
      <c r="S237" s="24" t="s">
        <v>581</v>
      </c>
      <c r="T237" s="27">
        <v>41254</v>
      </c>
      <c r="U237" s="25">
        <v>2637816</v>
      </c>
      <c r="V237" s="24" t="s">
        <v>582</v>
      </c>
      <c r="W237" s="24" t="s">
        <v>583</v>
      </c>
      <c r="X237" s="24" t="s">
        <v>584</v>
      </c>
      <c r="Y237" s="24">
        <v>4020</v>
      </c>
      <c r="Z237" s="24">
        <v>204255</v>
      </c>
      <c r="AA237" s="24">
        <v>572010</v>
      </c>
      <c r="AB237" s="24">
        <v>0</v>
      </c>
      <c r="AC237" s="24"/>
      <c r="AD237" s="24"/>
      <c r="AE237" s="24"/>
      <c r="AF237" s="24"/>
    </row>
    <row r="238" spans="1:32" ht="62.4" x14ac:dyDescent="0.3">
      <c r="A238" s="23">
        <v>41244</v>
      </c>
      <c r="B238" s="24" t="s">
        <v>571</v>
      </c>
      <c r="C238" s="24">
        <v>30264</v>
      </c>
      <c r="D238" s="24" t="s">
        <v>585</v>
      </c>
      <c r="E238" s="24" t="s">
        <v>586</v>
      </c>
      <c r="F238" s="24" t="s">
        <v>574</v>
      </c>
      <c r="G238" s="24">
        <v>2637348</v>
      </c>
      <c r="H238" s="25">
        <v>427.25</v>
      </c>
      <c r="I238" s="25">
        <v>427.25</v>
      </c>
      <c r="J238" s="24" t="s">
        <v>798</v>
      </c>
      <c r="K238" s="24" t="s">
        <v>724</v>
      </c>
      <c r="L238" s="24" t="s">
        <v>577</v>
      </c>
      <c r="M238" s="24" t="s">
        <v>589</v>
      </c>
      <c r="N238" s="24" t="s">
        <v>590</v>
      </c>
      <c r="O238" s="24">
        <v>269424</v>
      </c>
      <c r="P238" s="25"/>
      <c r="Q238" s="25"/>
      <c r="R238" s="24" t="s">
        <v>893</v>
      </c>
      <c r="S238" s="24" t="s">
        <v>581</v>
      </c>
      <c r="T238" s="27">
        <v>41254</v>
      </c>
      <c r="U238" s="25">
        <v>2637817</v>
      </c>
      <c r="V238" s="24" t="s">
        <v>582</v>
      </c>
      <c r="W238" s="24" t="s">
        <v>583</v>
      </c>
      <c r="X238" s="24" t="s">
        <v>584</v>
      </c>
      <c r="Y238" s="24">
        <v>4020</v>
      </c>
      <c r="Z238" s="24">
        <v>204255</v>
      </c>
      <c r="AA238" s="24">
        <v>572010</v>
      </c>
      <c r="AB238" s="24">
        <v>0</v>
      </c>
      <c r="AC238" s="24"/>
      <c r="AD238" s="24"/>
      <c r="AE238" s="24"/>
      <c r="AF238" s="24"/>
    </row>
    <row r="239" spans="1:32" ht="62.4" x14ac:dyDescent="0.3">
      <c r="A239" s="23">
        <v>41244</v>
      </c>
      <c r="B239" s="24" t="s">
        <v>571</v>
      </c>
      <c r="C239" s="24">
        <v>30264</v>
      </c>
      <c r="D239" s="24" t="s">
        <v>585</v>
      </c>
      <c r="E239" s="24" t="s">
        <v>586</v>
      </c>
      <c r="F239" s="24" t="s">
        <v>574</v>
      </c>
      <c r="G239" s="24">
        <v>2637348</v>
      </c>
      <c r="H239" s="25">
        <v>1106.25</v>
      </c>
      <c r="I239" s="26">
        <v>1106.25</v>
      </c>
      <c r="J239" s="24" t="s">
        <v>798</v>
      </c>
      <c r="K239" s="24" t="s">
        <v>724</v>
      </c>
      <c r="L239" s="24" t="s">
        <v>577</v>
      </c>
      <c r="M239" s="24" t="s">
        <v>589</v>
      </c>
      <c r="N239" s="24" t="s">
        <v>590</v>
      </c>
      <c r="O239" s="24">
        <v>269424</v>
      </c>
      <c r="P239" s="25"/>
      <c r="Q239" s="25"/>
      <c r="R239" s="24" t="s">
        <v>894</v>
      </c>
      <c r="S239" s="24" t="s">
        <v>581</v>
      </c>
      <c r="T239" s="27">
        <v>41254</v>
      </c>
      <c r="U239" s="25">
        <v>2637818</v>
      </c>
      <c r="V239" s="24" t="s">
        <v>582</v>
      </c>
      <c r="W239" s="24" t="s">
        <v>583</v>
      </c>
      <c r="X239" s="24" t="s">
        <v>584</v>
      </c>
      <c r="Y239" s="24">
        <v>4020</v>
      </c>
      <c r="Z239" s="24">
        <v>204255</v>
      </c>
      <c r="AA239" s="24">
        <v>572010</v>
      </c>
      <c r="AB239" s="24">
        <v>0</v>
      </c>
      <c r="AC239" s="24"/>
      <c r="AD239" s="24"/>
      <c r="AE239" s="24"/>
      <c r="AF239" s="24"/>
    </row>
    <row r="240" spans="1:32" ht="62.4" x14ac:dyDescent="0.3">
      <c r="A240" s="23">
        <v>41244</v>
      </c>
      <c r="B240" s="24" t="s">
        <v>571</v>
      </c>
      <c r="C240" s="24">
        <v>30264</v>
      </c>
      <c r="D240" s="24" t="s">
        <v>585</v>
      </c>
      <c r="E240" s="24" t="s">
        <v>586</v>
      </c>
      <c r="F240" s="24" t="s">
        <v>574</v>
      </c>
      <c r="G240" s="24">
        <v>2637348</v>
      </c>
      <c r="H240" s="25">
        <v>4649.75</v>
      </c>
      <c r="I240" s="26">
        <v>4649.75</v>
      </c>
      <c r="J240" s="24" t="s">
        <v>798</v>
      </c>
      <c r="K240" s="24" t="s">
        <v>724</v>
      </c>
      <c r="L240" s="24" t="s">
        <v>577</v>
      </c>
      <c r="M240" s="24" t="s">
        <v>589</v>
      </c>
      <c r="N240" s="24" t="s">
        <v>590</v>
      </c>
      <c r="O240" s="24">
        <v>269424</v>
      </c>
      <c r="P240" s="25"/>
      <c r="Q240" s="25"/>
      <c r="R240" s="24" t="s">
        <v>895</v>
      </c>
      <c r="S240" s="24" t="s">
        <v>581</v>
      </c>
      <c r="T240" s="27">
        <v>41254</v>
      </c>
      <c r="U240" s="25">
        <v>2637819</v>
      </c>
      <c r="V240" s="24" t="s">
        <v>582</v>
      </c>
      <c r="W240" s="24" t="s">
        <v>583</v>
      </c>
      <c r="X240" s="24" t="s">
        <v>584</v>
      </c>
      <c r="Y240" s="24">
        <v>4020</v>
      </c>
      <c r="Z240" s="24">
        <v>204255</v>
      </c>
      <c r="AA240" s="24">
        <v>572010</v>
      </c>
      <c r="AB240" s="24">
        <v>0</v>
      </c>
      <c r="AC240" s="24"/>
      <c r="AD240" s="24"/>
      <c r="AE240" s="24"/>
      <c r="AF240" s="24"/>
    </row>
    <row r="241" spans="1:32" ht="62.4" x14ac:dyDescent="0.3">
      <c r="A241" s="23">
        <v>41244</v>
      </c>
      <c r="B241" s="24" t="s">
        <v>571</v>
      </c>
      <c r="C241" s="24">
        <v>30264</v>
      </c>
      <c r="D241" s="24" t="s">
        <v>585</v>
      </c>
      <c r="E241" s="24" t="s">
        <v>586</v>
      </c>
      <c r="F241" s="24" t="s">
        <v>574</v>
      </c>
      <c r="G241" s="24">
        <v>2637348</v>
      </c>
      <c r="H241" s="25">
        <v>785</v>
      </c>
      <c r="I241" s="25">
        <v>785</v>
      </c>
      <c r="J241" s="24" t="s">
        <v>798</v>
      </c>
      <c r="K241" s="24" t="s">
        <v>724</v>
      </c>
      <c r="L241" s="24" t="s">
        <v>577</v>
      </c>
      <c r="M241" s="24" t="s">
        <v>589</v>
      </c>
      <c r="N241" s="24" t="s">
        <v>590</v>
      </c>
      <c r="O241" s="24">
        <v>269424</v>
      </c>
      <c r="P241" s="25"/>
      <c r="Q241" s="25"/>
      <c r="R241" s="24" t="s">
        <v>896</v>
      </c>
      <c r="S241" s="24" t="s">
        <v>581</v>
      </c>
      <c r="T241" s="27">
        <v>41254</v>
      </c>
      <c r="U241" s="25">
        <v>2637820</v>
      </c>
      <c r="V241" s="24" t="s">
        <v>582</v>
      </c>
      <c r="W241" s="24" t="s">
        <v>583</v>
      </c>
      <c r="X241" s="24" t="s">
        <v>584</v>
      </c>
      <c r="Y241" s="24">
        <v>4020</v>
      </c>
      <c r="Z241" s="24">
        <v>204255</v>
      </c>
      <c r="AA241" s="24">
        <v>572010</v>
      </c>
      <c r="AB241" s="24">
        <v>0</v>
      </c>
      <c r="AC241" s="24"/>
      <c r="AD241" s="24"/>
      <c r="AE241" s="24"/>
      <c r="AF241" s="24"/>
    </row>
    <row r="242" spans="1:32" ht="62.4" x14ac:dyDescent="0.3">
      <c r="A242" s="23">
        <v>41244</v>
      </c>
      <c r="B242" s="24" t="s">
        <v>571</v>
      </c>
      <c r="C242" s="24">
        <v>30264</v>
      </c>
      <c r="D242" s="24" t="s">
        <v>585</v>
      </c>
      <c r="E242" s="24" t="s">
        <v>586</v>
      </c>
      <c r="F242" s="24" t="s">
        <v>574</v>
      </c>
      <c r="G242" s="24">
        <v>2637348</v>
      </c>
      <c r="H242" s="25">
        <v>7328.75</v>
      </c>
      <c r="I242" s="26">
        <v>7328.75</v>
      </c>
      <c r="J242" s="24" t="s">
        <v>798</v>
      </c>
      <c r="K242" s="24" t="s">
        <v>724</v>
      </c>
      <c r="L242" s="24" t="s">
        <v>577</v>
      </c>
      <c r="M242" s="24" t="s">
        <v>589</v>
      </c>
      <c r="N242" s="24" t="s">
        <v>590</v>
      </c>
      <c r="O242" s="24">
        <v>269424</v>
      </c>
      <c r="P242" s="25"/>
      <c r="Q242" s="25"/>
      <c r="R242" s="24" t="s">
        <v>897</v>
      </c>
      <c r="S242" s="24" t="s">
        <v>581</v>
      </c>
      <c r="T242" s="27">
        <v>41254</v>
      </c>
      <c r="U242" s="25">
        <v>2637821</v>
      </c>
      <c r="V242" s="24" t="s">
        <v>582</v>
      </c>
      <c r="W242" s="24" t="s">
        <v>583</v>
      </c>
      <c r="X242" s="24" t="s">
        <v>584</v>
      </c>
      <c r="Y242" s="24">
        <v>4020</v>
      </c>
      <c r="Z242" s="24">
        <v>204255</v>
      </c>
      <c r="AA242" s="24">
        <v>572010</v>
      </c>
      <c r="AB242" s="24">
        <v>0</v>
      </c>
      <c r="AC242" s="24"/>
      <c r="AD242" s="24"/>
      <c r="AE242" s="24"/>
      <c r="AF242" s="24"/>
    </row>
    <row r="243" spans="1:32" ht="62.4" x14ac:dyDescent="0.3">
      <c r="A243" s="23">
        <v>41244</v>
      </c>
      <c r="B243" s="24" t="s">
        <v>571</v>
      </c>
      <c r="C243" s="24">
        <v>30264</v>
      </c>
      <c r="D243" s="24" t="s">
        <v>585</v>
      </c>
      <c r="E243" s="24" t="s">
        <v>586</v>
      </c>
      <c r="F243" s="24" t="s">
        <v>574</v>
      </c>
      <c r="G243" s="24">
        <v>2637348</v>
      </c>
      <c r="H243" s="25">
        <v>4958.88</v>
      </c>
      <c r="I243" s="26">
        <v>4958.88</v>
      </c>
      <c r="J243" s="24" t="s">
        <v>798</v>
      </c>
      <c r="K243" s="24" t="s">
        <v>724</v>
      </c>
      <c r="L243" s="24" t="s">
        <v>577</v>
      </c>
      <c r="M243" s="24" t="s">
        <v>589</v>
      </c>
      <c r="N243" s="24" t="s">
        <v>590</v>
      </c>
      <c r="O243" s="24">
        <v>269424</v>
      </c>
      <c r="P243" s="25"/>
      <c r="Q243" s="25"/>
      <c r="R243" s="24" t="s">
        <v>898</v>
      </c>
      <c r="S243" s="24" t="s">
        <v>581</v>
      </c>
      <c r="T243" s="27">
        <v>41254</v>
      </c>
      <c r="U243" s="25">
        <v>2637822</v>
      </c>
      <c r="V243" s="24" t="s">
        <v>582</v>
      </c>
      <c r="W243" s="24" t="s">
        <v>583</v>
      </c>
      <c r="X243" s="24" t="s">
        <v>584</v>
      </c>
      <c r="Y243" s="24">
        <v>4020</v>
      </c>
      <c r="Z243" s="24">
        <v>204255</v>
      </c>
      <c r="AA243" s="24">
        <v>572010</v>
      </c>
      <c r="AB243" s="24">
        <v>0</v>
      </c>
      <c r="AC243" s="24"/>
      <c r="AD243" s="24"/>
      <c r="AE243" s="24"/>
      <c r="AF243" s="24"/>
    </row>
    <row r="244" spans="1:32" ht="62.4" x14ac:dyDescent="0.3">
      <c r="A244" s="23">
        <v>41244</v>
      </c>
      <c r="B244" s="24" t="s">
        <v>571</v>
      </c>
      <c r="C244" s="24">
        <v>30264</v>
      </c>
      <c r="D244" s="24" t="s">
        <v>585</v>
      </c>
      <c r="E244" s="24" t="s">
        <v>586</v>
      </c>
      <c r="F244" s="24" t="s">
        <v>574</v>
      </c>
      <c r="G244" s="24">
        <v>2637348</v>
      </c>
      <c r="H244" s="25">
        <v>6240</v>
      </c>
      <c r="I244" s="26">
        <v>6240</v>
      </c>
      <c r="J244" s="24" t="s">
        <v>849</v>
      </c>
      <c r="K244" s="24" t="s">
        <v>588</v>
      </c>
      <c r="L244" s="24" t="s">
        <v>577</v>
      </c>
      <c r="M244" s="24" t="s">
        <v>589</v>
      </c>
      <c r="N244" s="24" t="s">
        <v>590</v>
      </c>
      <c r="O244" s="24">
        <v>270307</v>
      </c>
      <c r="P244" s="25"/>
      <c r="Q244" s="25"/>
      <c r="R244" s="24" t="s">
        <v>899</v>
      </c>
      <c r="S244" s="24" t="s">
        <v>581</v>
      </c>
      <c r="T244" s="27">
        <v>41254</v>
      </c>
      <c r="U244" s="25">
        <v>2637994</v>
      </c>
      <c r="V244" s="24" t="s">
        <v>582</v>
      </c>
      <c r="W244" s="24" t="s">
        <v>583</v>
      </c>
      <c r="X244" s="24" t="s">
        <v>584</v>
      </c>
      <c r="Y244" s="24">
        <v>4020</v>
      </c>
      <c r="Z244" s="24">
        <v>204255</v>
      </c>
      <c r="AA244" s="24">
        <v>572010</v>
      </c>
      <c r="AB244" s="24">
        <v>0</v>
      </c>
      <c r="AC244" s="24"/>
      <c r="AD244" s="24"/>
      <c r="AE244" s="24"/>
      <c r="AF244" s="24"/>
    </row>
    <row r="245" spans="1:32" ht="62.4" x14ac:dyDescent="0.3">
      <c r="A245" s="23">
        <v>41244</v>
      </c>
      <c r="B245" s="24" t="s">
        <v>571</v>
      </c>
      <c r="C245" s="24">
        <v>30264</v>
      </c>
      <c r="D245" s="24" t="s">
        <v>585</v>
      </c>
      <c r="E245" s="24" t="s">
        <v>875</v>
      </c>
      <c r="F245" s="24" t="s">
        <v>574</v>
      </c>
      <c r="G245" s="24">
        <v>2663124</v>
      </c>
      <c r="H245" s="25">
        <v>132</v>
      </c>
      <c r="I245" s="25">
        <v>132</v>
      </c>
      <c r="J245" s="24" t="s">
        <v>876</v>
      </c>
      <c r="K245" s="24" t="s">
        <v>877</v>
      </c>
      <c r="L245" s="24" t="s">
        <v>577</v>
      </c>
      <c r="M245" s="24" t="s">
        <v>878</v>
      </c>
      <c r="N245" s="24" t="s">
        <v>590</v>
      </c>
      <c r="O245" s="24">
        <v>272223</v>
      </c>
      <c r="P245" s="25"/>
      <c r="Q245" s="25"/>
      <c r="R245" s="24" t="s">
        <v>900</v>
      </c>
      <c r="S245" s="24" t="s">
        <v>581</v>
      </c>
      <c r="T245" s="27">
        <v>41262</v>
      </c>
      <c r="U245" s="25">
        <v>2661666</v>
      </c>
      <c r="V245" s="24" t="s">
        <v>582</v>
      </c>
      <c r="W245" s="24" t="s">
        <v>583</v>
      </c>
      <c r="X245" s="24" t="s">
        <v>584</v>
      </c>
      <c r="Y245" s="24">
        <v>4020</v>
      </c>
      <c r="Z245" s="24">
        <v>204255</v>
      </c>
      <c r="AA245" s="24">
        <v>670160</v>
      </c>
      <c r="AB245" s="24">
        <v>0</v>
      </c>
      <c r="AC245" s="24"/>
      <c r="AD245" s="24"/>
      <c r="AE245" s="24"/>
      <c r="AF245" s="24"/>
    </row>
    <row r="246" spans="1:32" ht="62.4" x14ac:dyDescent="0.3">
      <c r="A246" s="23">
        <v>41244</v>
      </c>
      <c r="B246" s="24" t="s">
        <v>571</v>
      </c>
      <c r="C246" s="24">
        <v>30264</v>
      </c>
      <c r="D246" s="24" t="s">
        <v>585</v>
      </c>
      <c r="E246" s="24" t="s">
        <v>875</v>
      </c>
      <c r="F246" s="24" t="s">
        <v>574</v>
      </c>
      <c r="G246" s="24">
        <v>2663124</v>
      </c>
      <c r="H246" s="25">
        <v>584.49</v>
      </c>
      <c r="I246" s="25">
        <v>584.49</v>
      </c>
      <c r="J246" s="24" t="s">
        <v>876</v>
      </c>
      <c r="K246" s="24" t="s">
        <v>877</v>
      </c>
      <c r="L246" s="24" t="s">
        <v>577</v>
      </c>
      <c r="M246" s="24" t="s">
        <v>878</v>
      </c>
      <c r="N246" s="24" t="s">
        <v>590</v>
      </c>
      <c r="O246" s="24">
        <v>272223</v>
      </c>
      <c r="P246" s="25"/>
      <c r="Q246" s="25"/>
      <c r="R246" s="24" t="s">
        <v>901</v>
      </c>
      <c r="S246" s="24" t="s">
        <v>581</v>
      </c>
      <c r="T246" s="27">
        <v>41262</v>
      </c>
      <c r="U246" s="25">
        <v>2661667</v>
      </c>
      <c r="V246" s="24" t="s">
        <v>582</v>
      </c>
      <c r="W246" s="24" t="s">
        <v>583</v>
      </c>
      <c r="X246" s="24" t="s">
        <v>584</v>
      </c>
      <c r="Y246" s="24">
        <v>4020</v>
      </c>
      <c r="Z246" s="24">
        <v>204255</v>
      </c>
      <c r="AA246" s="24">
        <v>670160</v>
      </c>
      <c r="AB246" s="24">
        <v>0</v>
      </c>
      <c r="AC246" s="24"/>
      <c r="AD246" s="24"/>
      <c r="AE246" s="24"/>
      <c r="AF246" s="24"/>
    </row>
    <row r="247" spans="1:32" ht="62.4" x14ac:dyDescent="0.3">
      <c r="A247" s="23">
        <v>41275</v>
      </c>
      <c r="B247" s="24" t="s">
        <v>571</v>
      </c>
      <c r="C247" s="24">
        <v>30264</v>
      </c>
      <c r="D247" s="24" t="s">
        <v>625</v>
      </c>
      <c r="E247" s="24" t="s">
        <v>586</v>
      </c>
      <c r="F247" s="24" t="s">
        <v>574</v>
      </c>
      <c r="G247" s="24">
        <v>2754117</v>
      </c>
      <c r="H247" s="25">
        <v>1134.55</v>
      </c>
      <c r="I247" s="26">
        <v>1134.55</v>
      </c>
      <c r="J247" s="24" t="s">
        <v>794</v>
      </c>
      <c r="K247" s="24" t="s">
        <v>627</v>
      </c>
      <c r="L247" s="24" t="s">
        <v>633</v>
      </c>
      <c r="M247" s="24" t="s">
        <v>589</v>
      </c>
      <c r="N247" s="24" t="s">
        <v>628</v>
      </c>
      <c r="O247" s="24">
        <v>269473</v>
      </c>
      <c r="P247" s="25"/>
      <c r="Q247" s="25"/>
      <c r="R247" s="24" t="s">
        <v>902</v>
      </c>
      <c r="S247" s="24" t="s">
        <v>581</v>
      </c>
      <c r="T247" s="27">
        <v>41292</v>
      </c>
      <c r="U247" s="25">
        <v>2719073</v>
      </c>
      <c r="V247" s="24" t="s">
        <v>582</v>
      </c>
      <c r="W247" s="24" t="s">
        <v>583</v>
      </c>
      <c r="X247" s="24" t="s">
        <v>584</v>
      </c>
      <c r="Y247" s="24">
        <v>4020</v>
      </c>
      <c r="Z247" s="24">
        <v>204255</v>
      </c>
      <c r="AA247" s="24">
        <v>572010</v>
      </c>
      <c r="AB247" s="24">
        <v>0</v>
      </c>
      <c r="AC247" s="24"/>
      <c r="AD247" s="24"/>
      <c r="AE247" s="24"/>
      <c r="AF247" s="24"/>
    </row>
    <row r="248" spans="1:32" ht="62.4" x14ac:dyDescent="0.3">
      <c r="A248" s="23">
        <v>41275</v>
      </c>
      <c r="B248" s="24" t="s">
        <v>571</v>
      </c>
      <c r="C248" s="24">
        <v>30264</v>
      </c>
      <c r="D248" s="24" t="s">
        <v>585</v>
      </c>
      <c r="E248" s="24" t="s">
        <v>586</v>
      </c>
      <c r="F248" s="24" t="s">
        <v>574</v>
      </c>
      <c r="G248" s="24">
        <v>2721586</v>
      </c>
      <c r="H248" s="25">
        <v>3120</v>
      </c>
      <c r="I248" s="26">
        <v>3120</v>
      </c>
      <c r="J248" s="24" t="s">
        <v>798</v>
      </c>
      <c r="K248" s="24" t="s">
        <v>724</v>
      </c>
      <c r="L248" s="24" t="s">
        <v>577</v>
      </c>
      <c r="M248" s="24" t="s">
        <v>589</v>
      </c>
      <c r="N248" s="24" t="s">
        <v>590</v>
      </c>
      <c r="O248" s="24">
        <v>269424</v>
      </c>
      <c r="P248" s="25"/>
      <c r="Q248" s="25"/>
      <c r="R248" s="24" t="s">
        <v>903</v>
      </c>
      <c r="S248" s="24" t="s">
        <v>581</v>
      </c>
      <c r="T248" s="27">
        <v>41282</v>
      </c>
      <c r="U248" s="25">
        <v>2701050</v>
      </c>
      <c r="V248" s="24" t="s">
        <v>582</v>
      </c>
      <c r="W248" s="24" t="s">
        <v>583</v>
      </c>
      <c r="X248" s="24" t="s">
        <v>584</v>
      </c>
      <c r="Y248" s="24">
        <v>4020</v>
      </c>
      <c r="Z248" s="24">
        <v>204255</v>
      </c>
      <c r="AA248" s="24">
        <v>572010</v>
      </c>
      <c r="AB248" s="24">
        <v>0</v>
      </c>
      <c r="AC248" s="24"/>
      <c r="AD248" s="24"/>
      <c r="AE248" s="24"/>
      <c r="AF248" s="24"/>
    </row>
    <row r="249" spans="1:32" ht="62.4" x14ac:dyDescent="0.3">
      <c r="A249" s="23">
        <v>41275</v>
      </c>
      <c r="B249" s="24" t="s">
        <v>571</v>
      </c>
      <c r="C249" s="24">
        <v>30264</v>
      </c>
      <c r="D249" s="24" t="s">
        <v>585</v>
      </c>
      <c r="E249" s="24" t="s">
        <v>586</v>
      </c>
      <c r="F249" s="24" t="s">
        <v>574</v>
      </c>
      <c r="G249" s="24">
        <v>2721586</v>
      </c>
      <c r="H249" s="25">
        <v>5556.09</v>
      </c>
      <c r="I249" s="26">
        <v>5556.09</v>
      </c>
      <c r="J249" s="24" t="s">
        <v>798</v>
      </c>
      <c r="K249" s="24" t="s">
        <v>724</v>
      </c>
      <c r="L249" s="24" t="s">
        <v>577</v>
      </c>
      <c r="M249" s="24" t="s">
        <v>589</v>
      </c>
      <c r="N249" s="24" t="s">
        <v>590</v>
      </c>
      <c r="O249" s="24">
        <v>269424</v>
      </c>
      <c r="P249" s="25"/>
      <c r="Q249" s="25"/>
      <c r="R249" s="24" t="s">
        <v>904</v>
      </c>
      <c r="S249" s="24" t="s">
        <v>581</v>
      </c>
      <c r="T249" s="27">
        <v>41282</v>
      </c>
      <c r="U249" s="25">
        <v>2701051</v>
      </c>
      <c r="V249" s="24" t="s">
        <v>582</v>
      </c>
      <c r="W249" s="24" t="s">
        <v>583</v>
      </c>
      <c r="X249" s="24" t="s">
        <v>584</v>
      </c>
      <c r="Y249" s="24">
        <v>4020</v>
      </c>
      <c r="Z249" s="24">
        <v>204255</v>
      </c>
      <c r="AA249" s="24">
        <v>572010</v>
      </c>
      <c r="AB249" s="24">
        <v>0</v>
      </c>
      <c r="AC249" s="24"/>
      <c r="AD249" s="24"/>
      <c r="AE249" s="24"/>
      <c r="AF249" s="24"/>
    </row>
    <row r="250" spans="1:32" ht="62.4" x14ac:dyDescent="0.3">
      <c r="A250" s="23">
        <v>41275</v>
      </c>
      <c r="B250" s="24" t="s">
        <v>571</v>
      </c>
      <c r="C250" s="24">
        <v>30264</v>
      </c>
      <c r="D250" s="24" t="s">
        <v>585</v>
      </c>
      <c r="E250" s="24" t="s">
        <v>803</v>
      </c>
      <c r="F250" s="24" t="s">
        <v>574</v>
      </c>
      <c r="G250" s="24">
        <v>2754117</v>
      </c>
      <c r="H250" s="25">
        <v>10450</v>
      </c>
      <c r="I250" s="26">
        <v>10450</v>
      </c>
      <c r="J250" s="24" t="s">
        <v>804</v>
      </c>
      <c r="K250" s="24" t="s">
        <v>655</v>
      </c>
      <c r="L250" s="24" t="s">
        <v>633</v>
      </c>
      <c r="M250" s="24" t="s">
        <v>504</v>
      </c>
      <c r="N250" s="24" t="s">
        <v>590</v>
      </c>
      <c r="O250" s="24">
        <v>258542</v>
      </c>
      <c r="P250" s="25"/>
      <c r="Q250" s="25"/>
      <c r="R250" s="24" t="s">
        <v>905</v>
      </c>
      <c r="S250" s="24" t="s">
        <v>581</v>
      </c>
      <c r="T250" s="27">
        <v>41292</v>
      </c>
      <c r="U250" s="25">
        <v>2719054</v>
      </c>
      <c r="V250" s="24" t="s">
        <v>582</v>
      </c>
      <c r="W250" s="24" t="s">
        <v>583</v>
      </c>
      <c r="X250" s="24" t="s">
        <v>584</v>
      </c>
      <c r="Y250" s="24">
        <v>4020</v>
      </c>
      <c r="Z250" s="24">
        <v>204216</v>
      </c>
      <c r="AA250" s="24">
        <v>586640</v>
      </c>
      <c r="AB250" s="24">
        <v>0</v>
      </c>
      <c r="AC250" s="24"/>
      <c r="AD250" s="24"/>
      <c r="AE250" s="24"/>
      <c r="AF250" s="24"/>
    </row>
    <row r="251" spans="1:32" ht="62.4" x14ac:dyDescent="0.3">
      <c r="A251" s="23">
        <v>41306</v>
      </c>
      <c r="B251" s="24" t="s">
        <v>571</v>
      </c>
      <c r="C251" s="24">
        <v>30264</v>
      </c>
      <c r="D251" s="24" t="s">
        <v>572</v>
      </c>
      <c r="E251" s="24" t="s">
        <v>573</v>
      </c>
      <c r="F251" s="24" t="s">
        <v>574</v>
      </c>
      <c r="G251" s="24">
        <v>2862154</v>
      </c>
      <c r="H251" s="25">
        <v>5824</v>
      </c>
      <c r="I251" s="26">
        <v>5824</v>
      </c>
      <c r="J251" s="24" t="s">
        <v>831</v>
      </c>
      <c r="K251" s="24" t="s">
        <v>576</v>
      </c>
      <c r="L251" s="24" t="s">
        <v>633</v>
      </c>
      <c r="M251" s="24" t="s">
        <v>578</v>
      </c>
      <c r="N251" s="24" t="s">
        <v>579</v>
      </c>
      <c r="O251" s="24">
        <v>269422</v>
      </c>
      <c r="P251" s="25"/>
      <c r="Q251" s="25"/>
      <c r="R251" s="24" t="s">
        <v>906</v>
      </c>
      <c r="S251" s="24" t="s">
        <v>581</v>
      </c>
      <c r="T251" s="27">
        <v>41325</v>
      </c>
      <c r="U251" s="25">
        <v>2817589</v>
      </c>
      <c r="V251" s="24" t="s">
        <v>582</v>
      </c>
      <c r="W251" s="24" t="s">
        <v>583</v>
      </c>
      <c r="X251" s="24" t="s">
        <v>584</v>
      </c>
      <c r="Y251" s="24">
        <v>4020</v>
      </c>
      <c r="Z251" s="24">
        <v>204255</v>
      </c>
      <c r="AA251" s="24">
        <v>630120</v>
      </c>
      <c r="AB251" s="24">
        <v>0</v>
      </c>
      <c r="AC251" s="24"/>
      <c r="AD251" s="24"/>
      <c r="AE251" s="24"/>
      <c r="AF251" s="24"/>
    </row>
    <row r="252" spans="1:32" ht="62.4" x14ac:dyDescent="0.3">
      <c r="A252" s="23">
        <v>41306</v>
      </c>
      <c r="B252" s="24" t="s">
        <v>571</v>
      </c>
      <c r="C252" s="24">
        <v>30264</v>
      </c>
      <c r="D252" s="24" t="s">
        <v>625</v>
      </c>
      <c r="E252" s="24" t="s">
        <v>586</v>
      </c>
      <c r="F252" s="24" t="s">
        <v>574</v>
      </c>
      <c r="G252" s="24">
        <v>2832680</v>
      </c>
      <c r="H252" s="25">
        <v>3085.5</v>
      </c>
      <c r="I252" s="26">
        <v>3085.5</v>
      </c>
      <c r="J252" s="24" t="s">
        <v>794</v>
      </c>
      <c r="K252" s="24" t="s">
        <v>627</v>
      </c>
      <c r="L252" s="24" t="s">
        <v>577</v>
      </c>
      <c r="M252" s="24" t="s">
        <v>589</v>
      </c>
      <c r="N252" s="24" t="s">
        <v>628</v>
      </c>
      <c r="O252" s="24">
        <v>269473</v>
      </c>
      <c r="P252" s="25"/>
      <c r="Q252" s="25"/>
      <c r="R252" s="24" t="s">
        <v>907</v>
      </c>
      <c r="S252" s="24" t="s">
        <v>581</v>
      </c>
      <c r="T252" s="27">
        <v>41317</v>
      </c>
      <c r="U252" s="25">
        <v>2793739</v>
      </c>
      <c r="V252" s="24" t="s">
        <v>582</v>
      </c>
      <c r="W252" s="24" t="s">
        <v>583</v>
      </c>
      <c r="X252" s="24" t="s">
        <v>584</v>
      </c>
      <c r="Y252" s="24">
        <v>4020</v>
      </c>
      <c r="Z252" s="24">
        <v>204255</v>
      </c>
      <c r="AA252" s="24">
        <v>572010</v>
      </c>
      <c r="AB252" s="24">
        <v>0</v>
      </c>
      <c r="AC252" s="24"/>
      <c r="AD252" s="24"/>
      <c r="AE252" s="24"/>
      <c r="AF252" s="24"/>
    </row>
    <row r="253" spans="1:32" ht="62.4" x14ac:dyDescent="0.3">
      <c r="A253" s="23">
        <v>41306</v>
      </c>
      <c r="B253" s="24" t="s">
        <v>571</v>
      </c>
      <c r="C253" s="24">
        <v>30264</v>
      </c>
      <c r="D253" s="24" t="s">
        <v>585</v>
      </c>
      <c r="E253" s="24" t="s">
        <v>586</v>
      </c>
      <c r="F253" s="24" t="s">
        <v>574</v>
      </c>
      <c r="G253" s="24">
        <v>2832680</v>
      </c>
      <c r="H253" s="25">
        <v>2775</v>
      </c>
      <c r="I253" s="26">
        <v>2775</v>
      </c>
      <c r="J253" s="24" t="s">
        <v>798</v>
      </c>
      <c r="K253" s="24" t="s">
        <v>724</v>
      </c>
      <c r="L253" s="24" t="s">
        <v>577</v>
      </c>
      <c r="M253" s="24" t="s">
        <v>589</v>
      </c>
      <c r="N253" s="24" t="s">
        <v>590</v>
      </c>
      <c r="O253" s="24">
        <v>269424</v>
      </c>
      <c r="P253" s="25"/>
      <c r="Q253" s="25"/>
      <c r="R253" s="24" t="s">
        <v>908</v>
      </c>
      <c r="S253" s="24" t="s">
        <v>581</v>
      </c>
      <c r="T253" s="27">
        <v>41317</v>
      </c>
      <c r="U253" s="25">
        <v>2793729</v>
      </c>
      <c r="V253" s="24" t="s">
        <v>582</v>
      </c>
      <c r="W253" s="24" t="s">
        <v>583</v>
      </c>
      <c r="X253" s="24" t="s">
        <v>584</v>
      </c>
      <c r="Y253" s="24">
        <v>4020</v>
      </c>
      <c r="Z253" s="24">
        <v>204255</v>
      </c>
      <c r="AA253" s="24">
        <v>572010</v>
      </c>
      <c r="AB253" s="24">
        <v>0</v>
      </c>
      <c r="AC253" s="24"/>
      <c r="AD253" s="24"/>
      <c r="AE253" s="24"/>
      <c r="AF253" s="24"/>
    </row>
    <row r="254" spans="1:32" ht="62.4" x14ac:dyDescent="0.3">
      <c r="A254" s="23">
        <v>41306</v>
      </c>
      <c r="B254" s="24" t="s">
        <v>571</v>
      </c>
      <c r="C254" s="24">
        <v>30264</v>
      </c>
      <c r="D254" s="24" t="s">
        <v>585</v>
      </c>
      <c r="E254" s="24" t="s">
        <v>586</v>
      </c>
      <c r="F254" s="24" t="s">
        <v>574</v>
      </c>
      <c r="G254" s="24">
        <v>2832680</v>
      </c>
      <c r="H254" s="25">
        <v>1804.5</v>
      </c>
      <c r="I254" s="26">
        <v>1804.5</v>
      </c>
      <c r="J254" s="24" t="s">
        <v>798</v>
      </c>
      <c r="K254" s="24" t="s">
        <v>724</v>
      </c>
      <c r="L254" s="24" t="s">
        <v>577</v>
      </c>
      <c r="M254" s="24" t="s">
        <v>589</v>
      </c>
      <c r="N254" s="24" t="s">
        <v>590</v>
      </c>
      <c r="O254" s="24">
        <v>269424</v>
      </c>
      <c r="P254" s="25"/>
      <c r="Q254" s="25"/>
      <c r="R254" s="24" t="s">
        <v>909</v>
      </c>
      <c r="S254" s="24" t="s">
        <v>581</v>
      </c>
      <c r="T254" s="27">
        <v>41317</v>
      </c>
      <c r="U254" s="25">
        <v>2793730</v>
      </c>
      <c r="V254" s="24" t="s">
        <v>582</v>
      </c>
      <c r="W254" s="24" t="s">
        <v>583</v>
      </c>
      <c r="X254" s="24" t="s">
        <v>584</v>
      </c>
      <c r="Y254" s="24">
        <v>4020</v>
      </c>
      <c r="Z254" s="24">
        <v>204255</v>
      </c>
      <c r="AA254" s="24">
        <v>572010</v>
      </c>
      <c r="AB254" s="24">
        <v>0</v>
      </c>
      <c r="AC254" s="24"/>
      <c r="AD254" s="24"/>
      <c r="AE254" s="24"/>
      <c r="AF254" s="24"/>
    </row>
    <row r="255" spans="1:32" ht="62.4" x14ac:dyDescent="0.3">
      <c r="A255" s="23">
        <v>41306</v>
      </c>
      <c r="B255" s="24" t="s">
        <v>571</v>
      </c>
      <c r="C255" s="24">
        <v>30264</v>
      </c>
      <c r="D255" s="24" t="s">
        <v>585</v>
      </c>
      <c r="E255" s="24" t="s">
        <v>586</v>
      </c>
      <c r="F255" s="24" t="s">
        <v>574</v>
      </c>
      <c r="G255" s="24">
        <v>2832680</v>
      </c>
      <c r="H255" s="25">
        <v>1800</v>
      </c>
      <c r="I255" s="26">
        <v>1800</v>
      </c>
      <c r="J255" s="24" t="s">
        <v>798</v>
      </c>
      <c r="K255" s="24" t="s">
        <v>724</v>
      </c>
      <c r="L255" s="24" t="s">
        <v>577</v>
      </c>
      <c r="M255" s="24" t="s">
        <v>589</v>
      </c>
      <c r="N255" s="24" t="s">
        <v>590</v>
      </c>
      <c r="O255" s="24">
        <v>269424</v>
      </c>
      <c r="P255" s="25"/>
      <c r="Q255" s="25"/>
      <c r="R255" s="24" t="s">
        <v>910</v>
      </c>
      <c r="S255" s="24" t="s">
        <v>581</v>
      </c>
      <c r="T255" s="27">
        <v>41317</v>
      </c>
      <c r="U255" s="25">
        <v>2793731</v>
      </c>
      <c r="V255" s="24" t="s">
        <v>582</v>
      </c>
      <c r="W255" s="24" t="s">
        <v>583</v>
      </c>
      <c r="X255" s="24" t="s">
        <v>584</v>
      </c>
      <c r="Y255" s="24">
        <v>4020</v>
      </c>
      <c r="Z255" s="24">
        <v>204255</v>
      </c>
      <c r="AA255" s="24">
        <v>572010</v>
      </c>
      <c r="AB255" s="24">
        <v>0</v>
      </c>
      <c r="AC255" s="24"/>
      <c r="AD255" s="24"/>
      <c r="AE255" s="24"/>
      <c r="AF255" s="24"/>
    </row>
    <row r="256" spans="1:32" ht="62.4" x14ac:dyDescent="0.3">
      <c r="A256" s="23">
        <v>41306</v>
      </c>
      <c r="B256" s="24" t="s">
        <v>571</v>
      </c>
      <c r="C256" s="24">
        <v>30264</v>
      </c>
      <c r="D256" s="24" t="s">
        <v>585</v>
      </c>
      <c r="E256" s="24" t="s">
        <v>586</v>
      </c>
      <c r="F256" s="24" t="s">
        <v>574</v>
      </c>
      <c r="G256" s="24">
        <v>2832680</v>
      </c>
      <c r="H256" s="25">
        <v>4076.88</v>
      </c>
      <c r="I256" s="26">
        <v>4076.88</v>
      </c>
      <c r="J256" s="24" t="s">
        <v>798</v>
      </c>
      <c r="K256" s="24" t="s">
        <v>724</v>
      </c>
      <c r="L256" s="24" t="s">
        <v>577</v>
      </c>
      <c r="M256" s="24" t="s">
        <v>589</v>
      </c>
      <c r="N256" s="24" t="s">
        <v>590</v>
      </c>
      <c r="O256" s="24">
        <v>269424</v>
      </c>
      <c r="P256" s="25"/>
      <c r="Q256" s="25"/>
      <c r="R256" s="24" t="s">
        <v>911</v>
      </c>
      <c r="S256" s="24" t="s">
        <v>581</v>
      </c>
      <c r="T256" s="27">
        <v>41317</v>
      </c>
      <c r="U256" s="25">
        <v>2793732</v>
      </c>
      <c r="V256" s="24" t="s">
        <v>582</v>
      </c>
      <c r="W256" s="24" t="s">
        <v>583</v>
      </c>
      <c r="X256" s="24" t="s">
        <v>584</v>
      </c>
      <c r="Y256" s="24">
        <v>4020</v>
      </c>
      <c r="Z256" s="24">
        <v>204255</v>
      </c>
      <c r="AA256" s="24">
        <v>572010</v>
      </c>
      <c r="AB256" s="24">
        <v>0</v>
      </c>
      <c r="AC256" s="24"/>
      <c r="AD256" s="24"/>
      <c r="AE256" s="24"/>
      <c r="AF256" s="24"/>
    </row>
    <row r="257" spans="1:32" ht="62.4" x14ac:dyDescent="0.3">
      <c r="A257" s="23">
        <v>41306</v>
      </c>
      <c r="B257" s="24" t="s">
        <v>571</v>
      </c>
      <c r="C257" s="24">
        <v>30264</v>
      </c>
      <c r="D257" s="24" t="s">
        <v>585</v>
      </c>
      <c r="E257" s="24" t="s">
        <v>586</v>
      </c>
      <c r="F257" s="24" t="s">
        <v>574</v>
      </c>
      <c r="G257" s="24">
        <v>2832680</v>
      </c>
      <c r="H257" s="25">
        <v>3200</v>
      </c>
      <c r="I257" s="26">
        <v>3200</v>
      </c>
      <c r="J257" s="24" t="s">
        <v>849</v>
      </c>
      <c r="K257" s="24" t="s">
        <v>588</v>
      </c>
      <c r="L257" s="24" t="s">
        <v>577</v>
      </c>
      <c r="M257" s="24" t="s">
        <v>589</v>
      </c>
      <c r="N257" s="24" t="s">
        <v>590</v>
      </c>
      <c r="O257" s="24">
        <v>270307</v>
      </c>
      <c r="P257" s="25"/>
      <c r="Q257" s="25"/>
      <c r="R257" s="24" t="s">
        <v>912</v>
      </c>
      <c r="S257" s="24" t="s">
        <v>581</v>
      </c>
      <c r="T257" s="27">
        <v>41317</v>
      </c>
      <c r="U257" s="25">
        <v>2793747</v>
      </c>
      <c r="V257" s="24" t="s">
        <v>582</v>
      </c>
      <c r="W257" s="24" t="s">
        <v>583</v>
      </c>
      <c r="X257" s="24" t="s">
        <v>584</v>
      </c>
      <c r="Y257" s="24">
        <v>4020</v>
      </c>
      <c r="Z257" s="24">
        <v>204255</v>
      </c>
      <c r="AA257" s="24">
        <v>572010</v>
      </c>
      <c r="AB257" s="24">
        <v>0</v>
      </c>
      <c r="AC257" s="24"/>
      <c r="AD257" s="24"/>
      <c r="AE257" s="24"/>
      <c r="AF257" s="24"/>
    </row>
    <row r="258" spans="1:32" ht="62.4" x14ac:dyDescent="0.3">
      <c r="A258" s="23">
        <v>41306</v>
      </c>
      <c r="B258" s="24" t="s">
        <v>571</v>
      </c>
      <c r="C258" s="24">
        <v>30264</v>
      </c>
      <c r="D258" s="24" t="s">
        <v>585</v>
      </c>
      <c r="E258" s="24" t="s">
        <v>586</v>
      </c>
      <c r="F258" s="24" t="s">
        <v>574</v>
      </c>
      <c r="G258" s="24">
        <v>2853064</v>
      </c>
      <c r="H258" s="25">
        <v>11495.37</v>
      </c>
      <c r="I258" s="26">
        <v>11495.37</v>
      </c>
      <c r="J258" s="24" t="s">
        <v>798</v>
      </c>
      <c r="K258" s="24" t="s">
        <v>724</v>
      </c>
      <c r="L258" s="24" t="s">
        <v>577</v>
      </c>
      <c r="M258" s="24" t="s">
        <v>589</v>
      </c>
      <c r="N258" s="24" t="s">
        <v>590</v>
      </c>
      <c r="O258" s="24">
        <v>269424</v>
      </c>
      <c r="P258" s="25"/>
      <c r="Q258" s="25"/>
      <c r="R258" s="24" t="s">
        <v>913</v>
      </c>
      <c r="S258" s="24" t="s">
        <v>581</v>
      </c>
      <c r="T258" s="27">
        <v>41323</v>
      </c>
      <c r="U258" s="25">
        <v>2808482</v>
      </c>
      <c r="V258" s="24" t="s">
        <v>582</v>
      </c>
      <c r="W258" s="24" t="s">
        <v>583</v>
      </c>
      <c r="X258" s="24" t="s">
        <v>584</v>
      </c>
      <c r="Y258" s="24">
        <v>4020</v>
      </c>
      <c r="Z258" s="24">
        <v>204255</v>
      </c>
      <c r="AA258" s="24">
        <v>572010</v>
      </c>
      <c r="AB258" s="24">
        <v>0</v>
      </c>
      <c r="AC258" s="24"/>
      <c r="AD258" s="24"/>
      <c r="AE258" s="24"/>
      <c r="AF258" s="24"/>
    </row>
    <row r="259" spans="1:32" ht="62.4" x14ac:dyDescent="0.3">
      <c r="A259" s="23">
        <v>41306</v>
      </c>
      <c r="B259" s="24" t="s">
        <v>571</v>
      </c>
      <c r="C259" s="24">
        <v>30264</v>
      </c>
      <c r="D259" s="24" t="s">
        <v>585</v>
      </c>
      <c r="E259" s="24" t="s">
        <v>586</v>
      </c>
      <c r="F259" s="24" t="s">
        <v>574</v>
      </c>
      <c r="G259" s="24">
        <v>2884553</v>
      </c>
      <c r="H259" s="25">
        <v>3149.38</v>
      </c>
      <c r="I259" s="26">
        <v>3149.38</v>
      </c>
      <c r="J259" s="24" t="s">
        <v>798</v>
      </c>
      <c r="K259" s="24" t="s">
        <v>724</v>
      </c>
      <c r="L259" s="24" t="s">
        <v>577</v>
      </c>
      <c r="M259" s="24" t="s">
        <v>589</v>
      </c>
      <c r="N259" s="24" t="s">
        <v>590</v>
      </c>
      <c r="O259" s="24">
        <v>269424</v>
      </c>
      <c r="P259" s="25"/>
      <c r="Q259" s="25"/>
      <c r="R259" s="24" t="s">
        <v>914</v>
      </c>
      <c r="S259" s="24" t="s">
        <v>581</v>
      </c>
      <c r="T259" s="27">
        <v>41333</v>
      </c>
      <c r="U259" s="25">
        <v>2842224</v>
      </c>
      <c r="V259" s="24" t="s">
        <v>582</v>
      </c>
      <c r="W259" s="24" t="s">
        <v>583</v>
      </c>
      <c r="X259" s="24" t="s">
        <v>584</v>
      </c>
      <c r="Y259" s="24">
        <v>4020</v>
      </c>
      <c r="Z259" s="24">
        <v>204255</v>
      </c>
      <c r="AA259" s="24">
        <v>572010</v>
      </c>
      <c r="AB259" s="24">
        <v>0</v>
      </c>
      <c r="AC259" s="24"/>
      <c r="AD259" s="24"/>
      <c r="AE259" s="24"/>
      <c r="AF259" s="24"/>
    </row>
    <row r="260" spans="1:32" ht="62.4" x14ac:dyDescent="0.3">
      <c r="A260" s="23">
        <v>41306</v>
      </c>
      <c r="B260" s="24" t="s">
        <v>571</v>
      </c>
      <c r="C260" s="24">
        <v>30264</v>
      </c>
      <c r="D260" s="24" t="s">
        <v>585</v>
      </c>
      <c r="E260" s="24" t="s">
        <v>915</v>
      </c>
      <c r="F260" s="24" t="s">
        <v>574</v>
      </c>
      <c r="G260" s="24">
        <v>2862154</v>
      </c>
      <c r="H260" s="25">
        <v>2529</v>
      </c>
      <c r="I260" s="26">
        <v>2529</v>
      </c>
      <c r="J260" s="24" t="s">
        <v>916</v>
      </c>
      <c r="K260" s="24" t="s">
        <v>917</v>
      </c>
      <c r="L260" s="24" t="s">
        <v>633</v>
      </c>
      <c r="M260" s="24" t="s">
        <v>504</v>
      </c>
      <c r="N260" s="24" t="s">
        <v>590</v>
      </c>
      <c r="O260" s="24">
        <v>279847</v>
      </c>
      <c r="P260" s="25"/>
      <c r="Q260" s="25"/>
      <c r="R260" s="24" t="s">
        <v>918</v>
      </c>
      <c r="S260" s="24" t="s">
        <v>581</v>
      </c>
      <c r="T260" s="27">
        <v>41325</v>
      </c>
      <c r="U260" s="25">
        <v>2817947</v>
      </c>
      <c r="V260" s="24" t="s">
        <v>582</v>
      </c>
      <c r="W260" s="24" t="s">
        <v>583</v>
      </c>
      <c r="X260" s="24" t="s">
        <v>584</v>
      </c>
      <c r="Y260" s="24">
        <v>4091</v>
      </c>
      <c r="Z260" s="24">
        <v>204411</v>
      </c>
      <c r="AA260" s="24">
        <v>586680</v>
      </c>
      <c r="AB260" s="24">
        <v>0</v>
      </c>
      <c r="AC260" s="24"/>
      <c r="AD260" s="24"/>
      <c r="AE260" s="24"/>
      <c r="AF260" s="24"/>
    </row>
    <row r="261" spans="1:32" ht="62.4" x14ac:dyDescent="0.3">
      <c r="A261" s="23">
        <v>41306</v>
      </c>
      <c r="B261" s="24" t="s">
        <v>571</v>
      </c>
      <c r="C261" s="24">
        <v>30264</v>
      </c>
      <c r="D261" s="24" t="s">
        <v>585</v>
      </c>
      <c r="E261" s="24" t="s">
        <v>915</v>
      </c>
      <c r="F261" s="24" t="s">
        <v>574</v>
      </c>
      <c r="G261" s="24">
        <v>2862154</v>
      </c>
      <c r="H261" s="25">
        <v>1742</v>
      </c>
      <c r="I261" s="26">
        <v>1742</v>
      </c>
      <c r="J261" s="24" t="s">
        <v>916</v>
      </c>
      <c r="K261" s="24" t="s">
        <v>917</v>
      </c>
      <c r="L261" s="24" t="s">
        <v>633</v>
      </c>
      <c r="M261" s="24" t="s">
        <v>504</v>
      </c>
      <c r="N261" s="24" t="s">
        <v>590</v>
      </c>
      <c r="O261" s="24">
        <v>279847</v>
      </c>
      <c r="P261" s="25"/>
      <c r="Q261" s="25"/>
      <c r="R261" s="24" t="s">
        <v>919</v>
      </c>
      <c r="S261" s="24" t="s">
        <v>581</v>
      </c>
      <c r="T261" s="27">
        <v>41325</v>
      </c>
      <c r="U261" s="25">
        <v>2817948</v>
      </c>
      <c r="V261" s="24" t="s">
        <v>582</v>
      </c>
      <c r="W261" s="24" t="s">
        <v>583</v>
      </c>
      <c r="X261" s="24" t="s">
        <v>584</v>
      </c>
      <c r="Y261" s="24">
        <v>4091</v>
      </c>
      <c r="Z261" s="24">
        <v>204411</v>
      </c>
      <c r="AA261" s="24">
        <v>586680</v>
      </c>
      <c r="AB261" s="24">
        <v>0</v>
      </c>
      <c r="AC261" s="24"/>
      <c r="AD261" s="24"/>
      <c r="AE261" s="24"/>
      <c r="AF261" s="24"/>
    </row>
    <row r="262" spans="1:32" ht="62.4" x14ac:dyDescent="0.3">
      <c r="A262" s="23">
        <v>41306</v>
      </c>
      <c r="B262" s="24" t="s">
        <v>571</v>
      </c>
      <c r="C262" s="24">
        <v>30264</v>
      </c>
      <c r="D262" s="24" t="s">
        <v>585</v>
      </c>
      <c r="E262" s="24" t="s">
        <v>875</v>
      </c>
      <c r="F262" s="24" t="s">
        <v>574</v>
      </c>
      <c r="G262" s="24">
        <v>2832680</v>
      </c>
      <c r="H262" s="25">
        <v>584.49</v>
      </c>
      <c r="I262" s="25">
        <v>584.49</v>
      </c>
      <c r="J262" s="24" t="s">
        <v>876</v>
      </c>
      <c r="K262" s="24" t="s">
        <v>877</v>
      </c>
      <c r="L262" s="24" t="s">
        <v>577</v>
      </c>
      <c r="M262" s="24" t="s">
        <v>878</v>
      </c>
      <c r="N262" s="24" t="s">
        <v>590</v>
      </c>
      <c r="O262" s="24">
        <v>272223</v>
      </c>
      <c r="P262" s="25"/>
      <c r="Q262" s="25"/>
      <c r="R262" s="24" t="s">
        <v>920</v>
      </c>
      <c r="S262" s="24" t="s">
        <v>581</v>
      </c>
      <c r="T262" s="27">
        <v>41317</v>
      </c>
      <c r="U262" s="25">
        <v>2793756</v>
      </c>
      <c r="V262" s="24" t="s">
        <v>582</v>
      </c>
      <c r="W262" s="24" t="s">
        <v>583</v>
      </c>
      <c r="X262" s="24" t="s">
        <v>584</v>
      </c>
      <c r="Y262" s="24">
        <v>4020</v>
      </c>
      <c r="Z262" s="24">
        <v>204255</v>
      </c>
      <c r="AA262" s="24">
        <v>670160</v>
      </c>
      <c r="AB262" s="24">
        <v>0</v>
      </c>
      <c r="AC262" s="24"/>
      <c r="AD262" s="24"/>
      <c r="AE262" s="24"/>
      <c r="AF262" s="24"/>
    </row>
    <row r="263" spans="1:32" ht="62.4" x14ac:dyDescent="0.3">
      <c r="A263" s="23">
        <v>41306</v>
      </c>
      <c r="B263" s="24" t="s">
        <v>571</v>
      </c>
      <c r="C263" s="24">
        <v>30264</v>
      </c>
      <c r="D263" s="24" t="s">
        <v>585</v>
      </c>
      <c r="E263" s="24" t="s">
        <v>875</v>
      </c>
      <c r="F263" s="24" t="s">
        <v>574</v>
      </c>
      <c r="G263" s="24">
        <v>2853064</v>
      </c>
      <c r="H263" s="25">
        <v>584.49</v>
      </c>
      <c r="I263" s="25">
        <v>584.49</v>
      </c>
      <c r="J263" s="24" t="s">
        <v>876</v>
      </c>
      <c r="K263" s="24" t="s">
        <v>877</v>
      </c>
      <c r="L263" s="24" t="s">
        <v>577</v>
      </c>
      <c r="M263" s="24" t="s">
        <v>878</v>
      </c>
      <c r="N263" s="24" t="s">
        <v>590</v>
      </c>
      <c r="O263" s="24">
        <v>272223</v>
      </c>
      <c r="P263" s="25"/>
      <c r="Q263" s="25"/>
      <c r="R263" s="24" t="s">
        <v>921</v>
      </c>
      <c r="S263" s="24" t="s">
        <v>581</v>
      </c>
      <c r="T263" s="27">
        <v>41323</v>
      </c>
      <c r="U263" s="25">
        <v>2808502</v>
      </c>
      <c r="V263" s="24" t="s">
        <v>582</v>
      </c>
      <c r="W263" s="24" t="s">
        <v>583</v>
      </c>
      <c r="X263" s="24" t="s">
        <v>584</v>
      </c>
      <c r="Y263" s="24">
        <v>4020</v>
      </c>
      <c r="Z263" s="24">
        <v>204255</v>
      </c>
      <c r="AA263" s="24">
        <v>670160</v>
      </c>
      <c r="AB263" s="24">
        <v>0</v>
      </c>
      <c r="AC263" s="24"/>
      <c r="AD263" s="24"/>
      <c r="AE263" s="24"/>
      <c r="AF263" s="24"/>
    </row>
    <row r="264" spans="1:32" ht="62.4" x14ac:dyDescent="0.3">
      <c r="A264" s="23">
        <v>41306</v>
      </c>
      <c r="B264" s="24" t="s">
        <v>571</v>
      </c>
      <c r="C264" s="24">
        <v>30264</v>
      </c>
      <c r="D264" s="24" t="s">
        <v>585</v>
      </c>
      <c r="E264" s="24" t="s">
        <v>875</v>
      </c>
      <c r="F264" s="24" t="s">
        <v>574</v>
      </c>
      <c r="G264" s="24">
        <v>2853064</v>
      </c>
      <c r="H264" s="25">
        <v>297</v>
      </c>
      <c r="I264" s="25">
        <v>297</v>
      </c>
      <c r="J264" s="24" t="s">
        <v>876</v>
      </c>
      <c r="K264" s="24" t="s">
        <v>877</v>
      </c>
      <c r="L264" s="24" t="s">
        <v>577</v>
      </c>
      <c r="M264" s="24" t="s">
        <v>878</v>
      </c>
      <c r="N264" s="24" t="s">
        <v>590</v>
      </c>
      <c r="O264" s="24">
        <v>272223</v>
      </c>
      <c r="P264" s="25"/>
      <c r="Q264" s="25"/>
      <c r="R264" s="24" t="s">
        <v>922</v>
      </c>
      <c r="S264" s="24" t="s">
        <v>581</v>
      </c>
      <c r="T264" s="27">
        <v>41323</v>
      </c>
      <c r="U264" s="25">
        <v>2808503</v>
      </c>
      <c r="V264" s="24" t="s">
        <v>582</v>
      </c>
      <c r="W264" s="24" t="s">
        <v>583</v>
      </c>
      <c r="X264" s="24" t="s">
        <v>584</v>
      </c>
      <c r="Y264" s="24">
        <v>4020</v>
      </c>
      <c r="Z264" s="24">
        <v>204255</v>
      </c>
      <c r="AA264" s="24">
        <v>670160</v>
      </c>
      <c r="AB264" s="24">
        <v>0</v>
      </c>
      <c r="AC264" s="24"/>
      <c r="AD264" s="24"/>
      <c r="AE264" s="24"/>
      <c r="AF264" s="24"/>
    </row>
    <row r="265" spans="1:32" ht="62.4" x14ac:dyDescent="0.3">
      <c r="A265" s="23">
        <v>41306</v>
      </c>
      <c r="B265" s="24" t="s">
        <v>571</v>
      </c>
      <c r="C265" s="24">
        <v>30264</v>
      </c>
      <c r="D265" s="24" t="s">
        <v>585</v>
      </c>
      <c r="E265" s="24" t="s">
        <v>875</v>
      </c>
      <c r="F265" s="24" t="s">
        <v>574</v>
      </c>
      <c r="G265" s="24">
        <v>2853064</v>
      </c>
      <c r="H265" s="25">
        <v>584.49</v>
      </c>
      <c r="I265" s="25">
        <v>584.49</v>
      </c>
      <c r="J265" s="24" t="s">
        <v>876</v>
      </c>
      <c r="K265" s="24" t="s">
        <v>877</v>
      </c>
      <c r="L265" s="24" t="s">
        <v>577</v>
      </c>
      <c r="M265" s="24" t="s">
        <v>878</v>
      </c>
      <c r="N265" s="24" t="s">
        <v>590</v>
      </c>
      <c r="O265" s="24">
        <v>272223</v>
      </c>
      <c r="P265" s="25"/>
      <c r="Q265" s="25"/>
      <c r="R265" s="24" t="s">
        <v>923</v>
      </c>
      <c r="S265" s="24" t="s">
        <v>581</v>
      </c>
      <c r="T265" s="27">
        <v>41323</v>
      </c>
      <c r="U265" s="25">
        <v>2808504</v>
      </c>
      <c r="V265" s="24" t="s">
        <v>582</v>
      </c>
      <c r="W265" s="24" t="s">
        <v>583</v>
      </c>
      <c r="X265" s="24" t="s">
        <v>584</v>
      </c>
      <c r="Y265" s="24">
        <v>4020</v>
      </c>
      <c r="Z265" s="24">
        <v>204255</v>
      </c>
      <c r="AA265" s="24">
        <v>670160</v>
      </c>
      <c r="AB265" s="24">
        <v>0</v>
      </c>
      <c r="AC265" s="24"/>
      <c r="AD265" s="24"/>
      <c r="AE265" s="24"/>
      <c r="AF265" s="24"/>
    </row>
    <row r="266" spans="1:32" ht="62.4" x14ac:dyDescent="0.3">
      <c r="A266" s="23">
        <v>41306</v>
      </c>
      <c r="B266" s="24" t="s">
        <v>571</v>
      </c>
      <c r="C266" s="24">
        <v>30264</v>
      </c>
      <c r="D266" s="24" t="s">
        <v>585</v>
      </c>
      <c r="E266" s="24" t="s">
        <v>875</v>
      </c>
      <c r="F266" s="24" t="s">
        <v>574</v>
      </c>
      <c r="G266" s="24">
        <v>2853064</v>
      </c>
      <c r="H266" s="25">
        <v>584.49</v>
      </c>
      <c r="I266" s="25">
        <v>584.49</v>
      </c>
      <c r="J266" s="24" t="s">
        <v>876</v>
      </c>
      <c r="K266" s="24" t="s">
        <v>877</v>
      </c>
      <c r="L266" s="24" t="s">
        <v>577</v>
      </c>
      <c r="M266" s="24" t="s">
        <v>878</v>
      </c>
      <c r="N266" s="24" t="s">
        <v>590</v>
      </c>
      <c r="O266" s="24">
        <v>272223</v>
      </c>
      <c r="P266" s="25"/>
      <c r="Q266" s="25"/>
      <c r="R266" s="24" t="s">
        <v>924</v>
      </c>
      <c r="S266" s="24" t="s">
        <v>581</v>
      </c>
      <c r="T266" s="27">
        <v>41323</v>
      </c>
      <c r="U266" s="25">
        <v>2808505</v>
      </c>
      <c r="V266" s="24" t="s">
        <v>582</v>
      </c>
      <c r="W266" s="24" t="s">
        <v>583</v>
      </c>
      <c r="X266" s="24" t="s">
        <v>584</v>
      </c>
      <c r="Y266" s="24">
        <v>4020</v>
      </c>
      <c r="Z266" s="24">
        <v>204255</v>
      </c>
      <c r="AA266" s="24">
        <v>670160</v>
      </c>
      <c r="AB266" s="24">
        <v>0</v>
      </c>
      <c r="AC266" s="24"/>
      <c r="AD266" s="24"/>
      <c r="AE266" s="24"/>
      <c r="AF266" s="24"/>
    </row>
    <row r="267" spans="1:32" ht="62.4" x14ac:dyDescent="0.3">
      <c r="A267" s="23">
        <v>41306</v>
      </c>
      <c r="B267" s="24" t="s">
        <v>571</v>
      </c>
      <c r="C267" s="24">
        <v>30264</v>
      </c>
      <c r="D267" s="24" t="s">
        <v>585</v>
      </c>
      <c r="E267" s="24" t="s">
        <v>875</v>
      </c>
      <c r="F267" s="24" t="s">
        <v>574</v>
      </c>
      <c r="G267" s="24">
        <v>2853064</v>
      </c>
      <c r="H267" s="25">
        <v>584.49</v>
      </c>
      <c r="I267" s="25">
        <v>584.49</v>
      </c>
      <c r="J267" s="24" t="s">
        <v>876</v>
      </c>
      <c r="K267" s="24" t="s">
        <v>877</v>
      </c>
      <c r="L267" s="24" t="s">
        <v>577</v>
      </c>
      <c r="M267" s="24" t="s">
        <v>878</v>
      </c>
      <c r="N267" s="24" t="s">
        <v>590</v>
      </c>
      <c r="O267" s="24">
        <v>272223</v>
      </c>
      <c r="P267" s="25"/>
      <c r="Q267" s="25"/>
      <c r="R267" s="24" t="s">
        <v>879</v>
      </c>
      <c r="S267" s="24" t="s">
        <v>581</v>
      </c>
      <c r="T267" s="27">
        <v>41323</v>
      </c>
      <c r="U267" s="25">
        <v>2808506</v>
      </c>
      <c r="V267" s="24" t="s">
        <v>582</v>
      </c>
      <c r="W267" s="24" t="s">
        <v>583</v>
      </c>
      <c r="X267" s="24" t="s">
        <v>584</v>
      </c>
      <c r="Y267" s="24">
        <v>4020</v>
      </c>
      <c r="Z267" s="24">
        <v>204255</v>
      </c>
      <c r="AA267" s="24">
        <v>670160</v>
      </c>
      <c r="AB267" s="24">
        <v>0</v>
      </c>
      <c r="AC267" s="24"/>
      <c r="AD267" s="24"/>
      <c r="AE267" s="24"/>
      <c r="AF267" s="24"/>
    </row>
    <row r="268" spans="1:32" ht="62.4" x14ac:dyDescent="0.3">
      <c r="A268" s="23">
        <v>41306</v>
      </c>
      <c r="B268" s="24" t="s">
        <v>571</v>
      </c>
      <c r="C268" s="24">
        <v>30264</v>
      </c>
      <c r="D268" s="24" t="s">
        <v>585</v>
      </c>
      <c r="E268" s="24" t="s">
        <v>875</v>
      </c>
      <c r="F268" s="24" t="s">
        <v>574</v>
      </c>
      <c r="G268" s="24">
        <v>2853064</v>
      </c>
      <c r="H268" s="25">
        <v>584.49</v>
      </c>
      <c r="I268" s="25">
        <v>584.49</v>
      </c>
      <c r="J268" s="24" t="s">
        <v>876</v>
      </c>
      <c r="K268" s="24" t="s">
        <v>877</v>
      </c>
      <c r="L268" s="24" t="s">
        <v>577</v>
      </c>
      <c r="M268" s="24" t="s">
        <v>878</v>
      </c>
      <c r="N268" s="24" t="s">
        <v>590</v>
      </c>
      <c r="O268" s="24">
        <v>272223</v>
      </c>
      <c r="P268" s="25"/>
      <c r="Q268" s="25"/>
      <c r="R268" s="24" t="s">
        <v>925</v>
      </c>
      <c r="S268" s="24" t="s">
        <v>581</v>
      </c>
      <c r="T268" s="27">
        <v>41323</v>
      </c>
      <c r="U268" s="25">
        <v>2808507</v>
      </c>
      <c r="V268" s="24" t="s">
        <v>582</v>
      </c>
      <c r="W268" s="24" t="s">
        <v>583</v>
      </c>
      <c r="X268" s="24" t="s">
        <v>584</v>
      </c>
      <c r="Y268" s="24">
        <v>4020</v>
      </c>
      <c r="Z268" s="24">
        <v>204255</v>
      </c>
      <c r="AA268" s="24">
        <v>670160</v>
      </c>
      <c r="AB268" s="24">
        <v>0</v>
      </c>
      <c r="AC268" s="24"/>
      <c r="AD268" s="24"/>
      <c r="AE268" s="24"/>
      <c r="AF268" s="24"/>
    </row>
    <row r="269" spans="1:32" ht="62.4" x14ac:dyDescent="0.3">
      <c r="A269" s="23">
        <v>41306</v>
      </c>
      <c r="B269" s="24" t="s">
        <v>571</v>
      </c>
      <c r="C269" s="24">
        <v>30264</v>
      </c>
      <c r="D269" s="24" t="s">
        <v>585</v>
      </c>
      <c r="E269" s="24" t="s">
        <v>875</v>
      </c>
      <c r="F269" s="24" t="s">
        <v>574</v>
      </c>
      <c r="G269" s="24">
        <v>2884553</v>
      </c>
      <c r="H269" s="25">
        <v>584.49</v>
      </c>
      <c r="I269" s="25">
        <v>584.49</v>
      </c>
      <c r="J269" s="24" t="s">
        <v>876</v>
      </c>
      <c r="K269" s="24" t="s">
        <v>877</v>
      </c>
      <c r="L269" s="24" t="s">
        <v>577</v>
      </c>
      <c r="M269" s="24" t="s">
        <v>878</v>
      </c>
      <c r="N269" s="24" t="s">
        <v>590</v>
      </c>
      <c r="O269" s="24">
        <v>272223</v>
      </c>
      <c r="P269" s="25"/>
      <c r="Q269" s="25"/>
      <c r="R269" s="24" t="s">
        <v>926</v>
      </c>
      <c r="S269" s="24" t="s">
        <v>581</v>
      </c>
      <c r="T269" s="27">
        <v>41333</v>
      </c>
      <c r="U269" s="25">
        <v>2842236</v>
      </c>
      <c r="V269" s="24" t="s">
        <v>582</v>
      </c>
      <c r="W269" s="24" t="s">
        <v>583</v>
      </c>
      <c r="X269" s="24" t="s">
        <v>584</v>
      </c>
      <c r="Y269" s="24">
        <v>4020</v>
      </c>
      <c r="Z269" s="24">
        <v>204255</v>
      </c>
      <c r="AA269" s="24">
        <v>670160</v>
      </c>
      <c r="AB269" s="24">
        <v>0</v>
      </c>
      <c r="AC269" s="24"/>
      <c r="AD269" s="24"/>
      <c r="AE269" s="24"/>
      <c r="AF269" s="24"/>
    </row>
    <row r="270" spans="1:32" ht="62.4" x14ac:dyDescent="0.3">
      <c r="A270" s="23">
        <v>41306</v>
      </c>
      <c r="B270" s="24" t="s">
        <v>571</v>
      </c>
      <c r="C270" s="24">
        <v>30264</v>
      </c>
      <c r="D270" s="24" t="s">
        <v>585</v>
      </c>
      <c r="E270" s="24" t="s">
        <v>927</v>
      </c>
      <c r="F270" s="24" t="s">
        <v>574</v>
      </c>
      <c r="G270" s="24">
        <v>2832680</v>
      </c>
      <c r="H270" s="25">
        <v>9296.34</v>
      </c>
      <c r="I270" s="26">
        <v>9296.34</v>
      </c>
      <c r="J270" s="24" t="s">
        <v>928</v>
      </c>
      <c r="K270" s="24" t="s">
        <v>605</v>
      </c>
      <c r="L270" s="24" t="s">
        <v>577</v>
      </c>
      <c r="M270" s="24" t="s">
        <v>929</v>
      </c>
      <c r="N270" s="24" t="s">
        <v>590</v>
      </c>
      <c r="O270" s="24">
        <v>278461</v>
      </c>
      <c r="P270" s="25"/>
      <c r="Q270" s="25"/>
      <c r="R270" s="24" t="s">
        <v>930</v>
      </c>
      <c r="S270" s="24" t="s">
        <v>581</v>
      </c>
      <c r="T270" s="27">
        <v>41317</v>
      </c>
      <c r="U270" s="25">
        <v>2793933</v>
      </c>
      <c r="V270" s="24" t="s">
        <v>582</v>
      </c>
      <c r="W270" s="24" t="s">
        <v>583</v>
      </c>
      <c r="X270" s="24" t="s">
        <v>584</v>
      </c>
      <c r="Y270" s="24">
        <v>4091</v>
      </c>
      <c r="Z270" s="24">
        <v>204411</v>
      </c>
      <c r="AA270" s="24">
        <v>650040</v>
      </c>
      <c r="AB270" s="24">
        <v>0</v>
      </c>
      <c r="AC270" s="24"/>
      <c r="AD270" s="24"/>
      <c r="AE270" s="24"/>
      <c r="AF270" s="24"/>
    </row>
    <row r="271" spans="1:32" ht="62.4" x14ac:dyDescent="0.3">
      <c r="A271" s="23">
        <v>41334</v>
      </c>
      <c r="B271" s="24" t="s">
        <v>571</v>
      </c>
      <c r="C271" s="24">
        <v>30264</v>
      </c>
      <c r="D271" s="24" t="s">
        <v>851</v>
      </c>
      <c r="E271" s="24" t="s">
        <v>586</v>
      </c>
      <c r="F271" s="24" t="s">
        <v>574</v>
      </c>
      <c r="G271" s="24">
        <v>2923814</v>
      </c>
      <c r="H271" s="25">
        <v>1988</v>
      </c>
      <c r="I271" s="26">
        <v>1988</v>
      </c>
      <c r="J271" s="24" t="s">
        <v>857</v>
      </c>
      <c r="K271" s="24" t="s">
        <v>853</v>
      </c>
      <c r="L271" s="24" t="s">
        <v>577</v>
      </c>
      <c r="M271" s="24" t="s">
        <v>589</v>
      </c>
      <c r="N271" s="24" t="s">
        <v>854</v>
      </c>
      <c r="O271" s="24">
        <v>273540</v>
      </c>
      <c r="P271" s="25"/>
      <c r="Q271" s="25"/>
      <c r="R271" s="24" t="s">
        <v>931</v>
      </c>
      <c r="S271" s="24" t="s">
        <v>581</v>
      </c>
      <c r="T271" s="27">
        <v>41345</v>
      </c>
      <c r="U271" s="25">
        <v>2877919</v>
      </c>
      <c r="V271" s="24" t="s">
        <v>582</v>
      </c>
      <c r="W271" s="24" t="s">
        <v>583</v>
      </c>
      <c r="X271" s="24" t="s">
        <v>584</v>
      </c>
      <c r="Y271" s="24">
        <v>4091</v>
      </c>
      <c r="Z271" s="24">
        <v>204411</v>
      </c>
      <c r="AA271" s="24">
        <v>572010</v>
      </c>
      <c r="AB271" s="24">
        <v>0</v>
      </c>
      <c r="AC271" s="24"/>
      <c r="AD271" s="24"/>
      <c r="AE271" s="24"/>
      <c r="AF271" s="24"/>
    </row>
    <row r="272" spans="1:32" ht="62.4" x14ac:dyDescent="0.3">
      <c r="A272" s="23">
        <v>41334</v>
      </c>
      <c r="B272" s="24" t="s">
        <v>571</v>
      </c>
      <c r="C272" s="24">
        <v>30264</v>
      </c>
      <c r="D272" s="24" t="s">
        <v>851</v>
      </c>
      <c r="E272" s="24" t="s">
        <v>573</v>
      </c>
      <c r="F272" s="24" t="s">
        <v>574</v>
      </c>
      <c r="G272" s="24">
        <v>2923814</v>
      </c>
      <c r="H272" s="25">
        <v>1661.89</v>
      </c>
      <c r="I272" s="26">
        <v>1661.89</v>
      </c>
      <c r="J272" s="24" t="s">
        <v>932</v>
      </c>
      <c r="K272" s="24" t="s">
        <v>576</v>
      </c>
      <c r="L272" s="24" t="s">
        <v>577</v>
      </c>
      <c r="M272" s="24" t="s">
        <v>578</v>
      </c>
      <c r="N272" s="24" t="s">
        <v>854</v>
      </c>
      <c r="O272" s="24">
        <v>281320</v>
      </c>
      <c r="P272" s="25"/>
      <c r="Q272" s="25"/>
      <c r="R272" s="24" t="s">
        <v>933</v>
      </c>
      <c r="S272" s="24" t="s">
        <v>581</v>
      </c>
      <c r="T272" s="27">
        <v>41345</v>
      </c>
      <c r="U272" s="25">
        <v>2878254</v>
      </c>
      <c r="V272" s="24" t="s">
        <v>582</v>
      </c>
      <c r="W272" s="24" t="s">
        <v>583</v>
      </c>
      <c r="X272" s="24" t="s">
        <v>584</v>
      </c>
      <c r="Y272" s="24">
        <v>4091</v>
      </c>
      <c r="Z272" s="24">
        <v>204411</v>
      </c>
      <c r="AA272" s="24">
        <v>630120</v>
      </c>
      <c r="AB272" s="24">
        <v>0</v>
      </c>
      <c r="AC272" s="24"/>
      <c r="AD272" s="24"/>
      <c r="AE272" s="24"/>
      <c r="AF272" s="24"/>
    </row>
    <row r="273" spans="1:32" ht="62.4" x14ac:dyDescent="0.3">
      <c r="A273" s="23">
        <v>41334</v>
      </c>
      <c r="B273" s="24" t="s">
        <v>571</v>
      </c>
      <c r="C273" s="24">
        <v>30264</v>
      </c>
      <c r="D273" s="24" t="s">
        <v>585</v>
      </c>
      <c r="E273" s="24" t="s">
        <v>934</v>
      </c>
      <c r="F273" s="24" t="s">
        <v>574</v>
      </c>
      <c r="G273" s="24">
        <v>2923814</v>
      </c>
      <c r="H273" s="25">
        <v>710</v>
      </c>
      <c r="I273" s="25">
        <v>710</v>
      </c>
      <c r="J273" s="24" t="s">
        <v>935</v>
      </c>
      <c r="K273" s="24" t="s">
        <v>917</v>
      </c>
      <c r="L273" s="24" t="s">
        <v>577</v>
      </c>
      <c r="M273" s="24" t="s">
        <v>589</v>
      </c>
      <c r="N273" s="24" t="s">
        <v>590</v>
      </c>
      <c r="O273" s="24">
        <v>280987</v>
      </c>
      <c r="P273" s="25"/>
      <c r="Q273" s="25"/>
      <c r="R273" s="24" t="s">
        <v>936</v>
      </c>
      <c r="S273" s="24" t="s">
        <v>581</v>
      </c>
      <c r="T273" s="27">
        <v>41345</v>
      </c>
      <c r="U273" s="25">
        <v>2878133</v>
      </c>
      <c r="V273" s="24" t="s">
        <v>582</v>
      </c>
      <c r="W273" s="24" t="s">
        <v>583</v>
      </c>
      <c r="X273" s="24" t="s">
        <v>584</v>
      </c>
      <c r="Y273" s="24">
        <v>4091</v>
      </c>
      <c r="Z273" s="24">
        <v>204411</v>
      </c>
      <c r="AA273" s="24">
        <v>572210</v>
      </c>
      <c r="AB273" s="24">
        <v>0</v>
      </c>
      <c r="AC273" s="24"/>
      <c r="AD273" s="24"/>
      <c r="AE273" s="24"/>
      <c r="AF273" s="24"/>
    </row>
    <row r="274" spans="1:32" ht="62.4" x14ac:dyDescent="0.3">
      <c r="A274" s="23">
        <v>41334</v>
      </c>
      <c r="B274" s="24" t="s">
        <v>571</v>
      </c>
      <c r="C274" s="24">
        <v>30264</v>
      </c>
      <c r="D274" s="24" t="s">
        <v>585</v>
      </c>
      <c r="E274" s="24" t="s">
        <v>586</v>
      </c>
      <c r="F274" s="24" t="s">
        <v>574</v>
      </c>
      <c r="G274" s="24">
        <v>2948842</v>
      </c>
      <c r="H274" s="25">
        <v>4750</v>
      </c>
      <c r="I274" s="26">
        <v>4750</v>
      </c>
      <c r="J274" s="24" t="s">
        <v>849</v>
      </c>
      <c r="K274" s="24" t="s">
        <v>588</v>
      </c>
      <c r="L274" s="24" t="s">
        <v>577</v>
      </c>
      <c r="M274" s="24" t="s">
        <v>589</v>
      </c>
      <c r="N274" s="24" t="s">
        <v>590</v>
      </c>
      <c r="O274" s="24">
        <v>270307</v>
      </c>
      <c r="P274" s="25"/>
      <c r="Q274" s="25"/>
      <c r="R274" s="24" t="s">
        <v>937</v>
      </c>
      <c r="S274" s="24" t="s">
        <v>581</v>
      </c>
      <c r="T274" s="27">
        <v>41353</v>
      </c>
      <c r="U274" s="25">
        <v>2897575</v>
      </c>
      <c r="V274" s="24" t="s">
        <v>582</v>
      </c>
      <c r="W274" s="24" t="s">
        <v>583</v>
      </c>
      <c r="X274" s="24" t="s">
        <v>584</v>
      </c>
      <c r="Y274" s="24">
        <v>4020</v>
      </c>
      <c r="Z274" s="24">
        <v>204255</v>
      </c>
      <c r="AA274" s="24">
        <v>572010</v>
      </c>
      <c r="AB274" s="24">
        <v>0</v>
      </c>
      <c r="AC274" s="24"/>
      <c r="AD274" s="24"/>
      <c r="AE274" s="24"/>
      <c r="AF274" s="24"/>
    </row>
    <row r="275" spans="1:32" ht="62.4" x14ac:dyDescent="0.3">
      <c r="A275" s="23">
        <v>41334</v>
      </c>
      <c r="B275" s="24" t="s">
        <v>571</v>
      </c>
      <c r="C275" s="24">
        <v>30264</v>
      </c>
      <c r="D275" s="24" t="s">
        <v>585</v>
      </c>
      <c r="E275" s="24" t="s">
        <v>875</v>
      </c>
      <c r="F275" s="24" t="s">
        <v>574</v>
      </c>
      <c r="G275" s="24">
        <v>2948842</v>
      </c>
      <c r="H275" s="25">
        <v>434</v>
      </c>
      <c r="I275" s="25">
        <v>434</v>
      </c>
      <c r="J275" s="24" t="s">
        <v>876</v>
      </c>
      <c r="K275" s="24" t="s">
        <v>877</v>
      </c>
      <c r="L275" s="24" t="s">
        <v>577</v>
      </c>
      <c r="M275" s="24" t="s">
        <v>878</v>
      </c>
      <c r="N275" s="24" t="s">
        <v>590</v>
      </c>
      <c r="O275" s="24">
        <v>272223</v>
      </c>
      <c r="P275" s="25"/>
      <c r="Q275" s="25"/>
      <c r="R275" s="24" t="s">
        <v>938</v>
      </c>
      <c r="S275" s="24" t="s">
        <v>581</v>
      </c>
      <c r="T275" s="27">
        <v>41353</v>
      </c>
      <c r="U275" s="25">
        <v>2897582</v>
      </c>
      <c r="V275" s="24" t="s">
        <v>582</v>
      </c>
      <c r="W275" s="24" t="s">
        <v>583</v>
      </c>
      <c r="X275" s="24" t="s">
        <v>584</v>
      </c>
      <c r="Y275" s="24">
        <v>4020</v>
      </c>
      <c r="Z275" s="24">
        <v>204255</v>
      </c>
      <c r="AA275" s="24">
        <v>670160</v>
      </c>
      <c r="AB275" s="24">
        <v>0</v>
      </c>
      <c r="AC275" s="24"/>
      <c r="AD275" s="24"/>
      <c r="AE275" s="24"/>
      <c r="AF275" s="24"/>
    </row>
    <row r="276" spans="1:32" ht="62.4" x14ac:dyDescent="0.3">
      <c r="A276" s="23">
        <v>41334</v>
      </c>
      <c r="B276" s="24" t="s">
        <v>571</v>
      </c>
      <c r="C276" s="24">
        <v>30264</v>
      </c>
      <c r="D276" s="24" t="s">
        <v>585</v>
      </c>
      <c r="E276" s="24" t="s">
        <v>875</v>
      </c>
      <c r="F276" s="24" t="s">
        <v>574</v>
      </c>
      <c r="G276" s="24">
        <v>2948842</v>
      </c>
      <c r="H276" s="25">
        <v>824</v>
      </c>
      <c r="I276" s="25">
        <v>824</v>
      </c>
      <c r="J276" s="24" t="s">
        <v>876</v>
      </c>
      <c r="K276" s="24" t="s">
        <v>877</v>
      </c>
      <c r="L276" s="24" t="s">
        <v>577</v>
      </c>
      <c r="M276" s="24" t="s">
        <v>878</v>
      </c>
      <c r="N276" s="24" t="s">
        <v>590</v>
      </c>
      <c r="O276" s="24">
        <v>272223</v>
      </c>
      <c r="P276" s="25"/>
      <c r="Q276" s="25"/>
      <c r="R276" s="24" t="s">
        <v>939</v>
      </c>
      <c r="S276" s="24" t="s">
        <v>581</v>
      </c>
      <c r="T276" s="27">
        <v>41353</v>
      </c>
      <c r="U276" s="25">
        <v>2897583</v>
      </c>
      <c r="V276" s="24" t="s">
        <v>582</v>
      </c>
      <c r="W276" s="24" t="s">
        <v>583</v>
      </c>
      <c r="X276" s="24" t="s">
        <v>584</v>
      </c>
      <c r="Y276" s="24">
        <v>4020</v>
      </c>
      <c r="Z276" s="24">
        <v>204255</v>
      </c>
      <c r="AA276" s="24">
        <v>670160</v>
      </c>
      <c r="AB276" s="24">
        <v>0</v>
      </c>
      <c r="AC276" s="24"/>
      <c r="AD276" s="24"/>
      <c r="AE276" s="24"/>
      <c r="AF276" s="24"/>
    </row>
    <row r="277" spans="1:32" ht="62.4" x14ac:dyDescent="0.3">
      <c r="A277" s="23">
        <v>41365</v>
      </c>
      <c r="B277" s="24" t="s">
        <v>571</v>
      </c>
      <c r="C277" s="24">
        <v>30264</v>
      </c>
      <c r="D277" s="24" t="s">
        <v>851</v>
      </c>
      <c r="E277" s="24" t="s">
        <v>586</v>
      </c>
      <c r="F277" s="24" t="s">
        <v>574</v>
      </c>
      <c r="G277" s="24">
        <v>2997386</v>
      </c>
      <c r="H277" s="25">
        <v>1275</v>
      </c>
      <c r="I277" s="26">
        <v>1275</v>
      </c>
      <c r="J277" s="24" t="s">
        <v>857</v>
      </c>
      <c r="K277" s="24" t="s">
        <v>853</v>
      </c>
      <c r="L277" s="24" t="s">
        <v>577</v>
      </c>
      <c r="M277" s="24" t="s">
        <v>589</v>
      </c>
      <c r="N277" s="24" t="s">
        <v>854</v>
      </c>
      <c r="O277" s="24">
        <v>273540</v>
      </c>
      <c r="P277" s="25"/>
      <c r="Q277" s="25"/>
      <c r="R277" s="24" t="s">
        <v>940</v>
      </c>
      <c r="S277" s="24" t="s">
        <v>581</v>
      </c>
      <c r="T277" s="27">
        <v>41368</v>
      </c>
      <c r="U277" s="25">
        <v>2944223</v>
      </c>
      <c r="V277" s="24" t="s">
        <v>582</v>
      </c>
      <c r="W277" s="24" t="s">
        <v>583</v>
      </c>
      <c r="X277" s="24" t="s">
        <v>584</v>
      </c>
      <c r="Y277" s="24">
        <v>4091</v>
      </c>
      <c r="Z277" s="24">
        <v>204411</v>
      </c>
      <c r="AA277" s="24">
        <v>572010</v>
      </c>
      <c r="AB277" s="24">
        <v>0</v>
      </c>
      <c r="AC277" s="24"/>
      <c r="AD277" s="24"/>
      <c r="AE277" s="24"/>
      <c r="AF277" s="24"/>
    </row>
    <row r="278" spans="1:32" ht="62.4" x14ac:dyDescent="0.3">
      <c r="A278" s="23">
        <v>41365</v>
      </c>
      <c r="B278" s="24" t="s">
        <v>571</v>
      </c>
      <c r="C278" s="24">
        <v>30264</v>
      </c>
      <c r="D278" s="24" t="s">
        <v>851</v>
      </c>
      <c r="E278" s="24" t="s">
        <v>586</v>
      </c>
      <c r="F278" s="24" t="s">
        <v>574</v>
      </c>
      <c r="G278" s="24">
        <v>2997386</v>
      </c>
      <c r="H278" s="25">
        <v>357.83</v>
      </c>
      <c r="I278" s="25">
        <v>357.83</v>
      </c>
      <c r="J278" s="24" t="s">
        <v>857</v>
      </c>
      <c r="K278" s="24" t="s">
        <v>853</v>
      </c>
      <c r="L278" s="24" t="s">
        <v>577</v>
      </c>
      <c r="M278" s="24" t="s">
        <v>589</v>
      </c>
      <c r="N278" s="24" t="s">
        <v>854</v>
      </c>
      <c r="O278" s="24">
        <v>273540</v>
      </c>
      <c r="P278" s="25"/>
      <c r="Q278" s="25"/>
      <c r="R278" s="24" t="s">
        <v>941</v>
      </c>
      <c r="S278" s="24" t="s">
        <v>581</v>
      </c>
      <c r="T278" s="27">
        <v>41368</v>
      </c>
      <c r="U278" s="25">
        <v>2944238</v>
      </c>
      <c r="V278" s="24" t="s">
        <v>582</v>
      </c>
      <c r="W278" s="24" t="s">
        <v>583</v>
      </c>
      <c r="X278" s="24" t="s">
        <v>584</v>
      </c>
      <c r="Y278" s="24">
        <v>4091</v>
      </c>
      <c r="Z278" s="24">
        <v>204411</v>
      </c>
      <c r="AA278" s="24">
        <v>572010</v>
      </c>
      <c r="AB278" s="24">
        <v>0</v>
      </c>
      <c r="AC278" s="24"/>
      <c r="AD278" s="24"/>
      <c r="AE278" s="24"/>
      <c r="AF278" s="24"/>
    </row>
    <row r="279" spans="1:32" ht="62.4" x14ac:dyDescent="0.3">
      <c r="A279" s="23">
        <v>41365</v>
      </c>
      <c r="B279" s="24" t="s">
        <v>571</v>
      </c>
      <c r="C279" s="24">
        <v>30264</v>
      </c>
      <c r="D279" s="24" t="s">
        <v>851</v>
      </c>
      <c r="E279" s="24" t="s">
        <v>573</v>
      </c>
      <c r="F279" s="24" t="s">
        <v>574</v>
      </c>
      <c r="G279" s="24">
        <v>2997386</v>
      </c>
      <c r="H279" s="25">
        <v>1661.89</v>
      </c>
      <c r="I279" s="26">
        <v>1661.89</v>
      </c>
      <c r="J279" s="24" t="s">
        <v>932</v>
      </c>
      <c r="K279" s="24" t="s">
        <v>576</v>
      </c>
      <c r="L279" s="24" t="s">
        <v>577</v>
      </c>
      <c r="M279" s="24" t="s">
        <v>578</v>
      </c>
      <c r="N279" s="24" t="s">
        <v>854</v>
      </c>
      <c r="O279" s="24">
        <v>281320</v>
      </c>
      <c r="P279" s="25"/>
      <c r="Q279" s="25"/>
      <c r="R279" s="24" t="s">
        <v>942</v>
      </c>
      <c r="S279" s="24" t="s">
        <v>581</v>
      </c>
      <c r="T279" s="27">
        <v>41368</v>
      </c>
      <c r="U279" s="25">
        <v>2944517</v>
      </c>
      <c r="V279" s="24" t="s">
        <v>582</v>
      </c>
      <c r="W279" s="24" t="s">
        <v>583</v>
      </c>
      <c r="X279" s="24" t="s">
        <v>584</v>
      </c>
      <c r="Y279" s="24">
        <v>4091</v>
      </c>
      <c r="Z279" s="24">
        <v>204411</v>
      </c>
      <c r="AA279" s="24">
        <v>630120</v>
      </c>
      <c r="AB279" s="24">
        <v>0</v>
      </c>
      <c r="AC279" s="24"/>
      <c r="AD279" s="24"/>
      <c r="AE279" s="24"/>
      <c r="AF279" s="24"/>
    </row>
    <row r="280" spans="1:32" ht="62.4" x14ac:dyDescent="0.3">
      <c r="A280" s="23">
        <v>41365</v>
      </c>
      <c r="B280" s="24" t="s">
        <v>571</v>
      </c>
      <c r="C280" s="24">
        <v>30264</v>
      </c>
      <c r="D280" s="24" t="s">
        <v>572</v>
      </c>
      <c r="E280" s="24" t="s">
        <v>573</v>
      </c>
      <c r="F280" s="24" t="s">
        <v>574</v>
      </c>
      <c r="G280" s="24">
        <v>3041339</v>
      </c>
      <c r="H280" s="25">
        <v>5915</v>
      </c>
      <c r="I280" s="26">
        <v>5915</v>
      </c>
      <c r="J280" s="24" t="s">
        <v>831</v>
      </c>
      <c r="K280" s="24" t="s">
        <v>576</v>
      </c>
      <c r="L280" s="24" t="s">
        <v>577</v>
      </c>
      <c r="M280" s="24" t="s">
        <v>578</v>
      </c>
      <c r="N280" s="24" t="s">
        <v>579</v>
      </c>
      <c r="O280" s="24">
        <v>269422</v>
      </c>
      <c r="P280" s="25"/>
      <c r="Q280" s="25"/>
      <c r="R280" s="24" t="s">
        <v>943</v>
      </c>
      <c r="S280" s="24" t="s">
        <v>581</v>
      </c>
      <c r="T280" s="27">
        <v>41382</v>
      </c>
      <c r="U280" s="25">
        <v>2982391</v>
      </c>
      <c r="V280" s="24" t="s">
        <v>582</v>
      </c>
      <c r="W280" s="24" t="s">
        <v>583</v>
      </c>
      <c r="X280" s="24" t="s">
        <v>584</v>
      </c>
      <c r="Y280" s="24">
        <v>4020</v>
      </c>
      <c r="Z280" s="24">
        <v>204255</v>
      </c>
      <c r="AA280" s="24">
        <v>630120</v>
      </c>
      <c r="AB280" s="24">
        <v>0</v>
      </c>
      <c r="AC280" s="24"/>
      <c r="AD280" s="24"/>
      <c r="AE280" s="24"/>
      <c r="AF280" s="24"/>
    </row>
    <row r="281" spans="1:32" ht="62.4" x14ac:dyDescent="0.3">
      <c r="A281" s="23">
        <v>41365</v>
      </c>
      <c r="B281" s="24" t="s">
        <v>571</v>
      </c>
      <c r="C281" s="24">
        <v>30264</v>
      </c>
      <c r="D281" s="24" t="s">
        <v>625</v>
      </c>
      <c r="E281" s="24" t="s">
        <v>586</v>
      </c>
      <c r="F281" s="24" t="s">
        <v>574</v>
      </c>
      <c r="G281" s="24">
        <v>3001175</v>
      </c>
      <c r="H281" s="25">
        <v>1200</v>
      </c>
      <c r="I281" s="26">
        <v>1200</v>
      </c>
      <c r="J281" s="24" t="s">
        <v>794</v>
      </c>
      <c r="K281" s="24" t="s">
        <v>627</v>
      </c>
      <c r="L281" s="24" t="s">
        <v>577</v>
      </c>
      <c r="M281" s="24" t="s">
        <v>589</v>
      </c>
      <c r="N281" s="24" t="s">
        <v>628</v>
      </c>
      <c r="O281" s="24">
        <v>269473</v>
      </c>
      <c r="P281" s="25"/>
      <c r="Q281" s="25"/>
      <c r="R281" s="24" t="s">
        <v>944</v>
      </c>
      <c r="S281" s="24" t="s">
        <v>581</v>
      </c>
      <c r="T281" s="27">
        <v>41369</v>
      </c>
      <c r="U281" s="25">
        <v>2951437</v>
      </c>
      <c r="V281" s="24" t="s">
        <v>582</v>
      </c>
      <c r="W281" s="24" t="s">
        <v>583</v>
      </c>
      <c r="X281" s="24" t="s">
        <v>584</v>
      </c>
      <c r="Y281" s="24">
        <v>4020</v>
      </c>
      <c r="Z281" s="24">
        <v>204255</v>
      </c>
      <c r="AA281" s="24">
        <v>572010</v>
      </c>
      <c r="AB281" s="24">
        <v>0</v>
      </c>
      <c r="AC281" s="24"/>
      <c r="AD281" s="24"/>
      <c r="AE281" s="24"/>
      <c r="AF281" s="24"/>
    </row>
    <row r="282" spans="1:32" ht="62.4" x14ac:dyDescent="0.3">
      <c r="A282" s="23">
        <v>41365</v>
      </c>
      <c r="B282" s="24" t="s">
        <v>571</v>
      </c>
      <c r="C282" s="24">
        <v>30264</v>
      </c>
      <c r="D282" s="24" t="s">
        <v>585</v>
      </c>
      <c r="E282" s="24" t="s">
        <v>586</v>
      </c>
      <c r="F282" s="24" t="s">
        <v>574</v>
      </c>
      <c r="G282" s="24">
        <v>3003477</v>
      </c>
      <c r="H282" s="25">
        <v>7792.38</v>
      </c>
      <c r="I282" s="26">
        <v>7792.38</v>
      </c>
      <c r="J282" s="24" t="s">
        <v>798</v>
      </c>
      <c r="K282" s="24" t="s">
        <v>724</v>
      </c>
      <c r="L282" s="24" t="s">
        <v>633</v>
      </c>
      <c r="M282" s="24" t="s">
        <v>589</v>
      </c>
      <c r="N282" s="24" t="s">
        <v>590</v>
      </c>
      <c r="O282" s="24">
        <v>269424</v>
      </c>
      <c r="P282" s="25"/>
      <c r="Q282" s="25"/>
      <c r="R282" s="24" t="s">
        <v>945</v>
      </c>
      <c r="S282" s="24" t="s">
        <v>581</v>
      </c>
      <c r="T282" s="27">
        <v>41369</v>
      </c>
      <c r="U282" s="25">
        <v>2946105</v>
      </c>
      <c r="V282" s="24" t="s">
        <v>582</v>
      </c>
      <c r="W282" s="24" t="s">
        <v>583</v>
      </c>
      <c r="X282" s="24" t="s">
        <v>584</v>
      </c>
      <c r="Y282" s="24">
        <v>4020</v>
      </c>
      <c r="Z282" s="24">
        <v>204255</v>
      </c>
      <c r="AA282" s="24">
        <v>572010</v>
      </c>
      <c r="AB282" s="24">
        <v>0</v>
      </c>
      <c r="AC282" s="24"/>
      <c r="AD282" s="24"/>
      <c r="AE282" s="24"/>
      <c r="AF282" s="24"/>
    </row>
    <row r="283" spans="1:32" ht="62.4" x14ac:dyDescent="0.3">
      <c r="A283" s="23">
        <v>41365</v>
      </c>
      <c r="B283" s="24" t="s">
        <v>571</v>
      </c>
      <c r="C283" s="24">
        <v>30264</v>
      </c>
      <c r="D283" s="24" t="s">
        <v>585</v>
      </c>
      <c r="E283" s="24" t="s">
        <v>586</v>
      </c>
      <c r="F283" s="24" t="s">
        <v>574</v>
      </c>
      <c r="G283" s="24">
        <v>3003477</v>
      </c>
      <c r="H283" s="25">
        <v>480</v>
      </c>
      <c r="I283" s="25">
        <v>480</v>
      </c>
      <c r="J283" s="24" t="s">
        <v>798</v>
      </c>
      <c r="K283" s="24" t="s">
        <v>724</v>
      </c>
      <c r="L283" s="24" t="s">
        <v>633</v>
      </c>
      <c r="M283" s="24" t="s">
        <v>589</v>
      </c>
      <c r="N283" s="24" t="s">
        <v>590</v>
      </c>
      <c r="O283" s="24">
        <v>269424</v>
      </c>
      <c r="P283" s="25"/>
      <c r="Q283" s="25"/>
      <c r="R283" s="24" t="s">
        <v>946</v>
      </c>
      <c r="S283" s="24" t="s">
        <v>581</v>
      </c>
      <c r="T283" s="27">
        <v>41369</v>
      </c>
      <c r="U283" s="25">
        <v>2946106</v>
      </c>
      <c r="V283" s="24" t="s">
        <v>582</v>
      </c>
      <c r="W283" s="24" t="s">
        <v>583</v>
      </c>
      <c r="X283" s="24" t="s">
        <v>584</v>
      </c>
      <c r="Y283" s="24">
        <v>4020</v>
      </c>
      <c r="Z283" s="24">
        <v>204255</v>
      </c>
      <c r="AA283" s="24">
        <v>572010</v>
      </c>
      <c r="AB283" s="24">
        <v>0</v>
      </c>
      <c r="AC283" s="24"/>
      <c r="AD283" s="24"/>
      <c r="AE283" s="24"/>
      <c r="AF283" s="24"/>
    </row>
    <row r="284" spans="1:32" ht="62.4" x14ac:dyDescent="0.3">
      <c r="A284" s="23">
        <v>41365</v>
      </c>
      <c r="B284" s="24" t="s">
        <v>571</v>
      </c>
      <c r="C284" s="24">
        <v>30264</v>
      </c>
      <c r="D284" s="24" t="s">
        <v>585</v>
      </c>
      <c r="E284" s="24" t="s">
        <v>586</v>
      </c>
      <c r="F284" s="24" t="s">
        <v>574</v>
      </c>
      <c r="G284" s="24">
        <v>3003477</v>
      </c>
      <c r="H284" s="25">
        <v>7111.75</v>
      </c>
      <c r="I284" s="26">
        <v>7111.75</v>
      </c>
      <c r="J284" s="24" t="s">
        <v>798</v>
      </c>
      <c r="K284" s="24" t="s">
        <v>724</v>
      </c>
      <c r="L284" s="24" t="s">
        <v>633</v>
      </c>
      <c r="M284" s="24" t="s">
        <v>589</v>
      </c>
      <c r="N284" s="24" t="s">
        <v>590</v>
      </c>
      <c r="O284" s="24">
        <v>269424</v>
      </c>
      <c r="P284" s="25"/>
      <c r="Q284" s="25"/>
      <c r="R284" s="24" t="s">
        <v>947</v>
      </c>
      <c r="S284" s="24" t="s">
        <v>581</v>
      </c>
      <c r="T284" s="27">
        <v>41369</v>
      </c>
      <c r="U284" s="25">
        <v>2946107</v>
      </c>
      <c r="V284" s="24" t="s">
        <v>582</v>
      </c>
      <c r="W284" s="24" t="s">
        <v>583</v>
      </c>
      <c r="X284" s="24" t="s">
        <v>584</v>
      </c>
      <c r="Y284" s="24">
        <v>4020</v>
      </c>
      <c r="Z284" s="24">
        <v>204255</v>
      </c>
      <c r="AA284" s="24">
        <v>572010</v>
      </c>
      <c r="AB284" s="24">
        <v>0</v>
      </c>
      <c r="AC284" s="24"/>
      <c r="AD284" s="24"/>
      <c r="AE284" s="24"/>
      <c r="AF284" s="24"/>
    </row>
    <row r="285" spans="1:32" ht="62.4" x14ac:dyDescent="0.3">
      <c r="A285" s="23">
        <v>41365</v>
      </c>
      <c r="B285" s="24" t="s">
        <v>571</v>
      </c>
      <c r="C285" s="24">
        <v>30264</v>
      </c>
      <c r="D285" s="24" t="s">
        <v>585</v>
      </c>
      <c r="E285" s="24" t="s">
        <v>586</v>
      </c>
      <c r="F285" s="24" t="s">
        <v>574</v>
      </c>
      <c r="G285" s="24">
        <v>3041339</v>
      </c>
      <c r="H285" s="25">
        <v>3200</v>
      </c>
      <c r="I285" s="26">
        <v>3200</v>
      </c>
      <c r="J285" s="24" t="s">
        <v>849</v>
      </c>
      <c r="K285" s="24" t="s">
        <v>588</v>
      </c>
      <c r="L285" s="24" t="s">
        <v>577</v>
      </c>
      <c r="M285" s="24" t="s">
        <v>589</v>
      </c>
      <c r="N285" s="24" t="s">
        <v>590</v>
      </c>
      <c r="O285" s="24">
        <v>270307</v>
      </c>
      <c r="P285" s="25"/>
      <c r="Q285" s="25"/>
      <c r="R285" s="24" t="s">
        <v>912</v>
      </c>
      <c r="S285" s="24" t="s">
        <v>581</v>
      </c>
      <c r="T285" s="27">
        <v>41382</v>
      </c>
      <c r="U285" s="25">
        <v>2982395</v>
      </c>
      <c r="V285" s="24" t="s">
        <v>582</v>
      </c>
      <c r="W285" s="24" t="s">
        <v>583</v>
      </c>
      <c r="X285" s="24" t="s">
        <v>584</v>
      </c>
      <c r="Y285" s="24">
        <v>4020</v>
      </c>
      <c r="Z285" s="24">
        <v>204255</v>
      </c>
      <c r="AA285" s="24">
        <v>572010</v>
      </c>
      <c r="AB285" s="24">
        <v>0</v>
      </c>
      <c r="AC285" s="24"/>
      <c r="AD285" s="24"/>
      <c r="AE285" s="24"/>
      <c r="AF285" s="24"/>
    </row>
    <row r="286" spans="1:32" ht="62.4" x14ac:dyDescent="0.3">
      <c r="A286" s="23">
        <v>41365</v>
      </c>
      <c r="B286" s="24" t="s">
        <v>571</v>
      </c>
      <c r="C286" s="24">
        <v>30264</v>
      </c>
      <c r="D286" s="24" t="s">
        <v>585</v>
      </c>
      <c r="E286" s="24" t="s">
        <v>586</v>
      </c>
      <c r="F286" s="24" t="s">
        <v>574</v>
      </c>
      <c r="G286" s="24">
        <v>3059387</v>
      </c>
      <c r="H286" s="25">
        <v>7340</v>
      </c>
      <c r="I286" s="26">
        <v>7340</v>
      </c>
      <c r="J286" s="24" t="s">
        <v>798</v>
      </c>
      <c r="K286" s="24" t="s">
        <v>724</v>
      </c>
      <c r="L286" s="24" t="s">
        <v>577</v>
      </c>
      <c r="M286" s="24" t="s">
        <v>589</v>
      </c>
      <c r="N286" s="24" t="s">
        <v>590</v>
      </c>
      <c r="O286" s="24">
        <v>269424</v>
      </c>
      <c r="P286" s="25"/>
      <c r="Q286" s="25"/>
      <c r="R286" s="24" t="s">
        <v>948</v>
      </c>
      <c r="S286" s="24" t="s">
        <v>581</v>
      </c>
      <c r="T286" s="27">
        <v>41388</v>
      </c>
      <c r="U286" s="25">
        <v>3000219</v>
      </c>
      <c r="V286" s="24" t="s">
        <v>582</v>
      </c>
      <c r="W286" s="24" t="s">
        <v>583</v>
      </c>
      <c r="X286" s="24" t="s">
        <v>584</v>
      </c>
      <c r="Y286" s="24">
        <v>4020</v>
      </c>
      <c r="Z286" s="24">
        <v>204255</v>
      </c>
      <c r="AA286" s="24">
        <v>572010</v>
      </c>
      <c r="AB286" s="24">
        <v>0</v>
      </c>
      <c r="AC286" s="24"/>
      <c r="AD286" s="24"/>
      <c r="AE286" s="24"/>
      <c r="AF286" s="24"/>
    </row>
    <row r="287" spans="1:32" ht="62.4" x14ac:dyDescent="0.3">
      <c r="A287" s="23">
        <v>41365</v>
      </c>
      <c r="B287" s="24" t="s">
        <v>571</v>
      </c>
      <c r="C287" s="24">
        <v>30264</v>
      </c>
      <c r="D287" s="24" t="s">
        <v>585</v>
      </c>
      <c r="E287" s="24" t="s">
        <v>586</v>
      </c>
      <c r="F287" s="24" t="s">
        <v>574</v>
      </c>
      <c r="G287" s="24">
        <v>3059387</v>
      </c>
      <c r="H287" s="25">
        <v>3850</v>
      </c>
      <c r="I287" s="26">
        <v>3850</v>
      </c>
      <c r="J287" s="24" t="s">
        <v>798</v>
      </c>
      <c r="K287" s="24" t="s">
        <v>724</v>
      </c>
      <c r="L287" s="24" t="s">
        <v>577</v>
      </c>
      <c r="M287" s="24" t="s">
        <v>589</v>
      </c>
      <c r="N287" s="24" t="s">
        <v>590</v>
      </c>
      <c r="O287" s="24">
        <v>269424</v>
      </c>
      <c r="P287" s="25"/>
      <c r="Q287" s="25"/>
      <c r="R287" s="24" t="s">
        <v>949</v>
      </c>
      <c r="S287" s="24" t="s">
        <v>581</v>
      </c>
      <c r="T287" s="27">
        <v>41388</v>
      </c>
      <c r="U287" s="25">
        <v>3000220</v>
      </c>
      <c r="V287" s="24" t="s">
        <v>582</v>
      </c>
      <c r="W287" s="24" t="s">
        <v>583</v>
      </c>
      <c r="X287" s="24" t="s">
        <v>584</v>
      </c>
      <c r="Y287" s="24">
        <v>4020</v>
      </c>
      <c r="Z287" s="24">
        <v>204255</v>
      </c>
      <c r="AA287" s="24">
        <v>572010</v>
      </c>
      <c r="AB287" s="24">
        <v>0</v>
      </c>
      <c r="AC287" s="24"/>
      <c r="AD287" s="24"/>
      <c r="AE287" s="24"/>
      <c r="AF287" s="24"/>
    </row>
    <row r="288" spans="1:32" ht="62.4" x14ac:dyDescent="0.3">
      <c r="A288" s="23">
        <v>41365</v>
      </c>
      <c r="B288" s="24" t="s">
        <v>571</v>
      </c>
      <c r="C288" s="24">
        <v>30264</v>
      </c>
      <c r="D288" s="24" t="s">
        <v>585</v>
      </c>
      <c r="E288" s="24" t="s">
        <v>586</v>
      </c>
      <c r="F288" s="24" t="s">
        <v>574</v>
      </c>
      <c r="G288" s="24">
        <v>3077095</v>
      </c>
      <c r="H288" s="25">
        <v>3440</v>
      </c>
      <c r="I288" s="26">
        <v>3440</v>
      </c>
      <c r="J288" s="24" t="s">
        <v>849</v>
      </c>
      <c r="K288" s="24" t="s">
        <v>588</v>
      </c>
      <c r="L288" s="24" t="s">
        <v>577</v>
      </c>
      <c r="M288" s="24" t="s">
        <v>589</v>
      </c>
      <c r="N288" s="24" t="s">
        <v>590</v>
      </c>
      <c r="O288" s="24">
        <v>270307</v>
      </c>
      <c r="P288" s="25"/>
      <c r="Q288" s="25"/>
      <c r="R288" s="24" t="s">
        <v>950</v>
      </c>
      <c r="S288" s="24" t="s">
        <v>581</v>
      </c>
      <c r="T288" s="27">
        <v>41394</v>
      </c>
      <c r="U288" s="25">
        <v>3020445</v>
      </c>
      <c r="V288" s="24" t="s">
        <v>582</v>
      </c>
      <c r="W288" s="24" t="s">
        <v>583</v>
      </c>
      <c r="X288" s="24" t="s">
        <v>584</v>
      </c>
      <c r="Y288" s="24">
        <v>4020</v>
      </c>
      <c r="Z288" s="24">
        <v>204255</v>
      </c>
      <c r="AA288" s="24">
        <v>572010</v>
      </c>
      <c r="AB288" s="24">
        <v>0</v>
      </c>
      <c r="AC288" s="24"/>
      <c r="AD288" s="24"/>
      <c r="AE288" s="24"/>
      <c r="AF288" s="24"/>
    </row>
    <row r="289" spans="1:32" ht="62.4" x14ac:dyDescent="0.3">
      <c r="A289" s="23">
        <v>41395</v>
      </c>
      <c r="B289" s="24" t="s">
        <v>571</v>
      </c>
      <c r="C289" s="24">
        <v>30264</v>
      </c>
      <c r="D289" s="24" t="s">
        <v>851</v>
      </c>
      <c r="E289" s="24" t="s">
        <v>586</v>
      </c>
      <c r="F289" s="24" t="s">
        <v>574</v>
      </c>
      <c r="G289" s="24">
        <v>3105255</v>
      </c>
      <c r="H289" s="25">
        <v>935</v>
      </c>
      <c r="I289" s="25">
        <v>935</v>
      </c>
      <c r="J289" s="24" t="s">
        <v>857</v>
      </c>
      <c r="K289" s="24" t="s">
        <v>853</v>
      </c>
      <c r="L289" s="24" t="s">
        <v>577</v>
      </c>
      <c r="M289" s="24" t="s">
        <v>589</v>
      </c>
      <c r="N289" s="24" t="s">
        <v>854</v>
      </c>
      <c r="O289" s="24">
        <v>273540</v>
      </c>
      <c r="P289" s="25"/>
      <c r="Q289" s="25"/>
      <c r="R289" s="24" t="s">
        <v>951</v>
      </c>
      <c r="S289" s="24" t="s">
        <v>581</v>
      </c>
      <c r="T289" s="27">
        <v>41402</v>
      </c>
      <c r="U289" s="25">
        <v>3055290</v>
      </c>
      <c r="V289" s="24" t="s">
        <v>582</v>
      </c>
      <c r="W289" s="24" t="s">
        <v>583</v>
      </c>
      <c r="X289" s="24" t="s">
        <v>584</v>
      </c>
      <c r="Y289" s="24">
        <v>4091</v>
      </c>
      <c r="Z289" s="24">
        <v>204411</v>
      </c>
      <c r="AA289" s="24">
        <v>572010</v>
      </c>
      <c r="AB289" s="24">
        <v>0</v>
      </c>
      <c r="AC289" s="24"/>
      <c r="AD289" s="24"/>
      <c r="AE289" s="24"/>
      <c r="AF289" s="24"/>
    </row>
    <row r="290" spans="1:32" ht="62.4" x14ac:dyDescent="0.3">
      <c r="A290" s="23">
        <v>41395</v>
      </c>
      <c r="B290" s="24" t="s">
        <v>571</v>
      </c>
      <c r="C290" s="24">
        <v>30264</v>
      </c>
      <c r="D290" s="24" t="s">
        <v>851</v>
      </c>
      <c r="E290" s="24" t="s">
        <v>573</v>
      </c>
      <c r="F290" s="24" t="s">
        <v>574</v>
      </c>
      <c r="G290" s="24">
        <v>3105255</v>
      </c>
      <c r="H290" s="25">
        <v>1661.89</v>
      </c>
      <c r="I290" s="26">
        <v>1661.89</v>
      </c>
      <c r="J290" s="24" t="s">
        <v>932</v>
      </c>
      <c r="K290" s="24" t="s">
        <v>576</v>
      </c>
      <c r="L290" s="24" t="s">
        <v>577</v>
      </c>
      <c r="M290" s="24" t="s">
        <v>578</v>
      </c>
      <c r="N290" s="24" t="s">
        <v>854</v>
      </c>
      <c r="O290" s="24">
        <v>281320</v>
      </c>
      <c r="P290" s="25"/>
      <c r="Q290" s="25"/>
      <c r="R290" s="24" t="s">
        <v>952</v>
      </c>
      <c r="S290" s="24" t="s">
        <v>581</v>
      </c>
      <c r="T290" s="27">
        <v>41402</v>
      </c>
      <c r="U290" s="25">
        <v>3055477</v>
      </c>
      <c r="V290" s="24" t="s">
        <v>582</v>
      </c>
      <c r="W290" s="24" t="s">
        <v>583</v>
      </c>
      <c r="X290" s="24" t="s">
        <v>584</v>
      </c>
      <c r="Y290" s="24">
        <v>4091</v>
      </c>
      <c r="Z290" s="24">
        <v>204411</v>
      </c>
      <c r="AA290" s="24">
        <v>630120</v>
      </c>
      <c r="AB290" s="24">
        <v>0</v>
      </c>
      <c r="AC290" s="24"/>
      <c r="AD290" s="24"/>
      <c r="AE290" s="24"/>
      <c r="AF290" s="24"/>
    </row>
    <row r="291" spans="1:32" ht="62.4" x14ac:dyDescent="0.3">
      <c r="A291" s="23">
        <v>41395</v>
      </c>
      <c r="B291" s="24" t="s">
        <v>571</v>
      </c>
      <c r="C291" s="24">
        <v>30264</v>
      </c>
      <c r="D291" s="24" t="s">
        <v>572</v>
      </c>
      <c r="E291" s="24" t="s">
        <v>573</v>
      </c>
      <c r="F291" s="24" t="s">
        <v>574</v>
      </c>
      <c r="G291" s="24">
        <v>3168661</v>
      </c>
      <c r="H291" s="25">
        <v>2112</v>
      </c>
      <c r="I291" s="26">
        <v>2112</v>
      </c>
      <c r="J291" s="24" t="s">
        <v>831</v>
      </c>
      <c r="K291" s="24" t="s">
        <v>576</v>
      </c>
      <c r="L291" s="24" t="s">
        <v>577</v>
      </c>
      <c r="M291" s="24" t="s">
        <v>578</v>
      </c>
      <c r="N291" s="24" t="s">
        <v>579</v>
      </c>
      <c r="O291" s="24">
        <v>269422</v>
      </c>
      <c r="P291" s="25"/>
      <c r="Q291" s="25"/>
      <c r="R291" s="24" t="s">
        <v>953</v>
      </c>
      <c r="S291" s="24" t="s">
        <v>581</v>
      </c>
      <c r="T291" s="27">
        <v>41423</v>
      </c>
      <c r="U291" s="25">
        <v>3112893</v>
      </c>
      <c r="V291" s="24" t="s">
        <v>582</v>
      </c>
      <c r="W291" s="24" t="s">
        <v>583</v>
      </c>
      <c r="X291" s="24" t="s">
        <v>584</v>
      </c>
      <c r="Y291" s="24">
        <v>4020</v>
      </c>
      <c r="Z291" s="24">
        <v>204255</v>
      </c>
      <c r="AA291" s="24">
        <v>630120</v>
      </c>
      <c r="AB291" s="24">
        <v>0</v>
      </c>
      <c r="AC291" s="24"/>
      <c r="AD291" s="24"/>
      <c r="AE291" s="24"/>
      <c r="AF291" s="24"/>
    </row>
    <row r="292" spans="1:32" ht="62.4" x14ac:dyDescent="0.3">
      <c r="A292" s="23">
        <v>41395</v>
      </c>
      <c r="B292" s="24" t="s">
        <v>571</v>
      </c>
      <c r="C292" s="24">
        <v>30264</v>
      </c>
      <c r="D292" s="24" t="s">
        <v>625</v>
      </c>
      <c r="E292" s="24" t="s">
        <v>586</v>
      </c>
      <c r="F292" s="24" t="s">
        <v>574</v>
      </c>
      <c r="G292" s="24">
        <v>3130562</v>
      </c>
      <c r="H292" s="25">
        <v>660</v>
      </c>
      <c r="I292" s="25">
        <v>660</v>
      </c>
      <c r="J292" s="24" t="s">
        <v>794</v>
      </c>
      <c r="K292" s="24" t="s">
        <v>627</v>
      </c>
      <c r="L292" s="24" t="s">
        <v>577</v>
      </c>
      <c r="M292" s="24" t="s">
        <v>589</v>
      </c>
      <c r="N292" s="24" t="s">
        <v>628</v>
      </c>
      <c r="O292" s="24">
        <v>269473</v>
      </c>
      <c r="P292" s="25"/>
      <c r="Q292" s="25"/>
      <c r="R292" s="24" t="s">
        <v>954</v>
      </c>
      <c r="S292" s="24" t="s">
        <v>581</v>
      </c>
      <c r="T292" s="27">
        <v>41410</v>
      </c>
      <c r="U292" s="25">
        <v>3076475</v>
      </c>
      <c r="V292" s="24" t="s">
        <v>582</v>
      </c>
      <c r="W292" s="24" t="s">
        <v>583</v>
      </c>
      <c r="X292" s="24" t="s">
        <v>584</v>
      </c>
      <c r="Y292" s="24">
        <v>4020</v>
      </c>
      <c r="Z292" s="24">
        <v>204255</v>
      </c>
      <c r="AA292" s="24">
        <v>572010</v>
      </c>
      <c r="AB292" s="24">
        <v>0</v>
      </c>
      <c r="AC292" s="24"/>
      <c r="AD292" s="24"/>
      <c r="AE292" s="24"/>
      <c r="AF292" s="24"/>
    </row>
    <row r="293" spans="1:32" ht="62.4" x14ac:dyDescent="0.3">
      <c r="A293" s="23">
        <v>41395</v>
      </c>
      <c r="B293" s="24" t="s">
        <v>571</v>
      </c>
      <c r="C293" s="24">
        <v>30264</v>
      </c>
      <c r="D293" s="24" t="s">
        <v>625</v>
      </c>
      <c r="E293" s="24" t="s">
        <v>586</v>
      </c>
      <c r="F293" s="24" t="s">
        <v>574</v>
      </c>
      <c r="G293" s="24">
        <v>3168661</v>
      </c>
      <c r="H293" s="25">
        <v>1440</v>
      </c>
      <c r="I293" s="26">
        <v>1440</v>
      </c>
      <c r="J293" s="24" t="s">
        <v>794</v>
      </c>
      <c r="K293" s="24" t="s">
        <v>627</v>
      </c>
      <c r="L293" s="24" t="s">
        <v>577</v>
      </c>
      <c r="M293" s="24" t="s">
        <v>589</v>
      </c>
      <c r="N293" s="24" t="s">
        <v>628</v>
      </c>
      <c r="O293" s="24">
        <v>269473</v>
      </c>
      <c r="P293" s="25"/>
      <c r="Q293" s="25"/>
      <c r="R293" s="24" t="s">
        <v>955</v>
      </c>
      <c r="S293" s="24" t="s">
        <v>581</v>
      </c>
      <c r="T293" s="27">
        <v>41423</v>
      </c>
      <c r="U293" s="25">
        <v>3112895</v>
      </c>
      <c r="V293" s="24" t="s">
        <v>582</v>
      </c>
      <c r="W293" s="24" t="s">
        <v>583</v>
      </c>
      <c r="X293" s="24" t="s">
        <v>584</v>
      </c>
      <c r="Y293" s="24">
        <v>4020</v>
      </c>
      <c r="Z293" s="24">
        <v>204255</v>
      </c>
      <c r="AA293" s="24">
        <v>572010</v>
      </c>
      <c r="AB293" s="24">
        <v>0</v>
      </c>
      <c r="AC293" s="24"/>
      <c r="AD293" s="24"/>
      <c r="AE293" s="24"/>
      <c r="AF293" s="24"/>
    </row>
    <row r="294" spans="1:32" ht="62.4" x14ac:dyDescent="0.3">
      <c r="A294" s="23">
        <v>41395</v>
      </c>
      <c r="B294" s="24" t="s">
        <v>571</v>
      </c>
      <c r="C294" s="24">
        <v>30264</v>
      </c>
      <c r="D294" s="24" t="s">
        <v>625</v>
      </c>
      <c r="E294" s="24" t="s">
        <v>586</v>
      </c>
      <c r="F294" s="24" t="s">
        <v>574</v>
      </c>
      <c r="G294" s="24">
        <v>3168661</v>
      </c>
      <c r="H294" s="25">
        <v>1120</v>
      </c>
      <c r="I294" s="26">
        <v>1120</v>
      </c>
      <c r="J294" s="24" t="s">
        <v>794</v>
      </c>
      <c r="K294" s="24" t="s">
        <v>627</v>
      </c>
      <c r="L294" s="24" t="s">
        <v>577</v>
      </c>
      <c r="M294" s="24" t="s">
        <v>589</v>
      </c>
      <c r="N294" s="24" t="s">
        <v>628</v>
      </c>
      <c r="O294" s="24">
        <v>269473</v>
      </c>
      <c r="P294" s="25"/>
      <c r="Q294" s="25"/>
      <c r="R294" s="24" t="s">
        <v>956</v>
      </c>
      <c r="S294" s="24" t="s">
        <v>581</v>
      </c>
      <c r="T294" s="27">
        <v>41423</v>
      </c>
      <c r="U294" s="25">
        <v>3112896</v>
      </c>
      <c r="V294" s="24" t="s">
        <v>582</v>
      </c>
      <c r="W294" s="24" t="s">
        <v>583</v>
      </c>
      <c r="X294" s="24" t="s">
        <v>584</v>
      </c>
      <c r="Y294" s="24">
        <v>4020</v>
      </c>
      <c r="Z294" s="24">
        <v>204255</v>
      </c>
      <c r="AA294" s="24">
        <v>572010</v>
      </c>
      <c r="AB294" s="24">
        <v>0</v>
      </c>
      <c r="AC294" s="24"/>
      <c r="AD294" s="24"/>
      <c r="AE294" s="24"/>
      <c r="AF294" s="24"/>
    </row>
    <row r="295" spans="1:32" ht="62.4" x14ac:dyDescent="0.3">
      <c r="A295" s="23">
        <v>41395</v>
      </c>
      <c r="B295" s="24" t="s">
        <v>571</v>
      </c>
      <c r="C295" s="24">
        <v>30264</v>
      </c>
      <c r="D295" s="24" t="s">
        <v>585</v>
      </c>
      <c r="E295" s="24" t="s">
        <v>934</v>
      </c>
      <c r="F295" s="24" t="s">
        <v>574</v>
      </c>
      <c r="G295" s="24">
        <v>3168661</v>
      </c>
      <c r="H295" s="25">
        <v>6179.75</v>
      </c>
      <c r="I295" s="26">
        <v>6179.75</v>
      </c>
      <c r="J295" s="24" t="s">
        <v>957</v>
      </c>
      <c r="K295" s="24" t="s">
        <v>674</v>
      </c>
      <c r="L295" s="24" t="s">
        <v>577</v>
      </c>
      <c r="M295" s="24" t="s">
        <v>589</v>
      </c>
      <c r="N295" s="24" t="s">
        <v>590</v>
      </c>
      <c r="O295" s="24">
        <v>288664</v>
      </c>
      <c r="P295" s="25"/>
      <c r="Q295" s="25"/>
      <c r="R295" s="24" t="s">
        <v>958</v>
      </c>
      <c r="S295" s="24" t="s">
        <v>581</v>
      </c>
      <c r="T295" s="27">
        <v>41423</v>
      </c>
      <c r="U295" s="25">
        <v>3113287</v>
      </c>
      <c r="V295" s="24" t="s">
        <v>582</v>
      </c>
      <c r="W295" s="24" t="s">
        <v>583</v>
      </c>
      <c r="X295" s="24" t="s">
        <v>584</v>
      </c>
      <c r="Y295" s="24">
        <v>4091</v>
      </c>
      <c r="Z295" s="24">
        <v>204411</v>
      </c>
      <c r="AA295" s="24">
        <v>572210</v>
      </c>
      <c r="AB295" s="24">
        <v>0</v>
      </c>
      <c r="AC295" s="24"/>
      <c r="AD295" s="24"/>
      <c r="AE295" s="24"/>
      <c r="AF295" s="24"/>
    </row>
    <row r="296" spans="1:32" ht="62.4" x14ac:dyDescent="0.3">
      <c r="A296" s="23">
        <v>41395</v>
      </c>
      <c r="B296" s="24" t="s">
        <v>571</v>
      </c>
      <c r="C296" s="24">
        <v>30264</v>
      </c>
      <c r="D296" s="24" t="s">
        <v>585</v>
      </c>
      <c r="E296" s="24" t="s">
        <v>934</v>
      </c>
      <c r="F296" s="24" t="s">
        <v>574</v>
      </c>
      <c r="G296" s="24">
        <v>3168661</v>
      </c>
      <c r="H296" s="25">
        <v>29530.25</v>
      </c>
      <c r="I296" s="26">
        <v>29530.25</v>
      </c>
      <c r="J296" s="24" t="s">
        <v>959</v>
      </c>
      <c r="K296" s="24" t="s">
        <v>674</v>
      </c>
      <c r="L296" s="24" t="s">
        <v>577</v>
      </c>
      <c r="M296" s="24" t="s">
        <v>589</v>
      </c>
      <c r="N296" s="24" t="s">
        <v>590</v>
      </c>
      <c r="O296" s="24">
        <v>288664</v>
      </c>
      <c r="P296" s="25"/>
      <c r="Q296" s="25"/>
      <c r="R296" s="24" t="s">
        <v>960</v>
      </c>
      <c r="S296" s="24" t="s">
        <v>581</v>
      </c>
      <c r="T296" s="27">
        <v>41423</v>
      </c>
      <c r="U296" s="25">
        <v>3113288</v>
      </c>
      <c r="V296" s="24" t="s">
        <v>582</v>
      </c>
      <c r="W296" s="24" t="s">
        <v>583</v>
      </c>
      <c r="X296" s="24" t="s">
        <v>584</v>
      </c>
      <c r="Y296" s="24">
        <v>4091</v>
      </c>
      <c r="Z296" s="24">
        <v>204411</v>
      </c>
      <c r="AA296" s="24">
        <v>572210</v>
      </c>
      <c r="AB296" s="24">
        <v>0</v>
      </c>
      <c r="AC296" s="24"/>
      <c r="AD296" s="24"/>
      <c r="AE296" s="24"/>
      <c r="AF296" s="24"/>
    </row>
    <row r="297" spans="1:32" ht="62.4" x14ac:dyDescent="0.3">
      <c r="A297" s="23">
        <v>41395</v>
      </c>
      <c r="B297" s="24" t="s">
        <v>571</v>
      </c>
      <c r="C297" s="24">
        <v>30264</v>
      </c>
      <c r="D297" s="24" t="s">
        <v>585</v>
      </c>
      <c r="E297" s="24" t="s">
        <v>934</v>
      </c>
      <c r="F297" s="24" t="s">
        <v>574</v>
      </c>
      <c r="G297" s="24">
        <v>3168661</v>
      </c>
      <c r="H297" s="25">
        <v>214.5</v>
      </c>
      <c r="I297" s="25">
        <v>214.5</v>
      </c>
      <c r="J297" s="24" t="s">
        <v>961</v>
      </c>
      <c r="K297" s="24" t="s">
        <v>674</v>
      </c>
      <c r="L297" s="24" t="s">
        <v>577</v>
      </c>
      <c r="M297" s="24" t="s">
        <v>589</v>
      </c>
      <c r="N297" s="24" t="s">
        <v>590</v>
      </c>
      <c r="O297" s="24">
        <v>288664</v>
      </c>
      <c r="P297" s="25"/>
      <c r="Q297" s="25"/>
      <c r="R297" s="24" t="s">
        <v>962</v>
      </c>
      <c r="S297" s="24" t="s">
        <v>581</v>
      </c>
      <c r="T297" s="27">
        <v>41423</v>
      </c>
      <c r="U297" s="25">
        <v>3113289</v>
      </c>
      <c r="V297" s="24" t="s">
        <v>582</v>
      </c>
      <c r="W297" s="24" t="s">
        <v>583</v>
      </c>
      <c r="X297" s="24" t="s">
        <v>584</v>
      </c>
      <c r="Y297" s="24">
        <v>4091</v>
      </c>
      <c r="Z297" s="24">
        <v>204411</v>
      </c>
      <c r="AA297" s="24">
        <v>572210</v>
      </c>
      <c r="AB297" s="24">
        <v>0</v>
      </c>
      <c r="AC297" s="24"/>
      <c r="AD297" s="24"/>
      <c r="AE297" s="24"/>
      <c r="AF297" s="24"/>
    </row>
    <row r="298" spans="1:32" ht="62.4" x14ac:dyDescent="0.3">
      <c r="A298" s="23">
        <v>41395</v>
      </c>
      <c r="B298" s="24" t="s">
        <v>571</v>
      </c>
      <c r="C298" s="24">
        <v>30264</v>
      </c>
      <c r="D298" s="24" t="s">
        <v>585</v>
      </c>
      <c r="E298" s="24" t="s">
        <v>586</v>
      </c>
      <c r="F298" s="24" t="s">
        <v>574</v>
      </c>
      <c r="G298" s="24">
        <v>3101854</v>
      </c>
      <c r="H298" s="25">
        <v>1107.75</v>
      </c>
      <c r="I298" s="26">
        <v>1107.75</v>
      </c>
      <c r="J298" s="24" t="s">
        <v>963</v>
      </c>
      <c r="K298" s="24" t="s">
        <v>600</v>
      </c>
      <c r="L298" s="24" t="s">
        <v>577</v>
      </c>
      <c r="M298" s="24" t="s">
        <v>589</v>
      </c>
      <c r="N298" s="24" t="s">
        <v>590</v>
      </c>
      <c r="O298" s="24">
        <v>280273</v>
      </c>
      <c r="P298" s="25"/>
      <c r="Q298" s="25"/>
      <c r="R298" s="24" t="s">
        <v>964</v>
      </c>
      <c r="S298" s="24" t="s">
        <v>581</v>
      </c>
      <c r="T298" s="27">
        <v>41401</v>
      </c>
      <c r="U298" s="25">
        <v>3051965</v>
      </c>
      <c r="V298" s="24" t="s">
        <v>582</v>
      </c>
      <c r="W298" s="24" t="s">
        <v>583</v>
      </c>
      <c r="X298" s="24" t="s">
        <v>584</v>
      </c>
      <c r="Y298" s="24">
        <v>4091</v>
      </c>
      <c r="Z298" s="24">
        <v>204411</v>
      </c>
      <c r="AA298" s="24">
        <v>572010</v>
      </c>
      <c r="AB298" s="24">
        <v>0</v>
      </c>
      <c r="AC298" s="24"/>
      <c r="AD298" s="24"/>
      <c r="AE298" s="24"/>
      <c r="AF298" s="24"/>
    </row>
    <row r="299" spans="1:32" ht="62.4" x14ac:dyDescent="0.3">
      <c r="A299" s="23">
        <v>41395</v>
      </c>
      <c r="B299" s="24" t="s">
        <v>571</v>
      </c>
      <c r="C299" s="24">
        <v>30264</v>
      </c>
      <c r="D299" s="24" t="s">
        <v>585</v>
      </c>
      <c r="E299" s="24" t="s">
        <v>586</v>
      </c>
      <c r="F299" s="24" t="s">
        <v>574</v>
      </c>
      <c r="G299" s="24">
        <v>3101854</v>
      </c>
      <c r="H299" s="25">
        <v>997.97</v>
      </c>
      <c r="I299" s="25">
        <v>997.97</v>
      </c>
      <c r="J299" s="24" t="s">
        <v>965</v>
      </c>
      <c r="K299" s="24" t="s">
        <v>600</v>
      </c>
      <c r="L299" s="24" t="s">
        <v>577</v>
      </c>
      <c r="M299" s="24" t="s">
        <v>589</v>
      </c>
      <c r="N299" s="24" t="s">
        <v>590</v>
      </c>
      <c r="O299" s="24">
        <v>280273</v>
      </c>
      <c r="P299" s="25"/>
      <c r="Q299" s="25"/>
      <c r="R299" s="24" t="s">
        <v>964</v>
      </c>
      <c r="S299" s="24" t="s">
        <v>581</v>
      </c>
      <c r="T299" s="27">
        <v>41401</v>
      </c>
      <c r="U299" s="25">
        <v>3051966</v>
      </c>
      <c r="V299" s="24" t="s">
        <v>582</v>
      </c>
      <c r="W299" s="24" t="s">
        <v>583</v>
      </c>
      <c r="X299" s="24" t="s">
        <v>584</v>
      </c>
      <c r="Y299" s="24">
        <v>4091</v>
      </c>
      <c r="Z299" s="24">
        <v>204411</v>
      </c>
      <c r="AA299" s="24">
        <v>572010</v>
      </c>
      <c r="AB299" s="24">
        <v>0</v>
      </c>
      <c r="AC299" s="24"/>
      <c r="AD299" s="24"/>
      <c r="AE299" s="24"/>
      <c r="AF299" s="24"/>
    </row>
    <row r="300" spans="1:32" ht="62.4" x14ac:dyDescent="0.3">
      <c r="A300" s="23">
        <v>41395</v>
      </c>
      <c r="B300" s="24" t="s">
        <v>571</v>
      </c>
      <c r="C300" s="24">
        <v>30264</v>
      </c>
      <c r="D300" s="24" t="s">
        <v>585</v>
      </c>
      <c r="E300" s="24" t="s">
        <v>586</v>
      </c>
      <c r="F300" s="24" t="s">
        <v>574</v>
      </c>
      <c r="G300" s="24">
        <v>3119977</v>
      </c>
      <c r="H300" s="25">
        <v>1941.13</v>
      </c>
      <c r="I300" s="26">
        <v>1941.13</v>
      </c>
      <c r="J300" s="24" t="s">
        <v>798</v>
      </c>
      <c r="K300" s="24" t="s">
        <v>724</v>
      </c>
      <c r="L300" s="24" t="s">
        <v>577</v>
      </c>
      <c r="M300" s="24" t="s">
        <v>589</v>
      </c>
      <c r="N300" s="24" t="s">
        <v>590</v>
      </c>
      <c r="O300" s="24">
        <v>269424</v>
      </c>
      <c r="P300" s="25"/>
      <c r="Q300" s="25"/>
      <c r="R300" s="24" t="s">
        <v>966</v>
      </c>
      <c r="S300" s="24" t="s">
        <v>581</v>
      </c>
      <c r="T300" s="27">
        <v>41407</v>
      </c>
      <c r="U300" s="25">
        <v>3062563</v>
      </c>
      <c r="V300" s="24" t="s">
        <v>582</v>
      </c>
      <c r="W300" s="24" t="s">
        <v>583</v>
      </c>
      <c r="X300" s="24" t="s">
        <v>584</v>
      </c>
      <c r="Y300" s="24">
        <v>4020</v>
      </c>
      <c r="Z300" s="24">
        <v>204255</v>
      </c>
      <c r="AA300" s="24">
        <v>572010</v>
      </c>
      <c r="AB300" s="24">
        <v>0</v>
      </c>
      <c r="AC300" s="24"/>
      <c r="AD300" s="24"/>
      <c r="AE300" s="24"/>
      <c r="AF300" s="24"/>
    </row>
    <row r="301" spans="1:32" ht="62.4" x14ac:dyDescent="0.3">
      <c r="A301" s="23">
        <v>41395</v>
      </c>
      <c r="B301" s="24" t="s">
        <v>571</v>
      </c>
      <c r="C301" s="24">
        <v>30264</v>
      </c>
      <c r="D301" s="24" t="s">
        <v>585</v>
      </c>
      <c r="E301" s="24" t="s">
        <v>586</v>
      </c>
      <c r="F301" s="24" t="s">
        <v>574</v>
      </c>
      <c r="G301" s="24">
        <v>3119977</v>
      </c>
      <c r="H301" s="25">
        <v>25404.7</v>
      </c>
      <c r="I301" s="26">
        <v>25404.7</v>
      </c>
      <c r="J301" s="24" t="s">
        <v>798</v>
      </c>
      <c r="K301" s="24" t="s">
        <v>724</v>
      </c>
      <c r="L301" s="24" t="s">
        <v>577</v>
      </c>
      <c r="M301" s="24" t="s">
        <v>589</v>
      </c>
      <c r="N301" s="24" t="s">
        <v>590</v>
      </c>
      <c r="O301" s="24">
        <v>269424</v>
      </c>
      <c r="P301" s="25"/>
      <c r="Q301" s="25"/>
      <c r="R301" s="24" t="s">
        <v>967</v>
      </c>
      <c r="S301" s="24" t="s">
        <v>581</v>
      </c>
      <c r="T301" s="27">
        <v>41407</v>
      </c>
      <c r="U301" s="25">
        <v>3062564</v>
      </c>
      <c r="V301" s="24" t="s">
        <v>582</v>
      </c>
      <c r="W301" s="24" t="s">
        <v>583</v>
      </c>
      <c r="X301" s="24" t="s">
        <v>584</v>
      </c>
      <c r="Y301" s="24">
        <v>4020</v>
      </c>
      <c r="Z301" s="24">
        <v>204255</v>
      </c>
      <c r="AA301" s="24">
        <v>572010</v>
      </c>
      <c r="AB301" s="24">
        <v>0</v>
      </c>
      <c r="AC301" s="24"/>
      <c r="AD301" s="24"/>
      <c r="AE301" s="24"/>
      <c r="AF301" s="24"/>
    </row>
    <row r="302" spans="1:32" ht="62.4" x14ac:dyDescent="0.3">
      <c r="A302" s="23">
        <v>41395</v>
      </c>
      <c r="B302" s="24" t="s">
        <v>571</v>
      </c>
      <c r="C302" s="24">
        <v>30264</v>
      </c>
      <c r="D302" s="24" t="s">
        <v>585</v>
      </c>
      <c r="E302" s="24" t="s">
        <v>586</v>
      </c>
      <c r="F302" s="24" t="s">
        <v>574</v>
      </c>
      <c r="G302" s="24">
        <v>3130562</v>
      </c>
      <c r="H302" s="25">
        <v>3311.88</v>
      </c>
      <c r="I302" s="26">
        <v>3311.88</v>
      </c>
      <c r="J302" s="24" t="s">
        <v>798</v>
      </c>
      <c r="K302" s="24" t="s">
        <v>724</v>
      </c>
      <c r="L302" s="24" t="s">
        <v>577</v>
      </c>
      <c r="M302" s="24" t="s">
        <v>589</v>
      </c>
      <c r="N302" s="24" t="s">
        <v>590</v>
      </c>
      <c r="O302" s="24">
        <v>269424</v>
      </c>
      <c r="P302" s="25"/>
      <c r="Q302" s="25"/>
      <c r="R302" s="24" t="s">
        <v>968</v>
      </c>
      <c r="S302" s="24" t="s">
        <v>581</v>
      </c>
      <c r="T302" s="27">
        <v>41410</v>
      </c>
      <c r="U302" s="25">
        <v>3076474</v>
      </c>
      <c r="V302" s="24" t="s">
        <v>582</v>
      </c>
      <c r="W302" s="24" t="s">
        <v>583</v>
      </c>
      <c r="X302" s="24" t="s">
        <v>584</v>
      </c>
      <c r="Y302" s="24">
        <v>4020</v>
      </c>
      <c r="Z302" s="24">
        <v>204255</v>
      </c>
      <c r="AA302" s="24">
        <v>572010</v>
      </c>
      <c r="AB302" s="24">
        <v>0</v>
      </c>
      <c r="AC302" s="24"/>
      <c r="AD302" s="24"/>
      <c r="AE302" s="24"/>
      <c r="AF302" s="24"/>
    </row>
    <row r="303" spans="1:32" ht="62.4" x14ac:dyDescent="0.3">
      <c r="A303" s="23">
        <v>41395</v>
      </c>
      <c r="B303" s="24" t="s">
        <v>571</v>
      </c>
      <c r="C303" s="24">
        <v>30264</v>
      </c>
      <c r="D303" s="24" t="s">
        <v>585</v>
      </c>
      <c r="E303" s="24" t="s">
        <v>586</v>
      </c>
      <c r="F303" s="24" t="s">
        <v>574</v>
      </c>
      <c r="G303" s="24">
        <v>3177757</v>
      </c>
      <c r="H303" s="25">
        <v>3850</v>
      </c>
      <c r="I303" s="26">
        <v>3850</v>
      </c>
      <c r="J303" s="24" t="s">
        <v>798</v>
      </c>
      <c r="K303" s="24" t="s">
        <v>724</v>
      </c>
      <c r="L303" s="24" t="s">
        <v>633</v>
      </c>
      <c r="M303" s="24" t="s">
        <v>589</v>
      </c>
      <c r="N303" s="24" t="s">
        <v>590</v>
      </c>
      <c r="O303" s="24">
        <v>269424</v>
      </c>
      <c r="P303" s="25"/>
      <c r="Q303" s="25"/>
      <c r="R303" s="24" t="s">
        <v>969</v>
      </c>
      <c r="S303" s="24" t="s">
        <v>581</v>
      </c>
      <c r="T303" s="27">
        <v>41425</v>
      </c>
      <c r="U303" s="25">
        <v>3122178</v>
      </c>
      <c r="V303" s="24" t="s">
        <v>582</v>
      </c>
      <c r="W303" s="24" t="s">
        <v>583</v>
      </c>
      <c r="X303" s="24" t="s">
        <v>584</v>
      </c>
      <c r="Y303" s="24">
        <v>4020</v>
      </c>
      <c r="Z303" s="24">
        <v>204255</v>
      </c>
      <c r="AA303" s="24">
        <v>572010</v>
      </c>
      <c r="AB303" s="24">
        <v>0</v>
      </c>
      <c r="AC303" s="24"/>
      <c r="AD303" s="24"/>
      <c r="AE303" s="24"/>
      <c r="AF303" s="24"/>
    </row>
    <row r="304" spans="1:32" ht="62.4" x14ac:dyDescent="0.3">
      <c r="A304" s="23">
        <v>41395</v>
      </c>
      <c r="B304" s="24" t="s">
        <v>571</v>
      </c>
      <c r="C304" s="24">
        <v>30264</v>
      </c>
      <c r="D304" s="24" t="s">
        <v>585</v>
      </c>
      <c r="E304" s="24" t="s">
        <v>586</v>
      </c>
      <c r="F304" s="24" t="s">
        <v>574</v>
      </c>
      <c r="G304" s="24">
        <v>3177757</v>
      </c>
      <c r="H304" s="25">
        <v>3850</v>
      </c>
      <c r="I304" s="26">
        <v>3850</v>
      </c>
      <c r="J304" s="24" t="s">
        <v>798</v>
      </c>
      <c r="K304" s="24" t="s">
        <v>724</v>
      </c>
      <c r="L304" s="24" t="s">
        <v>633</v>
      </c>
      <c r="M304" s="24" t="s">
        <v>589</v>
      </c>
      <c r="N304" s="24" t="s">
        <v>590</v>
      </c>
      <c r="O304" s="24">
        <v>269424</v>
      </c>
      <c r="P304" s="25"/>
      <c r="Q304" s="25"/>
      <c r="R304" s="24" t="s">
        <v>970</v>
      </c>
      <c r="S304" s="24" t="s">
        <v>581</v>
      </c>
      <c r="T304" s="27">
        <v>41425</v>
      </c>
      <c r="U304" s="25">
        <v>3122179</v>
      </c>
      <c r="V304" s="24" t="s">
        <v>582</v>
      </c>
      <c r="W304" s="24" t="s">
        <v>583</v>
      </c>
      <c r="X304" s="24" t="s">
        <v>584</v>
      </c>
      <c r="Y304" s="24">
        <v>4020</v>
      </c>
      <c r="Z304" s="24">
        <v>204255</v>
      </c>
      <c r="AA304" s="24">
        <v>572010</v>
      </c>
      <c r="AB304" s="24">
        <v>0</v>
      </c>
      <c r="AC304" s="24"/>
      <c r="AD304" s="24"/>
      <c r="AE304" s="24"/>
      <c r="AF304" s="24"/>
    </row>
    <row r="305" spans="1:32" ht="62.4" x14ac:dyDescent="0.3">
      <c r="A305" s="23">
        <v>41395</v>
      </c>
      <c r="B305" s="24" t="s">
        <v>571</v>
      </c>
      <c r="C305" s="24">
        <v>30264</v>
      </c>
      <c r="D305" s="24" t="s">
        <v>585</v>
      </c>
      <c r="E305" s="24" t="s">
        <v>586</v>
      </c>
      <c r="F305" s="24" t="s">
        <v>574</v>
      </c>
      <c r="G305" s="24">
        <v>3177757</v>
      </c>
      <c r="H305" s="25">
        <v>3850</v>
      </c>
      <c r="I305" s="26">
        <v>3850</v>
      </c>
      <c r="J305" s="24" t="s">
        <v>798</v>
      </c>
      <c r="K305" s="24" t="s">
        <v>724</v>
      </c>
      <c r="L305" s="24" t="s">
        <v>633</v>
      </c>
      <c r="M305" s="24" t="s">
        <v>589</v>
      </c>
      <c r="N305" s="24" t="s">
        <v>590</v>
      </c>
      <c r="O305" s="24">
        <v>269424</v>
      </c>
      <c r="P305" s="25"/>
      <c r="Q305" s="25"/>
      <c r="R305" s="24" t="s">
        <v>971</v>
      </c>
      <c r="S305" s="24" t="s">
        <v>581</v>
      </c>
      <c r="T305" s="27">
        <v>41425</v>
      </c>
      <c r="U305" s="25">
        <v>3122180</v>
      </c>
      <c r="V305" s="24" t="s">
        <v>582</v>
      </c>
      <c r="W305" s="24" t="s">
        <v>583</v>
      </c>
      <c r="X305" s="24" t="s">
        <v>584</v>
      </c>
      <c r="Y305" s="24">
        <v>4020</v>
      </c>
      <c r="Z305" s="24">
        <v>204255</v>
      </c>
      <c r="AA305" s="24">
        <v>572010</v>
      </c>
      <c r="AB305" s="24">
        <v>0</v>
      </c>
      <c r="AC305" s="24"/>
      <c r="AD305" s="24"/>
      <c r="AE305" s="24"/>
      <c r="AF305" s="24"/>
    </row>
    <row r="306" spans="1:32" ht="62.4" x14ac:dyDescent="0.3">
      <c r="A306" s="23">
        <v>41395</v>
      </c>
      <c r="B306" s="24" t="s">
        <v>571</v>
      </c>
      <c r="C306" s="24">
        <v>30264</v>
      </c>
      <c r="D306" s="24" t="s">
        <v>585</v>
      </c>
      <c r="E306" s="24" t="s">
        <v>783</v>
      </c>
      <c r="F306" s="24" t="s">
        <v>574</v>
      </c>
      <c r="G306" s="24">
        <v>3081103</v>
      </c>
      <c r="H306" s="25">
        <v>990</v>
      </c>
      <c r="I306" s="25">
        <v>990</v>
      </c>
      <c r="J306" s="24" t="s">
        <v>972</v>
      </c>
      <c r="K306" s="24" t="s">
        <v>871</v>
      </c>
      <c r="L306" s="24" t="s">
        <v>577</v>
      </c>
      <c r="M306" s="24" t="s">
        <v>785</v>
      </c>
      <c r="N306" s="24" t="s">
        <v>590</v>
      </c>
      <c r="O306" s="24">
        <v>286181</v>
      </c>
      <c r="P306" s="25"/>
      <c r="Q306" s="25"/>
      <c r="R306" s="24" t="s">
        <v>973</v>
      </c>
      <c r="S306" s="24" t="s">
        <v>581</v>
      </c>
      <c r="T306" s="27">
        <v>41395</v>
      </c>
      <c r="U306" s="25">
        <v>3033535</v>
      </c>
      <c r="V306" s="24" t="s">
        <v>582</v>
      </c>
      <c r="W306" s="24" t="s">
        <v>583</v>
      </c>
      <c r="X306" s="24" t="s">
        <v>584</v>
      </c>
      <c r="Y306" s="24">
        <v>4091</v>
      </c>
      <c r="Z306" s="24">
        <v>204411</v>
      </c>
      <c r="AA306" s="24">
        <v>588530</v>
      </c>
      <c r="AB306" s="24">
        <v>0</v>
      </c>
      <c r="AC306" s="24"/>
      <c r="AD306" s="24"/>
      <c r="AE306" s="24"/>
      <c r="AF306" s="24"/>
    </row>
    <row r="307" spans="1:32" ht="62.4" x14ac:dyDescent="0.3">
      <c r="A307" s="23">
        <v>41395</v>
      </c>
      <c r="B307" s="24" t="s">
        <v>571</v>
      </c>
      <c r="C307" s="24">
        <v>30264</v>
      </c>
      <c r="D307" s="24" t="s">
        <v>585</v>
      </c>
      <c r="E307" s="24" t="s">
        <v>875</v>
      </c>
      <c r="F307" s="24" t="s">
        <v>574</v>
      </c>
      <c r="G307" s="24">
        <v>3168661</v>
      </c>
      <c r="H307" s="25">
        <v>584.49</v>
      </c>
      <c r="I307" s="25">
        <v>584.49</v>
      </c>
      <c r="J307" s="24" t="s">
        <v>876</v>
      </c>
      <c r="K307" s="24" t="s">
        <v>877</v>
      </c>
      <c r="L307" s="24" t="s">
        <v>577</v>
      </c>
      <c r="M307" s="24" t="s">
        <v>878</v>
      </c>
      <c r="N307" s="24" t="s">
        <v>590</v>
      </c>
      <c r="O307" s="24">
        <v>272223</v>
      </c>
      <c r="P307" s="25"/>
      <c r="Q307" s="25"/>
      <c r="R307" s="24" t="s">
        <v>974</v>
      </c>
      <c r="S307" s="24" t="s">
        <v>581</v>
      </c>
      <c r="T307" s="27">
        <v>41423</v>
      </c>
      <c r="U307" s="25">
        <v>3112905</v>
      </c>
      <c r="V307" s="24" t="s">
        <v>582</v>
      </c>
      <c r="W307" s="24" t="s">
        <v>583</v>
      </c>
      <c r="X307" s="24" t="s">
        <v>584</v>
      </c>
      <c r="Y307" s="24">
        <v>4020</v>
      </c>
      <c r="Z307" s="24">
        <v>204255</v>
      </c>
      <c r="AA307" s="24">
        <v>670160</v>
      </c>
      <c r="AB307" s="24">
        <v>0</v>
      </c>
      <c r="AC307" s="24"/>
      <c r="AD307" s="24"/>
      <c r="AE307" s="24"/>
      <c r="AF307" s="24"/>
    </row>
    <row r="308" spans="1:32" ht="62.4" x14ac:dyDescent="0.3">
      <c r="A308" s="23">
        <v>41426</v>
      </c>
      <c r="B308" s="24" t="s">
        <v>571</v>
      </c>
      <c r="C308" s="24">
        <v>30264</v>
      </c>
      <c r="D308" s="24" t="s">
        <v>851</v>
      </c>
      <c r="E308" s="24" t="s">
        <v>573</v>
      </c>
      <c r="F308" s="24" t="s">
        <v>574</v>
      </c>
      <c r="G308" s="24">
        <v>3192297</v>
      </c>
      <c r="H308" s="25">
        <v>1661.89</v>
      </c>
      <c r="I308" s="26">
        <v>1661.89</v>
      </c>
      <c r="J308" s="24" t="s">
        <v>932</v>
      </c>
      <c r="K308" s="24" t="s">
        <v>576</v>
      </c>
      <c r="L308" s="24" t="s">
        <v>577</v>
      </c>
      <c r="M308" s="24" t="s">
        <v>578</v>
      </c>
      <c r="N308" s="24" t="s">
        <v>854</v>
      </c>
      <c r="O308" s="24">
        <v>281320</v>
      </c>
      <c r="P308" s="25"/>
      <c r="Q308" s="25"/>
      <c r="R308" s="24" t="s">
        <v>975</v>
      </c>
      <c r="S308" s="24" t="s">
        <v>581</v>
      </c>
      <c r="T308" s="27">
        <v>41430</v>
      </c>
      <c r="U308" s="25">
        <v>3150057</v>
      </c>
      <c r="V308" s="24" t="s">
        <v>582</v>
      </c>
      <c r="W308" s="24" t="s">
        <v>583</v>
      </c>
      <c r="X308" s="24" t="s">
        <v>584</v>
      </c>
      <c r="Y308" s="24">
        <v>4091</v>
      </c>
      <c r="Z308" s="24">
        <v>204411</v>
      </c>
      <c r="AA308" s="24">
        <v>630120</v>
      </c>
      <c r="AB308" s="24">
        <v>0</v>
      </c>
      <c r="AC308" s="24"/>
      <c r="AD308" s="24"/>
      <c r="AE308" s="24"/>
      <c r="AF308" s="24"/>
    </row>
    <row r="309" spans="1:32" ht="62.4" x14ac:dyDescent="0.3">
      <c r="A309" s="23">
        <v>41426</v>
      </c>
      <c r="B309" s="24" t="s">
        <v>571</v>
      </c>
      <c r="C309" s="24">
        <v>30264</v>
      </c>
      <c r="D309" s="24" t="s">
        <v>572</v>
      </c>
      <c r="E309" s="24" t="s">
        <v>573</v>
      </c>
      <c r="F309" s="24" t="s">
        <v>574</v>
      </c>
      <c r="G309" s="24">
        <v>3198546</v>
      </c>
      <c r="H309" s="25">
        <v>4240.6000000000004</v>
      </c>
      <c r="I309" s="26">
        <v>4240.6000000000004</v>
      </c>
      <c r="J309" s="24" t="s">
        <v>831</v>
      </c>
      <c r="K309" s="24" t="s">
        <v>576</v>
      </c>
      <c r="L309" s="24" t="s">
        <v>633</v>
      </c>
      <c r="M309" s="24" t="s">
        <v>578</v>
      </c>
      <c r="N309" s="24" t="s">
        <v>579</v>
      </c>
      <c r="O309" s="24">
        <v>269422</v>
      </c>
      <c r="P309" s="25"/>
      <c r="Q309" s="25"/>
      <c r="R309" s="24" t="s">
        <v>976</v>
      </c>
      <c r="S309" s="24" t="s">
        <v>581</v>
      </c>
      <c r="T309" s="27">
        <v>41431</v>
      </c>
      <c r="U309" s="25">
        <v>3151184</v>
      </c>
      <c r="V309" s="24" t="s">
        <v>582</v>
      </c>
      <c r="W309" s="24" t="s">
        <v>583</v>
      </c>
      <c r="X309" s="24" t="s">
        <v>584</v>
      </c>
      <c r="Y309" s="24">
        <v>4020</v>
      </c>
      <c r="Z309" s="24">
        <v>204255</v>
      </c>
      <c r="AA309" s="24">
        <v>630120</v>
      </c>
      <c r="AB309" s="24">
        <v>0</v>
      </c>
      <c r="AC309" s="24"/>
      <c r="AD309" s="24"/>
      <c r="AE309" s="24"/>
      <c r="AF309" s="24"/>
    </row>
    <row r="310" spans="1:32" ht="62.4" x14ac:dyDescent="0.3">
      <c r="A310" s="23">
        <v>41426</v>
      </c>
      <c r="B310" s="24" t="s">
        <v>571</v>
      </c>
      <c r="C310" s="24">
        <v>30264</v>
      </c>
      <c r="D310" s="24" t="s">
        <v>625</v>
      </c>
      <c r="E310" s="24" t="s">
        <v>586</v>
      </c>
      <c r="F310" s="24" t="s">
        <v>574</v>
      </c>
      <c r="G310" s="24">
        <v>3244904</v>
      </c>
      <c r="H310" s="25">
        <v>5754.25</v>
      </c>
      <c r="I310" s="26">
        <v>5754.25</v>
      </c>
      <c r="J310" s="24" t="s">
        <v>794</v>
      </c>
      <c r="K310" s="24" t="s">
        <v>627</v>
      </c>
      <c r="L310" s="24" t="s">
        <v>577</v>
      </c>
      <c r="M310" s="24" t="s">
        <v>589</v>
      </c>
      <c r="N310" s="24" t="s">
        <v>628</v>
      </c>
      <c r="O310" s="24">
        <v>269473</v>
      </c>
      <c r="P310" s="25"/>
      <c r="Q310" s="25"/>
      <c r="R310" s="24" t="s">
        <v>977</v>
      </c>
      <c r="S310" s="24" t="s">
        <v>581</v>
      </c>
      <c r="T310" s="27">
        <v>41446</v>
      </c>
      <c r="U310" s="25">
        <v>3191470</v>
      </c>
      <c r="V310" s="24" t="s">
        <v>582</v>
      </c>
      <c r="W310" s="24" t="s">
        <v>583</v>
      </c>
      <c r="X310" s="24" t="s">
        <v>584</v>
      </c>
      <c r="Y310" s="24">
        <v>4020</v>
      </c>
      <c r="Z310" s="24">
        <v>204255</v>
      </c>
      <c r="AA310" s="24">
        <v>572010</v>
      </c>
      <c r="AB310" s="24">
        <v>0</v>
      </c>
      <c r="AC310" s="24"/>
      <c r="AD310" s="24"/>
      <c r="AE310" s="24"/>
      <c r="AF310" s="24"/>
    </row>
    <row r="311" spans="1:32" ht="62.4" x14ac:dyDescent="0.3">
      <c r="A311" s="23">
        <v>41426</v>
      </c>
      <c r="B311" s="24" t="s">
        <v>571</v>
      </c>
      <c r="C311" s="24">
        <v>30264</v>
      </c>
      <c r="D311" s="24" t="s">
        <v>625</v>
      </c>
      <c r="E311" s="24" t="s">
        <v>586</v>
      </c>
      <c r="F311" s="24" t="s">
        <v>574</v>
      </c>
      <c r="G311" s="24">
        <v>3264219</v>
      </c>
      <c r="H311" s="25">
        <v>2888</v>
      </c>
      <c r="I311" s="26">
        <v>2888</v>
      </c>
      <c r="J311" s="24" t="s">
        <v>794</v>
      </c>
      <c r="K311" s="24" t="s">
        <v>627</v>
      </c>
      <c r="L311" s="24" t="s">
        <v>577</v>
      </c>
      <c r="M311" s="24" t="s">
        <v>589</v>
      </c>
      <c r="N311" s="24" t="s">
        <v>628</v>
      </c>
      <c r="O311" s="24">
        <v>269473</v>
      </c>
      <c r="P311" s="25"/>
      <c r="Q311" s="25"/>
      <c r="R311" s="24" t="s">
        <v>978</v>
      </c>
      <c r="S311" s="24" t="s">
        <v>581</v>
      </c>
      <c r="T311" s="27">
        <v>41452</v>
      </c>
      <c r="U311" s="25">
        <v>3217296</v>
      </c>
      <c r="V311" s="24" t="s">
        <v>582</v>
      </c>
      <c r="W311" s="24" t="s">
        <v>583</v>
      </c>
      <c r="X311" s="24" t="s">
        <v>584</v>
      </c>
      <c r="Y311" s="24">
        <v>4020</v>
      </c>
      <c r="Z311" s="24">
        <v>204255</v>
      </c>
      <c r="AA311" s="24">
        <v>572010</v>
      </c>
      <c r="AB311" s="24">
        <v>0</v>
      </c>
      <c r="AC311" s="24"/>
      <c r="AD311" s="24"/>
      <c r="AE311" s="24"/>
      <c r="AF311" s="24"/>
    </row>
    <row r="312" spans="1:32" ht="62.4" x14ac:dyDescent="0.3">
      <c r="A312" s="23">
        <v>41426</v>
      </c>
      <c r="B312" s="24" t="s">
        <v>571</v>
      </c>
      <c r="C312" s="24">
        <v>30264</v>
      </c>
      <c r="D312" s="24" t="s">
        <v>585</v>
      </c>
      <c r="E312" s="24" t="s">
        <v>586</v>
      </c>
      <c r="F312" s="24" t="s">
        <v>574</v>
      </c>
      <c r="G312" s="24">
        <v>3237798</v>
      </c>
      <c r="H312" s="25">
        <v>23850</v>
      </c>
      <c r="I312" s="26">
        <v>23850</v>
      </c>
      <c r="J312" s="24" t="s">
        <v>849</v>
      </c>
      <c r="K312" s="24" t="s">
        <v>588</v>
      </c>
      <c r="L312" s="24" t="s">
        <v>577</v>
      </c>
      <c r="M312" s="24" t="s">
        <v>589</v>
      </c>
      <c r="N312" s="24" t="s">
        <v>590</v>
      </c>
      <c r="O312" s="24">
        <v>270307</v>
      </c>
      <c r="P312" s="25"/>
      <c r="Q312" s="25"/>
      <c r="R312" s="24" t="s">
        <v>979</v>
      </c>
      <c r="S312" s="24" t="s">
        <v>581</v>
      </c>
      <c r="T312" s="27">
        <v>41444</v>
      </c>
      <c r="U312" s="25">
        <v>3186439</v>
      </c>
      <c r="V312" s="24" t="s">
        <v>582</v>
      </c>
      <c r="W312" s="24" t="s">
        <v>583</v>
      </c>
      <c r="X312" s="24" t="s">
        <v>584</v>
      </c>
      <c r="Y312" s="24">
        <v>4020</v>
      </c>
      <c r="Z312" s="24">
        <v>204255</v>
      </c>
      <c r="AA312" s="24">
        <v>572010</v>
      </c>
      <c r="AB312" s="24">
        <v>0</v>
      </c>
      <c r="AC312" s="24"/>
      <c r="AD312" s="24"/>
      <c r="AE312" s="24"/>
      <c r="AF312" s="24"/>
    </row>
    <row r="313" spans="1:32" ht="62.4" x14ac:dyDescent="0.3">
      <c r="A313" s="23">
        <v>41426</v>
      </c>
      <c r="B313" s="24" t="s">
        <v>571</v>
      </c>
      <c r="C313" s="24">
        <v>30264</v>
      </c>
      <c r="D313" s="24" t="s">
        <v>585</v>
      </c>
      <c r="E313" s="24" t="s">
        <v>875</v>
      </c>
      <c r="F313" s="24" t="s">
        <v>574</v>
      </c>
      <c r="G313" s="24">
        <v>3264219</v>
      </c>
      <c r="H313" s="25">
        <v>824.5</v>
      </c>
      <c r="I313" s="25">
        <v>824.5</v>
      </c>
      <c r="J313" s="24" t="s">
        <v>876</v>
      </c>
      <c r="K313" s="24" t="s">
        <v>877</v>
      </c>
      <c r="L313" s="24" t="s">
        <v>577</v>
      </c>
      <c r="M313" s="24" t="s">
        <v>878</v>
      </c>
      <c r="N313" s="24" t="s">
        <v>590</v>
      </c>
      <c r="O313" s="24">
        <v>272223</v>
      </c>
      <c r="P313" s="25"/>
      <c r="Q313" s="25"/>
      <c r="R313" s="24" t="s">
        <v>980</v>
      </c>
      <c r="S313" s="24" t="s">
        <v>581</v>
      </c>
      <c r="T313" s="27">
        <v>41452</v>
      </c>
      <c r="U313" s="25">
        <v>3217343</v>
      </c>
      <c r="V313" s="24" t="s">
        <v>582</v>
      </c>
      <c r="W313" s="24" t="s">
        <v>583</v>
      </c>
      <c r="X313" s="24" t="s">
        <v>584</v>
      </c>
      <c r="Y313" s="24">
        <v>4020</v>
      </c>
      <c r="Z313" s="24">
        <v>204255</v>
      </c>
      <c r="AA313" s="24">
        <v>670160</v>
      </c>
      <c r="AB313" s="24">
        <v>0</v>
      </c>
      <c r="AC313" s="24"/>
      <c r="AD313" s="24"/>
      <c r="AE313" s="24"/>
      <c r="AF313" s="24"/>
    </row>
    <row r="314" spans="1:32" ht="62.4" x14ac:dyDescent="0.3">
      <c r="A314" s="23">
        <v>41426</v>
      </c>
      <c r="B314" s="24" t="s">
        <v>571</v>
      </c>
      <c r="C314" s="24">
        <v>30264</v>
      </c>
      <c r="D314" s="24" t="s">
        <v>585</v>
      </c>
      <c r="E314" s="24" t="s">
        <v>875</v>
      </c>
      <c r="F314" s="24" t="s">
        <v>574</v>
      </c>
      <c r="G314" s="24">
        <v>3264219</v>
      </c>
      <c r="H314" s="25">
        <v>584.49</v>
      </c>
      <c r="I314" s="25">
        <v>584.49</v>
      </c>
      <c r="J314" s="24" t="s">
        <v>876</v>
      </c>
      <c r="K314" s="24" t="s">
        <v>877</v>
      </c>
      <c r="L314" s="24" t="s">
        <v>577</v>
      </c>
      <c r="M314" s="24" t="s">
        <v>878</v>
      </c>
      <c r="N314" s="24" t="s">
        <v>590</v>
      </c>
      <c r="O314" s="24">
        <v>272223</v>
      </c>
      <c r="P314" s="25"/>
      <c r="Q314" s="25"/>
      <c r="R314" s="24" t="s">
        <v>981</v>
      </c>
      <c r="S314" s="24" t="s">
        <v>581</v>
      </c>
      <c r="T314" s="27">
        <v>41452</v>
      </c>
      <c r="U314" s="25">
        <v>3217350</v>
      </c>
      <c r="V314" s="24" t="s">
        <v>582</v>
      </c>
      <c r="W314" s="24" t="s">
        <v>583</v>
      </c>
      <c r="X314" s="24" t="s">
        <v>584</v>
      </c>
      <c r="Y314" s="24">
        <v>4020</v>
      </c>
      <c r="Z314" s="24">
        <v>204255</v>
      </c>
      <c r="AA314" s="24">
        <v>670160</v>
      </c>
      <c r="AB314" s="24">
        <v>0</v>
      </c>
      <c r="AC314" s="24"/>
      <c r="AD314" s="24"/>
      <c r="AE314" s="24"/>
      <c r="AF314" s="24"/>
    </row>
    <row r="315" spans="1:32" ht="62.4" x14ac:dyDescent="0.3">
      <c r="A315" s="23">
        <v>41426</v>
      </c>
      <c r="B315" s="24" t="s">
        <v>571</v>
      </c>
      <c r="C315" s="24">
        <v>30264</v>
      </c>
      <c r="D315" s="24" t="s">
        <v>585</v>
      </c>
      <c r="E315" s="24" t="s">
        <v>875</v>
      </c>
      <c r="F315" s="24" t="s">
        <v>574</v>
      </c>
      <c r="G315" s="24">
        <v>3264219</v>
      </c>
      <c r="H315" s="25">
        <v>584.49</v>
      </c>
      <c r="I315" s="25">
        <v>584.49</v>
      </c>
      <c r="J315" s="24" t="s">
        <v>876</v>
      </c>
      <c r="K315" s="24" t="s">
        <v>877</v>
      </c>
      <c r="L315" s="24" t="s">
        <v>577</v>
      </c>
      <c r="M315" s="24" t="s">
        <v>878</v>
      </c>
      <c r="N315" s="24" t="s">
        <v>590</v>
      </c>
      <c r="O315" s="24">
        <v>272223</v>
      </c>
      <c r="P315" s="25"/>
      <c r="Q315" s="25"/>
      <c r="R315" s="24" t="s">
        <v>982</v>
      </c>
      <c r="S315" s="24" t="s">
        <v>581</v>
      </c>
      <c r="T315" s="27">
        <v>41452</v>
      </c>
      <c r="U315" s="25">
        <v>3217352</v>
      </c>
      <c r="V315" s="24" t="s">
        <v>582</v>
      </c>
      <c r="W315" s="24" t="s">
        <v>583</v>
      </c>
      <c r="X315" s="24" t="s">
        <v>584</v>
      </c>
      <c r="Y315" s="24">
        <v>4020</v>
      </c>
      <c r="Z315" s="24">
        <v>204255</v>
      </c>
      <c r="AA315" s="24">
        <v>670160</v>
      </c>
      <c r="AB315" s="24">
        <v>0</v>
      </c>
      <c r="AC315" s="24"/>
      <c r="AD315" s="24"/>
      <c r="AE315" s="24"/>
      <c r="AF315" s="24"/>
    </row>
    <row r="316" spans="1:32" ht="62.4" x14ac:dyDescent="0.3">
      <c r="A316" s="23">
        <v>41426</v>
      </c>
      <c r="B316" s="24" t="s">
        <v>571</v>
      </c>
      <c r="C316" s="24">
        <v>30264</v>
      </c>
      <c r="D316" s="24" t="s">
        <v>585</v>
      </c>
      <c r="E316" s="24" t="s">
        <v>875</v>
      </c>
      <c r="F316" s="24" t="s">
        <v>574</v>
      </c>
      <c r="G316" s="24">
        <v>3268374</v>
      </c>
      <c r="H316" s="25">
        <v>584.49</v>
      </c>
      <c r="I316" s="25">
        <v>584.49</v>
      </c>
      <c r="J316" s="24" t="s">
        <v>876</v>
      </c>
      <c r="K316" s="24" t="s">
        <v>877</v>
      </c>
      <c r="L316" s="24" t="s">
        <v>577</v>
      </c>
      <c r="M316" s="24" t="s">
        <v>878</v>
      </c>
      <c r="N316" s="24" t="s">
        <v>590</v>
      </c>
      <c r="O316" s="24">
        <v>272223</v>
      </c>
      <c r="P316" s="25"/>
      <c r="Q316" s="25"/>
      <c r="R316" s="24" t="s">
        <v>983</v>
      </c>
      <c r="S316" s="24" t="s">
        <v>581</v>
      </c>
      <c r="T316" s="27">
        <v>41453</v>
      </c>
      <c r="U316" s="25">
        <v>3221841</v>
      </c>
      <c r="V316" s="24" t="s">
        <v>582</v>
      </c>
      <c r="W316" s="24" t="s">
        <v>583</v>
      </c>
      <c r="X316" s="24" t="s">
        <v>584</v>
      </c>
      <c r="Y316" s="24">
        <v>4020</v>
      </c>
      <c r="Z316" s="24">
        <v>204255</v>
      </c>
      <c r="AA316" s="24">
        <v>670160</v>
      </c>
      <c r="AB316" s="24">
        <v>0</v>
      </c>
      <c r="AC316" s="24"/>
      <c r="AD316" s="24"/>
      <c r="AE316" s="24"/>
      <c r="AF316" s="24"/>
    </row>
    <row r="317" spans="1:32" ht="62.4" x14ac:dyDescent="0.3">
      <c r="A317" s="23">
        <v>41456</v>
      </c>
      <c r="B317" s="24" t="s">
        <v>571</v>
      </c>
      <c r="C317" s="24">
        <v>30264</v>
      </c>
      <c r="D317" s="24" t="s">
        <v>851</v>
      </c>
      <c r="E317" s="24" t="s">
        <v>934</v>
      </c>
      <c r="F317" s="24" t="s">
        <v>574</v>
      </c>
      <c r="G317" s="24">
        <v>3335804</v>
      </c>
      <c r="H317" s="25">
        <v>1582</v>
      </c>
      <c r="I317" s="26">
        <v>1582</v>
      </c>
      <c r="J317" s="24" t="s">
        <v>984</v>
      </c>
      <c r="K317" s="24" t="s">
        <v>853</v>
      </c>
      <c r="L317" s="24" t="s">
        <v>577</v>
      </c>
      <c r="M317" s="24" t="s">
        <v>589</v>
      </c>
      <c r="N317" s="24" t="s">
        <v>854</v>
      </c>
      <c r="O317" s="24">
        <v>293837</v>
      </c>
      <c r="P317" s="25"/>
      <c r="Q317" s="25"/>
      <c r="R317" s="24" t="s">
        <v>985</v>
      </c>
      <c r="S317" s="24" t="s">
        <v>581</v>
      </c>
      <c r="T317" s="27">
        <v>41472</v>
      </c>
      <c r="U317" s="25">
        <v>3293123</v>
      </c>
      <c r="V317" s="24" t="s">
        <v>582</v>
      </c>
      <c r="W317" s="24" t="s">
        <v>583</v>
      </c>
      <c r="X317" s="24" t="s">
        <v>584</v>
      </c>
      <c r="Y317" s="24">
        <v>4091</v>
      </c>
      <c r="Z317" s="24">
        <v>204411</v>
      </c>
      <c r="AA317" s="24">
        <v>572210</v>
      </c>
      <c r="AB317" s="24">
        <v>0</v>
      </c>
      <c r="AC317" s="24"/>
      <c r="AD317" s="24"/>
      <c r="AE317" s="24"/>
      <c r="AF317" s="24"/>
    </row>
    <row r="318" spans="1:32" ht="62.4" x14ac:dyDescent="0.3">
      <c r="A318" s="23">
        <v>41456</v>
      </c>
      <c r="B318" s="24" t="s">
        <v>571</v>
      </c>
      <c r="C318" s="24">
        <v>30264</v>
      </c>
      <c r="D318" s="24" t="s">
        <v>851</v>
      </c>
      <c r="E318" s="24" t="s">
        <v>934</v>
      </c>
      <c r="F318" s="24" t="s">
        <v>574</v>
      </c>
      <c r="G318" s="24">
        <v>3364307</v>
      </c>
      <c r="H318" s="25">
        <v>935</v>
      </c>
      <c r="I318" s="25">
        <v>935</v>
      </c>
      <c r="J318" s="24" t="s">
        <v>984</v>
      </c>
      <c r="K318" s="24" t="s">
        <v>853</v>
      </c>
      <c r="L318" s="24" t="s">
        <v>577</v>
      </c>
      <c r="M318" s="24" t="s">
        <v>589</v>
      </c>
      <c r="N318" s="24" t="s">
        <v>854</v>
      </c>
      <c r="O318" s="24">
        <v>293837</v>
      </c>
      <c r="P318" s="25"/>
      <c r="Q318" s="25"/>
      <c r="R318" s="24" t="s">
        <v>986</v>
      </c>
      <c r="S318" s="24" t="s">
        <v>581</v>
      </c>
      <c r="T318" s="27">
        <v>41481</v>
      </c>
      <c r="U318" s="25">
        <v>3317456</v>
      </c>
      <c r="V318" s="24" t="s">
        <v>582</v>
      </c>
      <c r="W318" s="24" t="s">
        <v>583</v>
      </c>
      <c r="X318" s="24" t="s">
        <v>584</v>
      </c>
      <c r="Y318" s="24">
        <v>4091</v>
      </c>
      <c r="Z318" s="24">
        <v>204411</v>
      </c>
      <c r="AA318" s="24">
        <v>572210</v>
      </c>
      <c r="AB318" s="24">
        <v>0</v>
      </c>
      <c r="AC318" s="24"/>
      <c r="AD318" s="24"/>
      <c r="AE318" s="24"/>
      <c r="AF318" s="24"/>
    </row>
    <row r="319" spans="1:32" ht="62.4" x14ac:dyDescent="0.3">
      <c r="A319" s="23">
        <v>41456</v>
      </c>
      <c r="B319" s="24" t="s">
        <v>571</v>
      </c>
      <c r="C319" s="24">
        <v>30264</v>
      </c>
      <c r="D319" s="24" t="s">
        <v>851</v>
      </c>
      <c r="E319" s="24" t="s">
        <v>934</v>
      </c>
      <c r="F319" s="24" t="s">
        <v>574</v>
      </c>
      <c r="G319" s="24">
        <v>3379919</v>
      </c>
      <c r="H319" s="25">
        <v>1445</v>
      </c>
      <c r="I319" s="26">
        <v>1445</v>
      </c>
      <c r="J319" s="24" t="s">
        <v>984</v>
      </c>
      <c r="K319" s="24" t="s">
        <v>853</v>
      </c>
      <c r="L319" s="24" t="s">
        <v>577</v>
      </c>
      <c r="M319" s="24" t="s">
        <v>589</v>
      </c>
      <c r="N319" s="24" t="s">
        <v>854</v>
      </c>
      <c r="O319" s="24">
        <v>293837</v>
      </c>
      <c r="P319" s="25"/>
      <c r="Q319" s="25"/>
      <c r="R319" s="24" t="s">
        <v>987</v>
      </c>
      <c r="S319" s="24" t="s">
        <v>581</v>
      </c>
      <c r="T319" s="27">
        <v>41486</v>
      </c>
      <c r="U319" s="25">
        <v>3344278</v>
      </c>
      <c r="V319" s="24" t="s">
        <v>582</v>
      </c>
      <c r="W319" s="24" t="s">
        <v>583</v>
      </c>
      <c r="X319" s="24" t="s">
        <v>584</v>
      </c>
      <c r="Y319" s="24">
        <v>4091</v>
      </c>
      <c r="Z319" s="24">
        <v>204411</v>
      </c>
      <c r="AA319" s="24">
        <v>572210</v>
      </c>
      <c r="AB319" s="24">
        <v>0</v>
      </c>
      <c r="AC319" s="24"/>
      <c r="AD319" s="24"/>
      <c r="AE319" s="24"/>
      <c r="AF319" s="24"/>
    </row>
    <row r="320" spans="1:32" ht="62.4" x14ac:dyDescent="0.3">
      <c r="A320" s="23">
        <v>41456</v>
      </c>
      <c r="B320" s="24" t="s">
        <v>571</v>
      </c>
      <c r="C320" s="24">
        <v>30264</v>
      </c>
      <c r="D320" s="24" t="s">
        <v>851</v>
      </c>
      <c r="E320" s="24" t="s">
        <v>573</v>
      </c>
      <c r="F320" s="24" t="s">
        <v>574</v>
      </c>
      <c r="G320" s="24">
        <v>3309792</v>
      </c>
      <c r="H320" s="25">
        <v>1661.89</v>
      </c>
      <c r="I320" s="26">
        <v>1661.89</v>
      </c>
      <c r="J320" s="24" t="s">
        <v>932</v>
      </c>
      <c r="K320" s="24" t="s">
        <v>576</v>
      </c>
      <c r="L320" s="24" t="s">
        <v>577</v>
      </c>
      <c r="M320" s="24" t="s">
        <v>578</v>
      </c>
      <c r="N320" s="24" t="s">
        <v>854</v>
      </c>
      <c r="O320" s="24">
        <v>281320</v>
      </c>
      <c r="P320" s="25"/>
      <c r="Q320" s="25"/>
      <c r="R320" s="24" t="s">
        <v>988</v>
      </c>
      <c r="S320" s="24" t="s">
        <v>581</v>
      </c>
      <c r="T320" s="27">
        <v>41464</v>
      </c>
      <c r="U320" s="25">
        <v>3274629</v>
      </c>
      <c r="V320" s="24" t="s">
        <v>582</v>
      </c>
      <c r="W320" s="24" t="s">
        <v>583</v>
      </c>
      <c r="X320" s="24" t="s">
        <v>584</v>
      </c>
      <c r="Y320" s="24">
        <v>4091</v>
      </c>
      <c r="Z320" s="24">
        <v>204411</v>
      </c>
      <c r="AA320" s="24">
        <v>630120</v>
      </c>
      <c r="AB320" s="24">
        <v>0</v>
      </c>
      <c r="AC320" s="24"/>
      <c r="AD320" s="24"/>
      <c r="AE320" s="24"/>
      <c r="AF320" s="24"/>
    </row>
    <row r="321" spans="1:32" ht="62.4" x14ac:dyDescent="0.3">
      <c r="A321" s="23">
        <v>41456</v>
      </c>
      <c r="B321" s="24" t="s">
        <v>571</v>
      </c>
      <c r="C321" s="24">
        <v>30264</v>
      </c>
      <c r="D321" s="24" t="s">
        <v>572</v>
      </c>
      <c r="E321" s="24" t="s">
        <v>573</v>
      </c>
      <c r="F321" s="24" t="s">
        <v>574</v>
      </c>
      <c r="G321" s="24">
        <v>3379919</v>
      </c>
      <c r="H321" s="25">
        <v>1703.44</v>
      </c>
      <c r="I321" s="26">
        <v>1703.44</v>
      </c>
      <c r="J321" s="24" t="s">
        <v>989</v>
      </c>
      <c r="K321" s="24" t="s">
        <v>576</v>
      </c>
      <c r="L321" s="24" t="s">
        <v>577</v>
      </c>
      <c r="M321" s="24" t="s">
        <v>578</v>
      </c>
      <c r="N321" s="24" t="s">
        <v>579</v>
      </c>
      <c r="O321" s="24">
        <v>293881</v>
      </c>
      <c r="P321" s="25"/>
      <c r="Q321" s="25"/>
      <c r="R321" s="24" t="s">
        <v>990</v>
      </c>
      <c r="S321" s="24" t="s">
        <v>581</v>
      </c>
      <c r="T321" s="27">
        <v>41486</v>
      </c>
      <c r="U321" s="25">
        <v>3344280</v>
      </c>
      <c r="V321" s="24" t="s">
        <v>582</v>
      </c>
      <c r="W321" s="24" t="s">
        <v>583</v>
      </c>
      <c r="X321" s="24" t="s">
        <v>584</v>
      </c>
      <c r="Y321" s="24">
        <v>4091</v>
      </c>
      <c r="Z321" s="24">
        <v>204411</v>
      </c>
      <c r="AA321" s="24">
        <v>630120</v>
      </c>
      <c r="AB321" s="24">
        <v>0</v>
      </c>
      <c r="AC321" s="24"/>
      <c r="AD321" s="24"/>
      <c r="AE321" s="24"/>
      <c r="AF321" s="24"/>
    </row>
    <row r="322" spans="1:32" ht="62.4" x14ac:dyDescent="0.3">
      <c r="A322" s="23">
        <v>41456</v>
      </c>
      <c r="B322" s="24" t="s">
        <v>571</v>
      </c>
      <c r="C322" s="24">
        <v>30264</v>
      </c>
      <c r="D322" s="24" t="s">
        <v>625</v>
      </c>
      <c r="E322" s="24" t="s">
        <v>586</v>
      </c>
      <c r="F322" s="24" t="s">
        <v>574</v>
      </c>
      <c r="G322" s="24">
        <v>3335804</v>
      </c>
      <c r="H322" s="25">
        <v>2024</v>
      </c>
      <c r="I322" s="26">
        <v>2024</v>
      </c>
      <c r="J322" s="24" t="s">
        <v>991</v>
      </c>
      <c r="K322" s="24" t="s">
        <v>627</v>
      </c>
      <c r="L322" s="24" t="s">
        <v>577</v>
      </c>
      <c r="M322" s="24" t="s">
        <v>589</v>
      </c>
      <c r="N322" s="24" t="s">
        <v>628</v>
      </c>
      <c r="O322" s="24">
        <v>293836</v>
      </c>
      <c r="P322" s="25"/>
      <c r="Q322" s="25"/>
      <c r="R322" s="24" t="s">
        <v>992</v>
      </c>
      <c r="S322" s="24" t="s">
        <v>581</v>
      </c>
      <c r="T322" s="27">
        <v>41472</v>
      </c>
      <c r="U322" s="25">
        <v>3293122</v>
      </c>
      <c r="V322" s="24" t="s">
        <v>582</v>
      </c>
      <c r="W322" s="24" t="s">
        <v>583</v>
      </c>
      <c r="X322" s="24" t="s">
        <v>584</v>
      </c>
      <c r="Y322" s="24">
        <v>4091</v>
      </c>
      <c r="Z322" s="24">
        <v>204411</v>
      </c>
      <c r="AA322" s="24">
        <v>572010</v>
      </c>
      <c r="AB322" s="24">
        <v>0</v>
      </c>
      <c r="AC322" s="24"/>
      <c r="AD322" s="24"/>
      <c r="AE322" s="24"/>
      <c r="AF322" s="24"/>
    </row>
    <row r="323" spans="1:32" ht="62.4" x14ac:dyDescent="0.3">
      <c r="A323" s="23">
        <v>41456</v>
      </c>
      <c r="B323" s="24" t="s">
        <v>571</v>
      </c>
      <c r="C323" s="24">
        <v>30264</v>
      </c>
      <c r="D323" s="24" t="s">
        <v>585</v>
      </c>
      <c r="E323" s="24" t="s">
        <v>586</v>
      </c>
      <c r="F323" s="24" t="s">
        <v>574</v>
      </c>
      <c r="G323" s="24">
        <v>3309792</v>
      </c>
      <c r="H323" s="25">
        <v>3850</v>
      </c>
      <c r="I323" s="26">
        <v>3850</v>
      </c>
      <c r="J323" s="24" t="s">
        <v>798</v>
      </c>
      <c r="K323" s="24" t="s">
        <v>724</v>
      </c>
      <c r="L323" s="24" t="s">
        <v>577</v>
      </c>
      <c r="M323" s="24" t="s">
        <v>589</v>
      </c>
      <c r="N323" s="24" t="s">
        <v>590</v>
      </c>
      <c r="O323" s="24">
        <v>269424</v>
      </c>
      <c r="P323" s="25"/>
      <c r="Q323" s="25"/>
      <c r="R323" s="24" t="s">
        <v>993</v>
      </c>
      <c r="S323" s="24" t="s">
        <v>581</v>
      </c>
      <c r="T323" s="27">
        <v>41464</v>
      </c>
      <c r="U323" s="25">
        <v>3274615</v>
      </c>
      <c r="V323" s="24" t="s">
        <v>582</v>
      </c>
      <c r="W323" s="24" t="s">
        <v>583</v>
      </c>
      <c r="X323" s="24" t="s">
        <v>584</v>
      </c>
      <c r="Y323" s="24">
        <v>4020</v>
      </c>
      <c r="Z323" s="24">
        <v>204255</v>
      </c>
      <c r="AA323" s="24">
        <v>572010</v>
      </c>
      <c r="AB323" s="24">
        <v>0</v>
      </c>
      <c r="AC323" s="24"/>
      <c r="AD323" s="24"/>
      <c r="AE323" s="24"/>
      <c r="AF323" s="24"/>
    </row>
    <row r="324" spans="1:32" ht="62.4" x14ac:dyDescent="0.3">
      <c r="A324" s="23">
        <v>41456</v>
      </c>
      <c r="B324" s="24" t="s">
        <v>571</v>
      </c>
      <c r="C324" s="24">
        <v>30264</v>
      </c>
      <c r="D324" s="24" t="s">
        <v>585</v>
      </c>
      <c r="E324" s="24" t="s">
        <v>783</v>
      </c>
      <c r="F324" s="24" t="s">
        <v>574</v>
      </c>
      <c r="G324" s="24">
        <v>3339294</v>
      </c>
      <c r="H324" s="25">
        <v>10741</v>
      </c>
      <c r="I324" s="26">
        <v>10741</v>
      </c>
      <c r="J324" s="24" t="s">
        <v>994</v>
      </c>
      <c r="K324" s="24" t="s">
        <v>655</v>
      </c>
      <c r="L324" s="24" t="s">
        <v>577</v>
      </c>
      <c r="M324" s="24" t="s">
        <v>785</v>
      </c>
      <c r="N324" s="24" t="s">
        <v>590</v>
      </c>
      <c r="O324" s="24">
        <v>279284</v>
      </c>
      <c r="P324" s="25"/>
      <c r="Q324" s="25"/>
      <c r="R324" s="24" t="s">
        <v>995</v>
      </c>
      <c r="S324" s="24" t="s">
        <v>581</v>
      </c>
      <c r="T324" s="27">
        <v>41473</v>
      </c>
      <c r="U324" s="25">
        <v>3295003</v>
      </c>
      <c r="V324" s="24" t="s">
        <v>582</v>
      </c>
      <c r="W324" s="24" t="s">
        <v>583</v>
      </c>
      <c r="X324" s="24" t="s">
        <v>584</v>
      </c>
      <c r="Y324" s="24">
        <v>4091</v>
      </c>
      <c r="Z324" s="24">
        <v>204411</v>
      </c>
      <c r="AA324" s="24">
        <v>588530</v>
      </c>
      <c r="AB324" s="24">
        <v>0</v>
      </c>
      <c r="AC324" s="24"/>
      <c r="AD324" s="24"/>
      <c r="AE324" s="24"/>
      <c r="AF324" s="24"/>
    </row>
    <row r="325" spans="1:32" ht="62.4" x14ac:dyDescent="0.3">
      <c r="A325" s="23">
        <v>41456</v>
      </c>
      <c r="B325" s="24" t="s">
        <v>571</v>
      </c>
      <c r="C325" s="24">
        <v>30264</v>
      </c>
      <c r="D325" s="24" t="s">
        <v>585</v>
      </c>
      <c r="E325" s="24" t="s">
        <v>875</v>
      </c>
      <c r="F325" s="24" t="s">
        <v>574</v>
      </c>
      <c r="G325" s="24">
        <v>3357512</v>
      </c>
      <c r="H325" s="25">
        <v>596.94000000000005</v>
      </c>
      <c r="I325" s="25">
        <v>596.94000000000005</v>
      </c>
      <c r="J325" s="24" t="s">
        <v>996</v>
      </c>
      <c r="K325" s="24" t="s">
        <v>877</v>
      </c>
      <c r="L325" s="24" t="s">
        <v>577</v>
      </c>
      <c r="M325" s="24" t="s">
        <v>878</v>
      </c>
      <c r="N325" s="24" t="s">
        <v>590</v>
      </c>
      <c r="O325" s="24">
        <v>293833</v>
      </c>
      <c r="P325" s="25"/>
      <c r="Q325" s="25"/>
      <c r="R325" s="24" t="s">
        <v>997</v>
      </c>
      <c r="S325" s="24" t="s">
        <v>581</v>
      </c>
      <c r="T325" s="27">
        <v>41479</v>
      </c>
      <c r="U325" s="25">
        <v>3312318</v>
      </c>
      <c r="V325" s="24" t="s">
        <v>582</v>
      </c>
      <c r="W325" s="24" t="s">
        <v>583</v>
      </c>
      <c r="X325" s="24" t="s">
        <v>584</v>
      </c>
      <c r="Y325" s="24">
        <v>4091</v>
      </c>
      <c r="Z325" s="24">
        <v>204411</v>
      </c>
      <c r="AA325" s="24">
        <v>670160</v>
      </c>
      <c r="AB325" s="24">
        <v>0</v>
      </c>
      <c r="AC325" s="24"/>
      <c r="AD325" s="24"/>
      <c r="AE325" s="24"/>
      <c r="AF325" s="24"/>
    </row>
    <row r="326" spans="1:32" ht="62.4" x14ac:dyDescent="0.3">
      <c r="A326" s="23">
        <v>41487</v>
      </c>
      <c r="B326" s="24" t="s">
        <v>571</v>
      </c>
      <c r="C326" s="24">
        <v>30264</v>
      </c>
      <c r="D326" s="24" t="s">
        <v>851</v>
      </c>
      <c r="E326" s="24" t="s">
        <v>934</v>
      </c>
      <c r="F326" s="24" t="s">
        <v>574</v>
      </c>
      <c r="G326" s="24">
        <v>3422831</v>
      </c>
      <c r="H326" s="25">
        <v>1335</v>
      </c>
      <c r="I326" s="26">
        <v>1335</v>
      </c>
      <c r="J326" s="24" t="s">
        <v>984</v>
      </c>
      <c r="K326" s="24" t="s">
        <v>853</v>
      </c>
      <c r="L326" s="24" t="s">
        <v>577</v>
      </c>
      <c r="M326" s="24" t="s">
        <v>589</v>
      </c>
      <c r="N326" s="24" t="s">
        <v>854</v>
      </c>
      <c r="O326" s="24">
        <v>293837</v>
      </c>
      <c r="P326" s="25"/>
      <c r="Q326" s="25"/>
      <c r="R326" s="24" t="s">
        <v>998</v>
      </c>
      <c r="S326" s="24" t="s">
        <v>581</v>
      </c>
      <c r="T326" s="27">
        <v>41498</v>
      </c>
      <c r="U326" s="25">
        <v>3371681</v>
      </c>
      <c r="V326" s="24" t="s">
        <v>582</v>
      </c>
      <c r="W326" s="24" t="s">
        <v>583</v>
      </c>
      <c r="X326" s="24" t="s">
        <v>584</v>
      </c>
      <c r="Y326" s="24">
        <v>4091</v>
      </c>
      <c r="Z326" s="24">
        <v>204411</v>
      </c>
      <c r="AA326" s="24">
        <v>572210</v>
      </c>
      <c r="AB326" s="24">
        <v>0</v>
      </c>
      <c r="AC326" s="24"/>
      <c r="AD326" s="24"/>
      <c r="AE326" s="24"/>
      <c r="AF326" s="24"/>
    </row>
    <row r="327" spans="1:32" ht="62.4" x14ac:dyDescent="0.3">
      <c r="A327" s="23">
        <v>41487</v>
      </c>
      <c r="B327" s="24" t="s">
        <v>571</v>
      </c>
      <c r="C327" s="24">
        <v>30264</v>
      </c>
      <c r="D327" s="24" t="s">
        <v>851</v>
      </c>
      <c r="E327" s="24" t="s">
        <v>934</v>
      </c>
      <c r="F327" s="24" t="s">
        <v>574</v>
      </c>
      <c r="G327" s="24">
        <v>3432614</v>
      </c>
      <c r="H327" s="25">
        <v>127.5</v>
      </c>
      <c r="I327" s="25">
        <v>127.5</v>
      </c>
      <c r="J327" s="24" t="s">
        <v>984</v>
      </c>
      <c r="K327" s="24" t="s">
        <v>853</v>
      </c>
      <c r="L327" s="24" t="s">
        <v>577</v>
      </c>
      <c r="M327" s="24" t="s">
        <v>589</v>
      </c>
      <c r="N327" s="24" t="s">
        <v>854</v>
      </c>
      <c r="O327" s="24">
        <v>293837</v>
      </c>
      <c r="P327" s="25"/>
      <c r="Q327" s="25"/>
      <c r="R327" s="24" t="s">
        <v>999</v>
      </c>
      <c r="S327" s="24" t="s">
        <v>581</v>
      </c>
      <c r="T327" s="27">
        <v>41501</v>
      </c>
      <c r="U327" s="25">
        <v>3384454</v>
      </c>
      <c r="V327" s="24" t="s">
        <v>582</v>
      </c>
      <c r="W327" s="24" t="s">
        <v>583</v>
      </c>
      <c r="X327" s="24" t="s">
        <v>584</v>
      </c>
      <c r="Y327" s="24">
        <v>4091</v>
      </c>
      <c r="Z327" s="24">
        <v>204411</v>
      </c>
      <c r="AA327" s="24">
        <v>572210</v>
      </c>
      <c r="AB327" s="24">
        <v>0</v>
      </c>
      <c r="AC327" s="24"/>
      <c r="AD327" s="24"/>
      <c r="AE327" s="24"/>
      <c r="AF327" s="24"/>
    </row>
    <row r="328" spans="1:32" ht="62.4" x14ac:dyDescent="0.3">
      <c r="A328" s="23">
        <v>41487</v>
      </c>
      <c r="B328" s="24" t="s">
        <v>571</v>
      </c>
      <c r="C328" s="24">
        <v>30264</v>
      </c>
      <c r="D328" s="24" t="s">
        <v>851</v>
      </c>
      <c r="E328" s="24" t="s">
        <v>934</v>
      </c>
      <c r="F328" s="24" t="s">
        <v>574</v>
      </c>
      <c r="G328" s="24">
        <v>3461865</v>
      </c>
      <c r="H328" s="25">
        <v>938</v>
      </c>
      <c r="I328" s="25">
        <v>938</v>
      </c>
      <c r="J328" s="24" t="s">
        <v>984</v>
      </c>
      <c r="K328" s="24" t="s">
        <v>853</v>
      </c>
      <c r="L328" s="24" t="s">
        <v>577</v>
      </c>
      <c r="M328" s="24" t="s">
        <v>589</v>
      </c>
      <c r="N328" s="24" t="s">
        <v>854</v>
      </c>
      <c r="O328" s="24">
        <v>293837</v>
      </c>
      <c r="P328" s="25"/>
      <c r="Q328" s="25"/>
      <c r="R328" s="24" t="s">
        <v>1000</v>
      </c>
      <c r="S328" s="24" t="s">
        <v>581</v>
      </c>
      <c r="T328" s="27">
        <v>41508</v>
      </c>
      <c r="U328" s="25">
        <v>3401318</v>
      </c>
      <c r="V328" s="24" t="s">
        <v>582</v>
      </c>
      <c r="W328" s="24" t="s">
        <v>583</v>
      </c>
      <c r="X328" s="24" t="s">
        <v>584</v>
      </c>
      <c r="Y328" s="24">
        <v>4091</v>
      </c>
      <c r="Z328" s="24">
        <v>204411</v>
      </c>
      <c r="AA328" s="24">
        <v>572210</v>
      </c>
      <c r="AB328" s="24">
        <v>0</v>
      </c>
      <c r="AC328" s="24"/>
      <c r="AD328" s="24"/>
      <c r="AE328" s="24"/>
      <c r="AF328" s="24"/>
    </row>
    <row r="329" spans="1:32" ht="62.4" x14ac:dyDescent="0.3">
      <c r="A329" s="23">
        <v>41487</v>
      </c>
      <c r="B329" s="24" t="s">
        <v>571</v>
      </c>
      <c r="C329" s="24">
        <v>30264</v>
      </c>
      <c r="D329" s="24" t="s">
        <v>851</v>
      </c>
      <c r="E329" s="24" t="s">
        <v>934</v>
      </c>
      <c r="F329" s="24" t="s">
        <v>574</v>
      </c>
      <c r="G329" s="24">
        <v>3461865</v>
      </c>
      <c r="H329" s="25">
        <v>685</v>
      </c>
      <c r="I329" s="25">
        <v>685</v>
      </c>
      <c r="J329" s="24" t="s">
        <v>984</v>
      </c>
      <c r="K329" s="24" t="s">
        <v>853</v>
      </c>
      <c r="L329" s="24" t="s">
        <v>577</v>
      </c>
      <c r="M329" s="24" t="s">
        <v>589</v>
      </c>
      <c r="N329" s="24" t="s">
        <v>854</v>
      </c>
      <c r="O329" s="24">
        <v>293837</v>
      </c>
      <c r="P329" s="25"/>
      <c r="Q329" s="25"/>
      <c r="R329" s="24" t="s">
        <v>1001</v>
      </c>
      <c r="S329" s="24" t="s">
        <v>581</v>
      </c>
      <c r="T329" s="27">
        <v>41508</v>
      </c>
      <c r="U329" s="25">
        <v>3401319</v>
      </c>
      <c r="V329" s="24" t="s">
        <v>582</v>
      </c>
      <c r="W329" s="24" t="s">
        <v>583</v>
      </c>
      <c r="X329" s="24" t="s">
        <v>584</v>
      </c>
      <c r="Y329" s="24">
        <v>4091</v>
      </c>
      <c r="Z329" s="24">
        <v>204411</v>
      </c>
      <c r="AA329" s="24">
        <v>572210</v>
      </c>
      <c r="AB329" s="24">
        <v>0</v>
      </c>
      <c r="AC329" s="24"/>
      <c r="AD329" s="24"/>
      <c r="AE329" s="24"/>
      <c r="AF329" s="24"/>
    </row>
    <row r="330" spans="1:32" ht="62.4" x14ac:dyDescent="0.3">
      <c r="A330" s="23">
        <v>41487</v>
      </c>
      <c r="B330" s="24" t="s">
        <v>571</v>
      </c>
      <c r="C330" s="24">
        <v>30264</v>
      </c>
      <c r="D330" s="24" t="s">
        <v>572</v>
      </c>
      <c r="E330" s="24" t="s">
        <v>573</v>
      </c>
      <c r="F330" s="24" t="s">
        <v>574</v>
      </c>
      <c r="G330" s="24">
        <v>3389348</v>
      </c>
      <c r="H330" s="25">
        <v>4950.3999999999996</v>
      </c>
      <c r="I330" s="26">
        <v>4950.3999999999996</v>
      </c>
      <c r="J330" s="24" t="s">
        <v>1002</v>
      </c>
      <c r="K330" s="24" t="s">
        <v>576</v>
      </c>
      <c r="L330" s="24" t="s">
        <v>1003</v>
      </c>
      <c r="M330" s="24" t="s">
        <v>578</v>
      </c>
      <c r="N330" s="24" t="s">
        <v>579</v>
      </c>
      <c r="O330" s="24">
        <v>293851</v>
      </c>
      <c r="P330" s="25"/>
      <c r="Q330" s="25"/>
      <c r="R330" s="24" t="s">
        <v>1004</v>
      </c>
      <c r="S330" s="24" t="s">
        <v>581</v>
      </c>
      <c r="T330" s="27">
        <v>41488</v>
      </c>
      <c r="U330" s="25">
        <v>3348700</v>
      </c>
      <c r="V330" s="24" t="s">
        <v>582</v>
      </c>
      <c r="W330" s="24" t="s">
        <v>583</v>
      </c>
      <c r="X330" s="24" t="s">
        <v>584</v>
      </c>
      <c r="Y330" s="24">
        <v>4091</v>
      </c>
      <c r="Z330" s="24">
        <v>204411</v>
      </c>
      <c r="AA330" s="24">
        <v>630120</v>
      </c>
      <c r="AB330" s="24">
        <v>0</v>
      </c>
      <c r="AC330" s="24"/>
      <c r="AD330" s="24"/>
      <c r="AE330" s="24"/>
      <c r="AF330" s="24"/>
    </row>
    <row r="331" spans="1:32" ht="62.4" x14ac:dyDescent="0.3">
      <c r="A331" s="23">
        <v>41487</v>
      </c>
      <c r="B331" s="24" t="s">
        <v>571</v>
      </c>
      <c r="C331" s="24">
        <v>30264</v>
      </c>
      <c r="D331" s="24" t="s">
        <v>572</v>
      </c>
      <c r="E331" s="24" t="s">
        <v>573</v>
      </c>
      <c r="F331" s="24" t="s">
        <v>574</v>
      </c>
      <c r="G331" s="24">
        <v>3502716</v>
      </c>
      <c r="H331" s="25">
        <v>1703.44</v>
      </c>
      <c r="I331" s="26">
        <v>1703.44</v>
      </c>
      <c r="J331" s="24" t="s">
        <v>989</v>
      </c>
      <c r="K331" s="24" t="s">
        <v>576</v>
      </c>
      <c r="L331" s="24" t="s">
        <v>577</v>
      </c>
      <c r="M331" s="24" t="s">
        <v>578</v>
      </c>
      <c r="N331" s="24" t="s">
        <v>579</v>
      </c>
      <c r="O331" s="24">
        <v>293881</v>
      </c>
      <c r="P331" s="25"/>
      <c r="Q331" s="25"/>
      <c r="R331" s="24" t="s">
        <v>1005</v>
      </c>
      <c r="S331" s="24" t="s">
        <v>581</v>
      </c>
      <c r="T331" s="27">
        <v>41515</v>
      </c>
      <c r="U331" s="25">
        <v>3423664</v>
      </c>
      <c r="V331" s="24" t="s">
        <v>582</v>
      </c>
      <c r="W331" s="24" t="s">
        <v>583</v>
      </c>
      <c r="X331" s="24" t="s">
        <v>584</v>
      </c>
      <c r="Y331" s="24">
        <v>4091</v>
      </c>
      <c r="Z331" s="24">
        <v>204411</v>
      </c>
      <c r="AA331" s="24">
        <v>630120</v>
      </c>
      <c r="AB331" s="24">
        <v>0</v>
      </c>
      <c r="AC331" s="24"/>
      <c r="AD331" s="24"/>
      <c r="AE331" s="24"/>
      <c r="AF331" s="24"/>
    </row>
    <row r="332" spans="1:32" ht="62.4" x14ac:dyDescent="0.3">
      <c r="A332" s="23">
        <v>41487</v>
      </c>
      <c r="B332" s="24" t="s">
        <v>571</v>
      </c>
      <c r="C332" s="24">
        <v>30264</v>
      </c>
      <c r="D332" s="24" t="s">
        <v>625</v>
      </c>
      <c r="E332" s="24" t="s">
        <v>586</v>
      </c>
      <c r="F332" s="24" t="s">
        <v>574</v>
      </c>
      <c r="G332" s="24">
        <v>3465031</v>
      </c>
      <c r="H332" s="25">
        <v>320</v>
      </c>
      <c r="I332" s="25">
        <v>320</v>
      </c>
      <c r="J332" s="24" t="s">
        <v>991</v>
      </c>
      <c r="K332" s="24" t="s">
        <v>627</v>
      </c>
      <c r="L332" s="24" t="s">
        <v>577</v>
      </c>
      <c r="M332" s="24" t="s">
        <v>589</v>
      </c>
      <c r="N332" s="24" t="s">
        <v>628</v>
      </c>
      <c r="O332" s="24">
        <v>293836</v>
      </c>
      <c r="P332" s="25"/>
      <c r="Q332" s="25"/>
      <c r="R332" s="24" t="s">
        <v>1006</v>
      </c>
      <c r="S332" s="24" t="s">
        <v>581</v>
      </c>
      <c r="T332" s="27">
        <v>41509</v>
      </c>
      <c r="U332" s="25">
        <v>3402738</v>
      </c>
      <c r="V332" s="24" t="s">
        <v>582</v>
      </c>
      <c r="W332" s="24" t="s">
        <v>583</v>
      </c>
      <c r="X332" s="24" t="s">
        <v>584</v>
      </c>
      <c r="Y332" s="24">
        <v>4091</v>
      </c>
      <c r="Z332" s="24">
        <v>204411</v>
      </c>
      <c r="AA332" s="24">
        <v>572010</v>
      </c>
      <c r="AB332" s="24">
        <v>0</v>
      </c>
      <c r="AC332" s="24"/>
      <c r="AD332" s="24"/>
      <c r="AE332" s="24"/>
      <c r="AF332" s="24"/>
    </row>
    <row r="333" spans="1:32" ht="62.4" x14ac:dyDescent="0.3">
      <c r="A333" s="23">
        <v>41487</v>
      </c>
      <c r="B333" s="24" t="s">
        <v>571</v>
      </c>
      <c r="C333" s="24">
        <v>30264</v>
      </c>
      <c r="D333" s="24" t="s">
        <v>585</v>
      </c>
      <c r="E333" s="24" t="s">
        <v>586</v>
      </c>
      <c r="F333" s="24" t="s">
        <v>574</v>
      </c>
      <c r="G333" s="24">
        <v>3403348</v>
      </c>
      <c r="H333" s="25">
        <v>2132.15</v>
      </c>
      <c r="I333" s="26">
        <v>2132.15</v>
      </c>
      <c r="J333" s="24" t="s">
        <v>1007</v>
      </c>
      <c r="K333" s="24" t="s">
        <v>600</v>
      </c>
      <c r="L333" s="24" t="s">
        <v>577</v>
      </c>
      <c r="M333" s="24" t="s">
        <v>589</v>
      </c>
      <c r="N333" s="24" t="s">
        <v>590</v>
      </c>
      <c r="O333" s="24">
        <v>295539</v>
      </c>
      <c r="P333" s="25"/>
      <c r="Q333" s="25"/>
      <c r="R333" s="24" t="s">
        <v>1008</v>
      </c>
      <c r="S333" s="24" t="s">
        <v>581</v>
      </c>
      <c r="T333" s="27">
        <v>41492</v>
      </c>
      <c r="U333" s="25">
        <v>3365041</v>
      </c>
      <c r="V333" s="24" t="s">
        <v>582</v>
      </c>
      <c r="W333" s="24" t="s">
        <v>583</v>
      </c>
      <c r="X333" s="24" t="s">
        <v>584</v>
      </c>
      <c r="Y333" s="24">
        <v>4091</v>
      </c>
      <c r="Z333" s="24">
        <v>204411</v>
      </c>
      <c r="AA333" s="24">
        <v>572010</v>
      </c>
      <c r="AB333" s="24">
        <v>0</v>
      </c>
      <c r="AC333" s="24"/>
      <c r="AD333" s="24"/>
      <c r="AE333" s="24"/>
      <c r="AF333" s="24"/>
    </row>
    <row r="334" spans="1:32" ht="62.4" x14ac:dyDescent="0.3">
      <c r="A334" s="23">
        <v>41487</v>
      </c>
      <c r="B334" s="24" t="s">
        <v>571</v>
      </c>
      <c r="C334" s="24">
        <v>30264</v>
      </c>
      <c r="D334" s="24" t="s">
        <v>585</v>
      </c>
      <c r="E334" s="24" t="s">
        <v>586</v>
      </c>
      <c r="F334" s="24" t="s">
        <v>574</v>
      </c>
      <c r="G334" s="24">
        <v>3422831</v>
      </c>
      <c r="H334" s="25">
        <v>3756</v>
      </c>
      <c r="I334" s="26">
        <v>3756</v>
      </c>
      <c r="J334" s="24" t="s">
        <v>1009</v>
      </c>
      <c r="K334" s="24" t="s">
        <v>871</v>
      </c>
      <c r="L334" s="24" t="s">
        <v>577</v>
      </c>
      <c r="M334" s="24" t="s">
        <v>589</v>
      </c>
      <c r="N334" s="24" t="s">
        <v>590</v>
      </c>
      <c r="O334" s="24">
        <v>296444</v>
      </c>
      <c r="P334" s="25"/>
      <c r="Q334" s="25"/>
      <c r="R334" s="24" t="s">
        <v>1010</v>
      </c>
      <c r="S334" s="24" t="s">
        <v>581</v>
      </c>
      <c r="T334" s="27">
        <v>41498</v>
      </c>
      <c r="U334" s="25">
        <v>3371826</v>
      </c>
      <c r="V334" s="24" t="s">
        <v>582</v>
      </c>
      <c r="W334" s="24" t="s">
        <v>583</v>
      </c>
      <c r="X334" s="24" t="s">
        <v>584</v>
      </c>
      <c r="Y334" s="24">
        <v>4091</v>
      </c>
      <c r="Z334" s="24">
        <v>204411</v>
      </c>
      <c r="AA334" s="24">
        <v>572010</v>
      </c>
      <c r="AB334" s="24">
        <v>0</v>
      </c>
      <c r="AC334" s="24"/>
      <c r="AD334" s="24"/>
      <c r="AE334" s="24"/>
      <c r="AF334" s="24"/>
    </row>
    <row r="335" spans="1:32" ht="62.4" x14ac:dyDescent="0.3">
      <c r="A335" s="23">
        <v>41487</v>
      </c>
      <c r="B335" s="24" t="s">
        <v>571</v>
      </c>
      <c r="C335" s="24">
        <v>30264</v>
      </c>
      <c r="D335" s="24" t="s">
        <v>585</v>
      </c>
      <c r="E335" s="24" t="s">
        <v>586</v>
      </c>
      <c r="F335" s="24" t="s">
        <v>574</v>
      </c>
      <c r="G335" s="24">
        <v>3461865</v>
      </c>
      <c r="H335" s="25">
        <v>3129.33</v>
      </c>
      <c r="I335" s="26">
        <v>3129.33</v>
      </c>
      <c r="J335" s="24" t="s">
        <v>1011</v>
      </c>
      <c r="K335" s="24" t="s">
        <v>724</v>
      </c>
      <c r="L335" s="24" t="s">
        <v>577</v>
      </c>
      <c r="M335" s="24" t="s">
        <v>589</v>
      </c>
      <c r="N335" s="24" t="s">
        <v>590</v>
      </c>
      <c r="O335" s="24">
        <v>295182</v>
      </c>
      <c r="P335" s="25"/>
      <c r="Q335" s="25"/>
      <c r="R335" s="24" t="s">
        <v>1012</v>
      </c>
      <c r="S335" s="24" t="s">
        <v>581</v>
      </c>
      <c r="T335" s="27">
        <v>41508</v>
      </c>
      <c r="U335" s="25">
        <v>3401328</v>
      </c>
      <c r="V335" s="24" t="s">
        <v>582</v>
      </c>
      <c r="W335" s="24" t="s">
        <v>583</v>
      </c>
      <c r="X335" s="24" t="s">
        <v>584</v>
      </c>
      <c r="Y335" s="24">
        <v>4091</v>
      </c>
      <c r="Z335" s="24">
        <v>204411</v>
      </c>
      <c r="AA335" s="24">
        <v>572010</v>
      </c>
      <c r="AB335" s="24">
        <v>0</v>
      </c>
      <c r="AC335" s="24"/>
      <c r="AD335" s="24"/>
      <c r="AE335" s="24"/>
      <c r="AF335" s="24"/>
    </row>
    <row r="336" spans="1:32" ht="62.4" x14ac:dyDescent="0.3">
      <c r="A336" s="23">
        <v>41487</v>
      </c>
      <c r="B336" s="24" t="s">
        <v>571</v>
      </c>
      <c r="C336" s="24">
        <v>30264</v>
      </c>
      <c r="D336" s="24" t="s">
        <v>585</v>
      </c>
      <c r="E336" s="24" t="s">
        <v>586</v>
      </c>
      <c r="F336" s="24" t="s">
        <v>574</v>
      </c>
      <c r="G336" s="24">
        <v>3461865</v>
      </c>
      <c r="H336" s="25">
        <v>7700</v>
      </c>
      <c r="I336" s="26">
        <v>7700</v>
      </c>
      <c r="J336" s="24" t="s">
        <v>1011</v>
      </c>
      <c r="K336" s="24" t="s">
        <v>724</v>
      </c>
      <c r="L336" s="24" t="s">
        <v>577</v>
      </c>
      <c r="M336" s="24" t="s">
        <v>589</v>
      </c>
      <c r="N336" s="24" t="s">
        <v>590</v>
      </c>
      <c r="O336" s="24">
        <v>295182</v>
      </c>
      <c r="P336" s="25"/>
      <c r="Q336" s="25"/>
      <c r="R336" s="24" t="s">
        <v>1013</v>
      </c>
      <c r="S336" s="24" t="s">
        <v>581</v>
      </c>
      <c r="T336" s="27">
        <v>41508</v>
      </c>
      <c r="U336" s="25">
        <v>3401329</v>
      </c>
      <c r="V336" s="24" t="s">
        <v>582</v>
      </c>
      <c r="W336" s="24" t="s">
        <v>583</v>
      </c>
      <c r="X336" s="24" t="s">
        <v>584</v>
      </c>
      <c r="Y336" s="24">
        <v>4091</v>
      </c>
      <c r="Z336" s="24">
        <v>204411</v>
      </c>
      <c r="AA336" s="24">
        <v>572010</v>
      </c>
      <c r="AB336" s="24">
        <v>0</v>
      </c>
      <c r="AC336" s="24"/>
      <c r="AD336" s="24"/>
      <c r="AE336" s="24"/>
      <c r="AF336" s="24"/>
    </row>
    <row r="337" spans="1:32" ht="62.4" x14ac:dyDescent="0.3">
      <c r="A337" s="23">
        <v>41487</v>
      </c>
      <c r="B337" s="24" t="s">
        <v>571</v>
      </c>
      <c r="C337" s="24">
        <v>30264</v>
      </c>
      <c r="D337" s="24" t="s">
        <v>585</v>
      </c>
      <c r="E337" s="24" t="s">
        <v>586</v>
      </c>
      <c r="F337" s="24" t="s">
        <v>574</v>
      </c>
      <c r="G337" s="24">
        <v>3461865</v>
      </c>
      <c r="H337" s="25">
        <v>1232.5</v>
      </c>
      <c r="I337" s="26">
        <v>1232.5</v>
      </c>
      <c r="J337" s="24" t="s">
        <v>1011</v>
      </c>
      <c r="K337" s="24" t="s">
        <v>724</v>
      </c>
      <c r="L337" s="24" t="s">
        <v>577</v>
      </c>
      <c r="M337" s="24" t="s">
        <v>589</v>
      </c>
      <c r="N337" s="24" t="s">
        <v>590</v>
      </c>
      <c r="O337" s="24">
        <v>295182</v>
      </c>
      <c r="P337" s="25"/>
      <c r="Q337" s="25"/>
      <c r="R337" s="24" t="s">
        <v>1014</v>
      </c>
      <c r="S337" s="24" t="s">
        <v>581</v>
      </c>
      <c r="T337" s="27">
        <v>41508</v>
      </c>
      <c r="U337" s="25">
        <v>3401330</v>
      </c>
      <c r="V337" s="24" t="s">
        <v>582</v>
      </c>
      <c r="W337" s="24" t="s">
        <v>583</v>
      </c>
      <c r="X337" s="24" t="s">
        <v>584</v>
      </c>
      <c r="Y337" s="24">
        <v>4091</v>
      </c>
      <c r="Z337" s="24">
        <v>204411</v>
      </c>
      <c r="AA337" s="24">
        <v>572010</v>
      </c>
      <c r="AB337" s="24">
        <v>0</v>
      </c>
      <c r="AC337" s="24"/>
      <c r="AD337" s="24"/>
      <c r="AE337" s="24"/>
      <c r="AF337" s="24"/>
    </row>
    <row r="338" spans="1:32" ht="62.4" x14ac:dyDescent="0.3">
      <c r="A338" s="23">
        <v>41487</v>
      </c>
      <c r="B338" s="24" t="s">
        <v>571</v>
      </c>
      <c r="C338" s="24">
        <v>30264</v>
      </c>
      <c r="D338" s="24" t="s">
        <v>585</v>
      </c>
      <c r="E338" s="24" t="s">
        <v>586</v>
      </c>
      <c r="F338" s="24" t="s">
        <v>574</v>
      </c>
      <c r="G338" s="24">
        <v>3461865</v>
      </c>
      <c r="H338" s="25">
        <v>780</v>
      </c>
      <c r="I338" s="25">
        <v>780</v>
      </c>
      <c r="J338" s="24" t="s">
        <v>1011</v>
      </c>
      <c r="K338" s="24" t="s">
        <v>724</v>
      </c>
      <c r="L338" s="24" t="s">
        <v>577</v>
      </c>
      <c r="M338" s="24" t="s">
        <v>589</v>
      </c>
      <c r="N338" s="24" t="s">
        <v>590</v>
      </c>
      <c r="O338" s="24">
        <v>295182</v>
      </c>
      <c r="P338" s="25"/>
      <c r="Q338" s="25"/>
      <c r="R338" s="24" t="s">
        <v>1015</v>
      </c>
      <c r="S338" s="24" t="s">
        <v>581</v>
      </c>
      <c r="T338" s="27">
        <v>41508</v>
      </c>
      <c r="U338" s="25">
        <v>3401331</v>
      </c>
      <c r="V338" s="24" t="s">
        <v>582</v>
      </c>
      <c r="W338" s="24" t="s">
        <v>583</v>
      </c>
      <c r="X338" s="24" t="s">
        <v>584</v>
      </c>
      <c r="Y338" s="24">
        <v>4091</v>
      </c>
      <c r="Z338" s="24">
        <v>204411</v>
      </c>
      <c r="AA338" s="24">
        <v>572010</v>
      </c>
      <c r="AB338" s="24">
        <v>0</v>
      </c>
      <c r="AC338" s="24"/>
      <c r="AD338" s="24"/>
      <c r="AE338" s="24"/>
      <c r="AF338" s="24"/>
    </row>
    <row r="339" spans="1:32" ht="62.4" x14ac:dyDescent="0.3">
      <c r="A339" s="23">
        <v>41487</v>
      </c>
      <c r="B339" s="24" t="s">
        <v>571</v>
      </c>
      <c r="C339" s="24">
        <v>30264</v>
      </c>
      <c r="D339" s="24" t="s">
        <v>585</v>
      </c>
      <c r="E339" s="24" t="s">
        <v>875</v>
      </c>
      <c r="F339" s="24" t="s">
        <v>574</v>
      </c>
      <c r="G339" s="24">
        <v>3461865</v>
      </c>
      <c r="H339" s="25">
        <v>596.94000000000005</v>
      </c>
      <c r="I339" s="25">
        <v>596.94000000000005</v>
      </c>
      <c r="J339" s="24" t="s">
        <v>996</v>
      </c>
      <c r="K339" s="24" t="s">
        <v>877</v>
      </c>
      <c r="L339" s="24" t="s">
        <v>577</v>
      </c>
      <c r="M339" s="24" t="s">
        <v>878</v>
      </c>
      <c r="N339" s="24" t="s">
        <v>590</v>
      </c>
      <c r="O339" s="24">
        <v>293833</v>
      </c>
      <c r="P339" s="25"/>
      <c r="Q339" s="25"/>
      <c r="R339" s="24" t="s">
        <v>1016</v>
      </c>
      <c r="S339" s="24" t="s">
        <v>581</v>
      </c>
      <c r="T339" s="27">
        <v>41508</v>
      </c>
      <c r="U339" s="25">
        <v>3401317</v>
      </c>
      <c r="V339" s="24" t="s">
        <v>582</v>
      </c>
      <c r="W339" s="24" t="s">
        <v>583</v>
      </c>
      <c r="X339" s="24" t="s">
        <v>584</v>
      </c>
      <c r="Y339" s="24">
        <v>4091</v>
      </c>
      <c r="Z339" s="24">
        <v>204411</v>
      </c>
      <c r="AA339" s="24">
        <v>670160</v>
      </c>
      <c r="AB339" s="24">
        <v>0</v>
      </c>
      <c r="AC339" s="24"/>
      <c r="AD339" s="24"/>
      <c r="AE339" s="24"/>
      <c r="AF339" s="24"/>
    </row>
    <row r="340" spans="1:32" ht="62.4" x14ac:dyDescent="0.3">
      <c r="A340" s="23">
        <v>41518</v>
      </c>
      <c r="B340" s="24" t="s">
        <v>571</v>
      </c>
      <c r="C340" s="24">
        <v>30264</v>
      </c>
      <c r="D340" s="24" t="s">
        <v>572</v>
      </c>
      <c r="E340" s="24" t="s">
        <v>573</v>
      </c>
      <c r="F340" s="24" t="s">
        <v>574</v>
      </c>
      <c r="G340" s="24">
        <v>3519005</v>
      </c>
      <c r="H340" s="25">
        <v>2748.2</v>
      </c>
      <c r="I340" s="26">
        <v>2748.2</v>
      </c>
      <c r="J340" s="24" t="s">
        <v>1002</v>
      </c>
      <c r="K340" s="24" t="s">
        <v>576</v>
      </c>
      <c r="L340" s="24" t="s">
        <v>577</v>
      </c>
      <c r="M340" s="24" t="s">
        <v>578</v>
      </c>
      <c r="N340" s="24" t="s">
        <v>579</v>
      </c>
      <c r="O340" s="24">
        <v>293851</v>
      </c>
      <c r="P340" s="25"/>
      <c r="Q340" s="25"/>
      <c r="R340" s="24" t="s">
        <v>1017</v>
      </c>
      <c r="S340" s="24" t="s">
        <v>581</v>
      </c>
      <c r="T340" s="27">
        <v>41520</v>
      </c>
      <c r="U340" s="25">
        <v>3448848</v>
      </c>
      <c r="V340" s="24" t="s">
        <v>582</v>
      </c>
      <c r="W340" s="24" t="s">
        <v>583</v>
      </c>
      <c r="X340" s="24" t="s">
        <v>584</v>
      </c>
      <c r="Y340" s="24">
        <v>4091</v>
      </c>
      <c r="Z340" s="24">
        <v>204411</v>
      </c>
      <c r="AA340" s="24">
        <v>630120</v>
      </c>
      <c r="AB340" s="24">
        <v>0</v>
      </c>
      <c r="AC340" s="24"/>
      <c r="AD340" s="24"/>
      <c r="AE340" s="24"/>
      <c r="AF340" s="24"/>
    </row>
    <row r="341" spans="1:32" ht="62.4" x14ac:dyDescent="0.3">
      <c r="A341" s="23">
        <v>41518</v>
      </c>
      <c r="B341" s="24" t="s">
        <v>571</v>
      </c>
      <c r="C341" s="24">
        <v>30264</v>
      </c>
      <c r="D341" s="24" t="s">
        <v>625</v>
      </c>
      <c r="E341" s="24" t="s">
        <v>586</v>
      </c>
      <c r="F341" s="24" t="s">
        <v>574</v>
      </c>
      <c r="G341" s="24">
        <v>3598803</v>
      </c>
      <c r="H341" s="25">
        <v>1160</v>
      </c>
      <c r="I341" s="26">
        <v>1160</v>
      </c>
      <c r="J341" s="24" t="s">
        <v>991</v>
      </c>
      <c r="K341" s="24" t="s">
        <v>627</v>
      </c>
      <c r="L341" s="24" t="s">
        <v>1003</v>
      </c>
      <c r="M341" s="24" t="s">
        <v>589</v>
      </c>
      <c r="N341" s="24" t="s">
        <v>628</v>
      </c>
      <c r="O341" s="24">
        <v>293836</v>
      </c>
      <c r="P341" s="25"/>
      <c r="Q341" s="25"/>
      <c r="R341" s="24" t="s">
        <v>1018</v>
      </c>
      <c r="S341" s="24" t="s">
        <v>581</v>
      </c>
      <c r="T341" s="27">
        <v>41544</v>
      </c>
      <c r="U341" s="25">
        <v>3503612</v>
      </c>
      <c r="V341" s="24" t="s">
        <v>582</v>
      </c>
      <c r="W341" s="24" t="s">
        <v>583</v>
      </c>
      <c r="X341" s="24" t="s">
        <v>584</v>
      </c>
      <c r="Y341" s="24">
        <v>4091</v>
      </c>
      <c r="Z341" s="24">
        <v>204411</v>
      </c>
      <c r="AA341" s="24">
        <v>572010</v>
      </c>
      <c r="AB341" s="24">
        <v>0</v>
      </c>
      <c r="AC341" s="24"/>
      <c r="AD341" s="24"/>
      <c r="AE341" s="24"/>
      <c r="AF341" s="24"/>
    </row>
    <row r="342" spans="1:32" ht="62.4" x14ac:dyDescent="0.3">
      <c r="A342" s="23">
        <v>41518</v>
      </c>
      <c r="B342" s="24" t="s">
        <v>571</v>
      </c>
      <c r="C342" s="24">
        <v>30264</v>
      </c>
      <c r="D342" s="24" t="s">
        <v>585</v>
      </c>
      <c r="E342" s="24" t="s">
        <v>586</v>
      </c>
      <c r="F342" s="24" t="s">
        <v>574</v>
      </c>
      <c r="G342" s="24">
        <v>3590730</v>
      </c>
      <c r="H342" s="25">
        <v>4840</v>
      </c>
      <c r="I342" s="26">
        <v>4840</v>
      </c>
      <c r="J342" s="24" t="s">
        <v>1011</v>
      </c>
      <c r="K342" s="24" t="s">
        <v>724</v>
      </c>
      <c r="L342" s="24" t="s">
        <v>577</v>
      </c>
      <c r="M342" s="24" t="s">
        <v>589</v>
      </c>
      <c r="N342" s="24" t="s">
        <v>590</v>
      </c>
      <c r="O342" s="24">
        <v>295182</v>
      </c>
      <c r="P342" s="25"/>
      <c r="Q342" s="25"/>
      <c r="R342" s="24" t="s">
        <v>1019</v>
      </c>
      <c r="S342" s="24" t="s">
        <v>581</v>
      </c>
      <c r="T342" s="27">
        <v>41542</v>
      </c>
      <c r="U342" s="25">
        <v>3501350</v>
      </c>
      <c r="V342" s="24" t="s">
        <v>582</v>
      </c>
      <c r="W342" s="24" t="s">
        <v>583</v>
      </c>
      <c r="X342" s="24" t="s">
        <v>584</v>
      </c>
      <c r="Y342" s="24">
        <v>4091</v>
      </c>
      <c r="Z342" s="24">
        <v>204411</v>
      </c>
      <c r="AA342" s="24">
        <v>572010</v>
      </c>
      <c r="AB342" s="24">
        <v>0</v>
      </c>
      <c r="AC342" s="24"/>
      <c r="AD342" s="24"/>
      <c r="AE342" s="24"/>
      <c r="AF342" s="24"/>
    </row>
    <row r="343" spans="1:32" ht="62.4" x14ac:dyDescent="0.3">
      <c r="A343" s="23">
        <v>41518</v>
      </c>
      <c r="B343" s="24" t="s">
        <v>571</v>
      </c>
      <c r="C343" s="24">
        <v>30264</v>
      </c>
      <c r="D343" s="24" t="s">
        <v>585</v>
      </c>
      <c r="E343" s="24" t="s">
        <v>586</v>
      </c>
      <c r="F343" s="24" t="s">
        <v>574</v>
      </c>
      <c r="G343" s="24">
        <v>3590730</v>
      </c>
      <c r="H343" s="25">
        <v>1874.5</v>
      </c>
      <c r="I343" s="26">
        <v>1874.5</v>
      </c>
      <c r="J343" s="24" t="s">
        <v>1011</v>
      </c>
      <c r="K343" s="24" t="s">
        <v>724</v>
      </c>
      <c r="L343" s="24" t="s">
        <v>577</v>
      </c>
      <c r="M343" s="24" t="s">
        <v>589</v>
      </c>
      <c r="N343" s="24" t="s">
        <v>590</v>
      </c>
      <c r="O343" s="24">
        <v>295182</v>
      </c>
      <c r="P343" s="25"/>
      <c r="Q343" s="25"/>
      <c r="R343" s="24" t="s">
        <v>1020</v>
      </c>
      <c r="S343" s="24" t="s">
        <v>581</v>
      </c>
      <c r="T343" s="27">
        <v>41542</v>
      </c>
      <c r="U343" s="25">
        <v>3501351</v>
      </c>
      <c r="V343" s="24" t="s">
        <v>582</v>
      </c>
      <c r="W343" s="24" t="s">
        <v>583</v>
      </c>
      <c r="X343" s="24" t="s">
        <v>584</v>
      </c>
      <c r="Y343" s="24">
        <v>4091</v>
      </c>
      <c r="Z343" s="24">
        <v>204411</v>
      </c>
      <c r="AA343" s="24">
        <v>572010</v>
      </c>
      <c r="AB343" s="24">
        <v>0</v>
      </c>
      <c r="AC343" s="24"/>
      <c r="AD343" s="24"/>
      <c r="AE343" s="24"/>
      <c r="AF343" s="24"/>
    </row>
    <row r="344" spans="1:32" ht="62.4" x14ac:dyDescent="0.3">
      <c r="A344" s="23">
        <v>41518</v>
      </c>
      <c r="B344" s="24" t="s">
        <v>571</v>
      </c>
      <c r="C344" s="24">
        <v>30264</v>
      </c>
      <c r="D344" s="24" t="s">
        <v>585</v>
      </c>
      <c r="E344" s="24" t="s">
        <v>875</v>
      </c>
      <c r="F344" s="24" t="s">
        <v>574</v>
      </c>
      <c r="G344" s="24">
        <v>3594102</v>
      </c>
      <c r="H344" s="25">
        <v>596.94000000000005</v>
      </c>
      <c r="I344" s="25">
        <v>596.94000000000005</v>
      </c>
      <c r="J344" s="24" t="s">
        <v>996</v>
      </c>
      <c r="K344" s="24" t="s">
        <v>877</v>
      </c>
      <c r="L344" s="24" t="s">
        <v>577</v>
      </c>
      <c r="M344" s="24" t="s">
        <v>878</v>
      </c>
      <c r="N344" s="24" t="s">
        <v>590</v>
      </c>
      <c r="O344" s="24">
        <v>293833</v>
      </c>
      <c r="P344" s="25"/>
      <c r="Q344" s="25"/>
      <c r="R344" s="24" t="s">
        <v>1021</v>
      </c>
      <c r="S344" s="24" t="s">
        <v>581</v>
      </c>
      <c r="T344" s="27">
        <v>41543</v>
      </c>
      <c r="U344" s="25">
        <v>3502838</v>
      </c>
      <c r="V344" s="24" t="s">
        <v>582</v>
      </c>
      <c r="W344" s="24" t="s">
        <v>583</v>
      </c>
      <c r="X344" s="24" t="s">
        <v>584</v>
      </c>
      <c r="Y344" s="24">
        <v>4091</v>
      </c>
      <c r="Z344" s="24">
        <v>204411</v>
      </c>
      <c r="AA344" s="24">
        <v>670160</v>
      </c>
      <c r="AB344" s="24">
        <v>0</v>
      </c>
      <c r="AC344" s="24"/>
      <c r="AD344" s="24"/>
      <c r="AE344" s="24"/>
      <c r="AF344" s="24"/>
    </row>
    <row r="345" spans="1:32" ht="62.4" x14ac:dyDescent="0.3">
      <c r="A345" s="23">
        <v>41518</v>
      </c>
      <c r="B345" s="24" t="s">
        <v>571</v>
      </c>
      <c r="C345" s="24">
        <v>30264</v>
      </c>
      <c r="D345" s="24" t="s">
        <v>585</v>
      </c>
      <c r="E345" s="24" t="s">
        <v>875</v>
      </c>
      <c r="F345" s="24" t="s">
        <v>574</v>
      </c>
      <c r="G345" s="24">
        <v>3594102</v>
      </c>
      <c r="H345" s="25">
        <v>322</v>
      </c>
      <c r="I345" s="25">
        <v>322</v>
      </c>
      <c r="J345" s="24" t="s">
        <v>996</v>
      </c>
      <c r="K345" s="24" t="s">
        <v>877</v>
      </c>
      <c r="L345" s="24" t="s">
        <v>577</v>
      </c>
      <c r="M345" s="24" t="s">
        <v>878</v>
      </c>
      <c r="N345" s="24" t="s">
        <v>590</v>
      </c>
      <c r="O345" s="24">
        <v>293833</v>
      </c>
      <c r="P345" s="25"/>
      <c r="Q345" s="25"/>
      <c r="R345" s="24" t="s">
        <v>1022</v>
      </c>
      <c r="S345" s="24" t="s">
        <v>581</v>
      </c>
      <c r="T345" s="27">
        <v>41543</v>
      </c>
      <c r="U345" s="25">
        <v>3502839</v>
      </c>
      <c r="V345" s="24" t="s">
        <v>582</v>
      </c>
      <c r="W345" s="24" t="s">
        <v>583</v>
      </c>
      <c r="X345" s="24" t="s">
        <v>584</v>
      </c>
      <c r="Y345" s="24">
        <v>4091</v>
      </c>
      <c r="Z345" s="24">
        <v>204411</v>
      </c>
      <c r="AA345" s="24">
        <v>670160</v>
      </c>
      <c r="AB345" s="24">
        <v>0</v>
      </c>
      <c r="AC345" s="24"/>
      <c r="AD345" s="24"/>
      <c r="AE345" s="24"/>
      <c r="AF345" s="24"/>
    </row>
    <row r="346" spans="1:32" ht="62.4" x14ac:dyDescent="0.3">
      <c r="A346" s="23">
        <v>41548</v>
      </c>
      <c r="B346" s="24" t="s">
        <v>571</v>
      </c>
      <c r="C346" s="24">
        <v>30264</v>
      </c>
      <c r="D346" s="24" t="s">
        <v>851</v>
      </c>
      <c r="E346" s="24" t="s">
        <v>934</v>
      </c>
      <c r="F346" s="24" t="s">
        <v>574</v>
      </c>
      <c r="G346" s="24">
        <v>3663913</v>
      </c>
      <c r="H346" s="25">
        <v>109.09</v>
      </c>
      <c r="I346" s="25">
        <v>109.09</v>
      </c>
      <c r="J346" s="24" t="s">
        <v>984</v>
      </c>
      <c r="K346" s="24" t="s">
        <v>853</v>
      </c>
      <c r="L346" s="24" t="s">
        <v>577</v>
      </c>
      <c r="M346" s="24" t="s">
        <v>589</v>
      </c>
      <c r="N346" s="24" t="s">
        <v>854</v>
      </c>
      <c r="O346" s="24">
        <v>293837</v>
      </c>
      <c r="P346" s="25"/>
      <c r="Q346" s="25"/>
      <c r="R346" s="24" t="s">
        <v>1023</v>
      </c>
      <c r="S346" s="24" t="s">
        <v>581</v>
      </c>
      <c r="T346" s="27">
        <v>41564</v>
      </c>
      <c r="U346" s="25">
        <v>3568532</v>
      </c>
      <c r="V346" s="24" t="s">
        <v>582</v>
      </c>
      <c r="W346" s="24" t="s">
        <v>583</v>
      </c>
      <c r="X346" s="24" t="s">
        <v>584</v>
      </c>
      <c r="Y346" s="24">
        <v>4091</v>
      </c>
      <c r="Z346" s="24">
        <v>204411</v>
      </c>
      <c r="AA346" s="24">
        <v>572210</v>
      </c>
      <c r="AB346" s="24">
        <v>0</v>
      </c>
      <c r="AC346" s="24"/>
      <c r="AD346" s="24"/>
      <c r="AE346" s="24"/>
      <c r="AF346" s="24"/>
    </row>
    <row r="347" spans="1:32" ht="62.4" x14ac:dyDescent="0.3">
      <c r="A347" s="23">
        <v>41548</v>
      </c>
      <c r="B347" s="24" t="s">
        <v>571</v>
      </c>
      <c r="C347" s="24">
        <v>30264</v>
      </c>
      <c r="D347" s="24" t="s">
        <v>572</v>
      </c>
      <c r="E347" s="24" t="s">
        <v>573</v>
      </c>
      <c r="F347" s="24" t="s">
        <v>574</v>
      </c>
      <c r="G347" s="24">
        <v>3612123</v>
      </c>
      <c r="H347" s="25">
        <v>1703.44</v>
      </c>
      <c r="I347" s="26">
        <v>1703.44</v>
      </c>
      <c r="J347" s="24" t="s">
        <v>989</v>
      </c>
      <c r="K347" s="24" t="s">
        <v>576</v>
      </c>
      <c r="L347" s="24" t="s">
        <v>1003</v>
      </c>
      <c r="M347" s="24" t="s">
        <v>578</v>
      </c>
      <c r="N347" s="24" t="s">
        <v>579</v>
      </c>
      <c r="O347" s="24">
        <v>293881</v>
      </c>
      <c r="P347" s="25"/>
      <c r="Q347" s="25"/>
      <c r="R347" s="24" t="s">
        <v>1024</v>
      </c>
      <c r="S347" s="24" t="s">
        <v>581</v>
      </c>
      <c r="T347" s="27">
        <v>41548</v>
      </c>
      <c r="U347" s="25">
        <v>3524974</v>
      </c>
      <c r="V347" s="24" t="s">
        <v>582</v>
      </c>
      <c r="W347" s="24" t="s">
        <v>583</v>
      </c>
      <c r="X347" s="24" t="s">
        <v>584</v>
      </c>
      <c r="Y347" s="24">
        <v>4091</v>
      </c>
      <c r="Z347" s="24">
        <v>204411</v>
      </c>
      <c r="AA347" s="24">
        <v>630120</v>
      </c>
      <c r="AB347" s="24">
        <v>0</v>
      </c>
      <c r="AC347" s="24"/>
      <c r="AD347" s="24"/>
      <c r="AE347" s="24"/>
      <c r="AF347" s="24"/>
    </row>
    <row r="348" spans="1:32" ht="62.4" x14ac:dyDescent="0.3">
      <c r="A348" s="23">
        <v>41548</v>
      </c>
      <c r="B348" s="24" t="s">
        <v>571</v>
      </c>
      <c r="C348" s="24">
        <v>30264</v>
      </c>
      <c r="D348" s="24" t="s">
        <v>572</v>
      </c>
      <c r="E348" s="24" t="s">
        <v>573</v>
      </c>
      <c r="F348" s="24" t="s">
        <v>574</v>
      </c>
      <c r="G348" s="24">
        <v>3641359</v>
      </c>
      <c r="H348" s="25">
        <v>2366</v>
      </c>
      <c r="I348" s="26">
        <v>2366</v>
      </c>
      <c r="J348" s="24" t="s">
        <v>1002</v>
      </c>
      <c r="K348" s="24" t="s">
        <v>576</v>
      </c>
      <c r="L348" s="24" t="s">
        <v>577</v>
      </c>
      <c r="M348" s="24" t="s">
        <v>578</v>
      </c>
      <c r="N348" s="24" t="s">
        <v>579</v>
      </c>
      <c r="O348" s="24">
        <v>293851</v>
      </c>
      <c r="P348" s="25"/>
      <c r="Q348" s="25"/>
      <c r="R348" s="24" t="s">
        <v>1025</v>
      </c>
      <c r="S348" s="24" t="s">
        <v>581</v>
      </c>
      <c r="T348" s="27">
        <v>41557</v>
      </c>
      <c r="U348" s="25">
        <v>3551811</v>
      </c>
      <c r="V348" s="24" t="s">
        <v>582</v>
      </c>
      <c r="W348" s="24" t="s">
        <v>583</v>
      </c>
      <c r="X348" s="24" t="s">
        <v>584</v>
      </c>
      <c r="Y348" s="24">
        <v>4091</v>
      </c>
      <c r="Z348" s="24">
        <v>204411</v>
      </c>
      <c r="AA348" s="24">
        <v>630120</v>
      </c>
      <c r="AB348" s="24">
        <v>0</v>
      </c>
      <c r="AC348" s="24"/>
      <c r="AD348" s="24"/>
      <c r="AE348" s="24"/>
      <c r="AF348" s="24"/>
    </row>
    <row r="349" spans="1:32" ht="62.4" x14ac:dyDescent="0.3">
      <c r="A349" s="23">
        <v>41548</v>
      </c>
      <c r="B349" s="24" t="s">
        <v>571</v>
      </c>
      <c r="C349" s="24">
        <v>30264</v>
      </c>
      <c r="D349" s="24" t="s">
        <v>572</v>
      </c>
      <c r="E349" s="24" t="s">
        <v>573</v>
      </c>
      <c r="F349" s="24" t="s">
        <v>574</v>
      </c>
      <c r="G349" s="24">
        <v>3713766</v>
      </c>
      <c r="H349" s="25">
        <v>1703.44</v>
      </c>
      <c r="I349" s="26">
        <v>1703.44</v>
      </c>
      <c r="J349" s="24" t="s">
        <v>989</v>
      </c>
      <c r="K349" s="24" t="s">
        <v>576</v>
      </c>
      <c r="L349" s="24" t="s">
        <v>633</v>
      </c>
      <c r="M349" s="24" t="s">
        <v>578</v>
      </c>
      <c r="N349" s="24" t="s">
        <v>579</v>
      </c>
      <c r="O349" s="24">
        <v>293881</v>
      </c>
      <c r="P349" s="25"/>
      <c r="Q349" s="25"/>
      <c r="R349" s="24" t="s">
        <v>1026</v>
      </c>
      <c r="S349" s="24" t="s">
        <v>581</v>
      </c>
      <c r="T349" s="27">
        <v>41577</v>
      </c>
      <c r="U349" s="25">
        <v>3610239</v>
      </c>
      <c r="V349" s="24" t="s">
        <v>582</v>
      </c>
      <c r="W349" s="24" t="s">
        <v>583</v>
      </c>
      <c r="X349" s="24" t="s">
        <v>584</v>
      </c>
      <c r="Y349" s="24">
        <v>4091</v>
      </c>
      <c r="Z349" s="24">
        <v>204411</v>
      </c>
      <c r="AA349" s="24">
        <v>630120</v>
      </c>
      <c r="AB349" s="24">
        <v>0</v>
      </c>
      <c r="AC349" s="24"/>
      <c r="AD349" s="24"/>
      <c r="AE349" s="24"/>
      <c r="AF349" s="24"/>
    </row>
    <row r="350" spans="1:32" ht="62.4" x14ac:dyDescent="0.3">
      <c r="A350" s="23">
        <v>41548</v>
      </c>
      <c r="B350" s="24" t="s">
        <v>571</v>
      </c>
      <c r="C350" s="24">
        <v>30264</v>
      </c>
      <c r="D350" s="24" t="s">
        <v>625</v>
      </c>
      <c r="E350" s="24" t="s">
        <v>586</v>
      </c>
      <c r="F350" s="24" t="s">
        <v>574</v>
      </c>
      <c r="G350" s="24">
        <v>3690557</v>
      </c>
      <c r="H350" s="25">
        <v>5323.5</v>
      </c>
      <c r="I350" s="26">
        <v>5323.5</v>
      </c>
      <c r="J350" s="24" t="s">
        <v>991</v>
      </c>
      <c r="K350" s="24" t="s">
        <v>627</v>
      </c>
      <c r="L350" s="24" t="s">
        <v>577</v>
      </c>
      <c r="M350" s="24" t="s">
        <v>589</v>
      </c>
      <c r="N350" s="24" t="s">
        <v>628</v>
      </c>
      <c r="O350" s="24">
        <v>293836</v>
      </c>
      <c r="P350" s="25"/>
      <c r="Q350" s="25"/>
      <c r="R350" s="24" t="s">
        <v>1027</v>
      </c>
      <c r="S350" s="24" t="s">
        <v>581</v>
      </c>
      <c r="T350" s="27">
        <v>41572</v>
      </c>
      <c r="U350" s="25">
        <v>3588354</v>
      </c>
      <c r="V350" s="24" t="s">
        <v>582</v>
      </c>
      <c r="W350" s="24" t="s">
        <v>583</v>
      </c>
      <c r="X350" s="24" t="s">
        <v>584</v>
      </c>
      <c r="Y350" s="24">
        <v>4091</v>
      </c>
      <c r="Z350" s="24">
        <v>204411</v>
      </c>
      <c r="AA350" s="24">
        <v>572010</v>
      </c>
      <c r="AB350" s="24">
        <v>0</v>
      </c>
      <c r="AC350" s="24"/>
      <c r="AD350" s="24"/>
      <c r="AE350" s="24"/>
      <c r="AF350" s="24"/>
    </row>
    <row r="351" spans="1:32" ht="62.4" x14ac:dyDescent="0.3">
      <c r="A351" s="23">
        <v>41548</v>
      </c>
      <c r="B351" s="24" t="s">
        <v>571</v>
      </c>
      <c r="C351" s="24">
        <v>30264</v>
      </c>
      <c r="D351" s="24" t="s">
        <v>585</v>
      </c>
      <c r="E351" s="24" t="s">
        <v>586</v>
      </c>
      <c r="F351" s="24" t="s">
        <v>574</v>
      </c>
      <c r="G351" s="24">
        <v>3614235</v>
      </c>
      <c r="H351" s="25">
        <v>4008.27</v>
      </c>
      <c r="I351" s="26">
        <v>4008.27</v>
      </c>
      <c r="J351" s="24" t="s">
        <v>1011</v>
      </c>
      <c r="K351" s="24" t="s">
        <v>724</v>
      </c>
      <c r="L351" s="24" t="s">
        <v>577</v>
      </c>
      <c r="M351" s="24" t="s">
        <v>589</v>
      </c>
      <c r="N351" s="24" t="s">
        <v>590</v>
      </c>
      <c r="O351" s="24">
        <v>295182</v>
      </c>
      <c r="P351" s="25"/>
      <c r="Q351" s="25"/>
      <c r="R351" s="24" t="s">
        <v>1028</v>
      </c>
      <c r="S351" s="24" t="s">
        <v>581</v>
      </c>
      <c r="T351" s="27">
        <v>41549</v>
      </c>
      <c r="U351" s="25">
        <v>3532852</v>
      </c>
      <c r="V351" s="24" t="s">
        <v>582</v>
      </c>
      <c r="W351" s="24" t="s">
        <v>583</v>
      </c>
      <c r="X351" s="24" t="s">
        <v>584</v>
      </c>
      <c r="Y351" s="24">
        <v>4091</v>
      </c>
      <c r="Z351" s="24">
        <v>204411</v>
      </c>
      <c r="AA351" s="24">
        <v>572010</v>
      </c>
      <c r="AB351" s="24">
        <v>0</v>
      </c>
      <c r="AC351" s="24"/>
      <c r="AD351" s="24"/>
      <c r="AE351" s="24"/>
      <c r="AF351" s="24"/>
    </row>
    <row r="352" spans="1:32" ht="62.4" x14ac:dyDescent="0.3">
      <c r="A352" s="23">
        <v>41548</v>
      </c>
      <c r="B352" s="24" t="s">
        <v>571</v>
      </c>
      <c r="C352" s="24">
        <v>30264</v>
      </c>
      <c r="D352" s="24" t="s">
        <v>585</v>
      </c>
      <c r="E352" s="24" t="s">
        <v>586</v>
      </c>
      <c r="F352" s="24" t="s">
        <v>574</v>
      </c>
      <c r="G352" s="24">
        <v>3614235</v>
      </c>
      <c r="H352" s="25">
        <v>22368.67</v>
      </c>
      <c r="I352" s="26">
        <v>22368.67</v>
      </c>
      <c r="J352" s="24" t="s">
        <v>1029</v>
      </c>
      <c r="K352" s="24" t="s">
        <v>1030</v>
      </c>
      <c r="L352" s="24" t="s">
        <v>577</v>
      </c>
      <c r="M352" s="24" t="s">
        <v>589</v>
      </c>
      <c r="N352" s="24" t="s">
        <v>590</v>
      </c>
      <c r="O352" s="24">
        <v>300842</v>
      </c>
      <c r="P352" s="25"/>
      <c r="Q352" s="25"/>
      <c r="R352" s="24" t="s">
        <v>1031</v>
      </c>
      <c r="S352" s="24" t="s">
        <v>581</v>
      </c>
      <c r="T352" s="27">
        <v>41549</v>
      </c>
      <c r="U352" s="25">
        <v>3532856</v>
      </c>
      <c r="V352" s="24" t="s">
        <v>582</v>
      </c>
      <c r="W352" s="24" t="s">
        <v>583</v>
      </c>
      <c r="X352" s="24" t="s">
        <v>584</v>
      </c>
      <c r="Y352" s="24">
        <v>4091</v>
      </c>
      <c r="Z352" s="24">
        <v>204411</v>
      </c>
      <c r="AA352" s="24">
        <v>572010</v>
      </c>
      <c r="AB352" s="24">
        <v>0</v>
      </c>
      <c r="AC352" s="24"/>
      <c r="AD352" s="24"/>
      <c r="AE352" s="24"/>
      <c r="AF352" s="24"/>
    </row>
    <row r="353" spans="1:32" ht="62.4" x14ac:dyDescent="0.3">
      <c r="A353" s="23">
        <v>41548</v>
      </c>
      <c r="B353" s="24" t="s">
        <v>571</v>
      </c>
      <c r="C353" s="24">
        <v>30264</v>
      </c>
      <c r="D353" s="24" t="s">
        <v>585</v>
      </c>
      <c r="E353" s="24" t="s">
        <v>586</v>
      </c>
      <c r="F353" s="24" t="s">
        <v>574</v>
      </c>
      <c r="G353" s="24">
        <v>3625314</v>
      </c>
      <c r="H353" s="25">
        <v>1152.1199999999999</v>
      </c>
      <c r="I353" s="26">
        <v>1152.1199999999999</v>
      </c>
      <c r="J353" s="24" t="s">
        <v>1011</v>
      </c>
      <c r="K353" s="24" t="s">
        <v>724</v>
      </c>
      <c r="L353" s="24" t="s">
        <v>1003</v>
      </c>
      <c r="M353" s="24" t="s">
        <v>589</v>
      </c>
      <c r="N353" s="24" t="s">
        <v>590</v>
      </c>
      <c r="O353" s="24">
        <v>295182</v>
      </c>
      <c r="P353" s="25"/>
      <c r="Q353" s="25"/>
      <c r="R353" s="24" t="s">
        <v>1032</v>
      </c>
      <c r="S353" s="24" t="s">
        <v>581</v>
      </c>
      <c r="T353" s="27">
        <v>41551</v>
      </c>
      <c r="U353" s="25">
        <v>3541263</v>
      </c>
      <c r="V353" s="24" t="s">
        <v>582</v>
      </c>
      <c r="W353" s="24" t="s">
        <v>583</v>
      </c>
      <c r="X353" s="24" t="s">
        <v>584</v>
      </c>
      <c r="Y353" s="24">
        <v>4091</v>
      </c>
      <c r="Z353" s="24">
        <v>204411</v>
      </c>
      <c r="AA353" s="24">
        <v>572010</v>
      </c>
      <c r="AB353" s="24">
        <v>0</v>
      </c>
      <c r="AC353" s="24"/>
      <c r="AD353" s="24"/>
      <c r="AE353" s="24"/>
      <c r="AF353" s="24"/>
    </row>
    <row r="354" spans="1:32" ht="62.4" x14ac:dyDescent="0.3">
      <c r="A354" s="23">
        <v>41548</v>
      </c>
      <c r="B354" s="24" t="s">
        <v>571</v>
      </c>
      <c r="C354" s="24">
        <v>30264</v>
      </c>
      <c r="D354" s="24" t="s">
        <v>585</v>
      </c>
      <c r="E354" s="24" t="s">
        <v>586</v>
      </c>
      <c r="F354" s="24" t="s">
        <v>574</v>
      </c>
      <c r="G354" s="24">
        <v>3663913</v>
      </c>
      <c r="H354" s="25">
        <v>5767.5</v>
      </c>
      <c r="I354" s="26">
        <v>5767.5</v>
      </c>
      <c r="J354" s="24" t="s">
        <v>1011</v>
      </c>
      <c r="K354" s="24" t="s">
        <v>724</v>
      </c>
      <c r="L354" s="24" t="s">
        <v>577</v>
      </c>
      <c r="M354" s="24" t="s">
        <v>589</v>
      </c>
      <c r="N354" s="24" t="s">
        <v>590</v>
      </c>
      <c r="O354" s="24">
        <v>295182</v>
      </c>
      <c r="P354" s="25"/>
      <c r="Q354" s="25"/>
      <c r="R354" s="24" t="s">
        <v>1033</v>
      </c>
      <c r="S354" s="24" t="s">
        <v>581</v>
      </c>
      <c r="T354" s="27">
        <v>41564</v>
      </c>
      <c r="U354" s="25">
        <v>3568544</v>
      </c>
      <c r="V354" s="24" t="s">
        <v>582</v>
      </c>
      <c r="W354" s="24" t="s">
        <v>583</v>
      </c>
      <c r="X354" s="24" t="s">
        <v>584</v>
      </c>
      <c r="Y354" s="24">
        <v>4091</v>
      </c>
      <c r="Z354" s="24">
        <v>204411</v>
      </c>
      <c r="AA354" s="24">
        <v>572010</v>
      </c>
      <c r="AB354" s="24">
        <v>0</v>
      </c>
      <c r="AC354" s="24"/>
      <c r="AD354" s="24"/>
      <c r="AE354" s="24"/>
      <c r="AF354" s="24"/>
    </row>
    <row r="355" spans="1:32" ht="62.4" x14ac:dyDescent="0.3">
      <c r="A355" s="23">
        <v>41548</v>
      </c>
      <c r="B355" s="24" t="s">
        <v>571</v>
      </c>
      <c r="C355" s="24">
        <v>30264</v>
      </c>
      <c r="D355" s="24" t="s">
        <v>585</v>
      </c>
      <c r="E355" s="24" t="s">
        <v>586</v>
      </c>
      <c r="F355" s="24" t="s">
        <v>574</v>
      </c>
      <c r="G355" s="24">
        <v>3663913</v>
      </c>
      <c r="H355" s="25">
        <v>5474</v>
      </c>
      <c r="I355" s="26">
        <v>5474</v>
      </c>
      <c r="J355" s="24" t="s">
        <v>1011</v>
      </c>
      <c r="K355" s="24" t="s">
        <v>724</v>
      </c>
      <c r="L355" s="24" t="s">
        <v>577</v>
      </c>
      <c r="M355" s="24" t="s">
        <v>589</v>
      </c>
      <c r="N355" s="24" t="s">
        <v>590</v>
      </c>
      <c r="O355" s="24">
        <v>295182</v>
      </c>
      <c r="P355" s="25"/>
      <c r="Q355" s="25"/>
      <c r="R355" s="24" t="s">
        <v>1034</v>
      </c>
      <c r="S355" s="24" t="s">
        <v>581</v>
      </c>
      <c r="T355" s="27">
        <v>41564</v>
      </c>
      <c r="U355" s="25">
        <v>3568545</v>
      </c>
      <c r="V355" s="24" t="s">
        <v>582</v>
      </c>
      <c r="W355" s="24" t="s">
        <v>583</v>
      </c>
      <c r="X355" s="24" t="s">
        <v>584</v>
      </c>
      <c r="Y355" s="24">
        <v>4091</v>
      </c>
      <c r="Z355" s="24">
        <v>204411</v>
      </c>
      <c r="AA355" s="24">
        <v>572010</v>
      </c>
      <c r="AB355" s="24">
        <v>0</v>
      </c>
      <c r="AC355" s="24"/>
      <c r="AD355" s="24"/>
      <c r="AE355" s="24"/>
      <c r="AF355" s="24"/>
    </row>
    <row r="356" spans="1:32" ht="62.4" x14ac:dyDescent="0.3">
      <c r="A356" s="23">
        <v>41548</v>
      </c>
      <c r="B356" s="24" t="s">
        <v>571</v>
      </c>
      <c r="C356" s="24">
        <v>30264</v>
      </c>
      <c r="D356" s="24" t="s">
        <v>585</v>
      </c>
      <c r="E356" s="24" t="s">
        <v>586</v>
      </c>
      <c r="F356" s="24" t="s">
        <v>574</v>
      </c>
      <c r="G356" s="24">
        <v>3663913</v>
      </c>
      <c r="H356" s="25">
        <v>3501.87</v>
      </c>
      <c r="I356" s="26">
        <v>3501.87</v>
      </c>
      <c r="J356" s="24" t="s">
        <v>1011</v>
      </c>
      <c r="K356" s="24" t="s">
        <v>724</v>
      </c>
      <c r="L356" s="24" t="s">
        <v>577</v>
      </c>
      <c r="M356" s="24" t="s">
        <v>589</v>
      </c>
      <c r="N356" s="24" t="s">
        <v>590</v>
      </c>
      <c r="O356" s="24">
        <v>295182</v>
      </c>
      <c r="P356" s="25"/>
      <c r="Q356" s="25"/>
      <c r="R356" s="24" t="s">
        <v>1035</v>
      </c>
      <c r="S356" s="24" t="s">
        <v>581</v>
      </c>
      <c r="T356" s="27">
        <v>41564</v>
      </c>
      <c r="U356" s="25">
        <v>3568546</v>
      </c>
      <c r="V356" s="24" t="s">
        <v>582</v>
      </c>
      <c r="W356" s="24" t="s">
        <v>583</v>
      </c>
      <c r="X356" s="24" t="s">
        <v>584</v>
      </c>
      <c r="Y356" s="24">
        <v>4091</v>
      </c>
      <c r="Z356" s="24">
        <v>204411</v>
      </c>
      <c r="AA356" s="24">
        <v>572010</v>
      </c>
      <c r="AB356" s="24">
        <v>0</v>
      </c>
      <c r="AC356" s="24"/>
      <c r="AD356" s="24"/>
      <c r="AE356" s="24"/>
      <c r="AF356" s="24"/>
    </row>
    <row r="357" spans="1:32" ht="62.4" x14ac:dyDescent="0.3">
      <c r="A357" s="23">
        <v>41548</v>
      </c>
      <c r="B357" s="24" t="s">
        <v>571</v>
      </c>
      <c r="C357" s="24">
        <v>30264</v>
      </c>
      <c r="D357" s="24" t="s">
        <v>585</v>
      </c>
      <c r="E357" s="24" t="s">
        <v>586</v>
      </c>
      <c r="F357" s="24" t="s">
        <v>574</v>
      </c>
      <c r="G357" s="24">
        <v>3663913</v>
      </c>
      <c r="H357" s="25">
        <v>11655.25</v>
      </c>
      <c r="I357" s="26">
        <v>11655.25</v>
      </c>
      <c r="J357" s="24" t="s">
        <v>1011</v>
      </c>
      <c r="K357" s="24" t="s">
        <v>724</v>
      </c>
      <c r="L357" s="24" t="s">
        <v>577</v>
      </c>
      <c r="M357" s="24" t="s">
        <v>589</v>
      </c>
      <c r="N357" s="24" t="s">
        <v>590</v>
      </c>
      <c r="O357" s="24">
        <v>295182</v>
      </c>
      <c r="P357" s="25"/>
      <c r="Q357" s="25"/>
      <c r="R357" s="24" t="s">
        <v>1036</v>
      </c>
      <c r="S357" s="24" t="s">
        <v>581</v>
      </c>
      <c r="T357" s="27">
        <v>41564</v>
      </c>
      <c r="U357" s="25">
        <v>3568547</v>
      </c>
      <c r="V357" s="24" t="s">
        <v>582</v>
      </c>
      <c r="W357" s="24" t="s">
        <v>583</v>
      </c>
      <c r="X357" s="24" t="s">
        <v>584</v>
      </c>
      <c r="Y357" s="24">
        <v>4091</v>
      </c>
      <c r="Z357" s="24">
        <v>204411</v>
      </c>
      <c r="AA357" s="24">
        <v>572010</v>
      </c>
      <c r="AB357" s="24">
        <v>0</v>
      </c>
      <c r="AC357" s="24"/>
      <c r="AD357" s="24"/>
      <c r="AE357" s="24"/>
      <c r="AF357" s="24"/>
    </row>
    <row r="358" spans="1:32" ht="62.4" x14ac:dyDescent="0.3">
      <c r="A358" s="23">
        <v>41548</v>
      </c>
      <c r="B358" s="24" t="s">
        <v>571</v>
      </c>
      <c r="C358" s="24">
        <v>30264</v>
      </c>
      <c r="D358" s="24" t="s">
        <v>585</v>
      </c>
      <c r="E358" s="24" t="s">
        <v>586</v>
      </c>
      <c r="F358" s="24" t="s">
        <v>574</v>
      </c>
      <c r="G358" s="24">
        <v>3713766</v>
      </c>
      <c r="H358" s="25">
        <v>8942.5</v>
      </c>
      <c r="I358" s="26">
        <v>8942.5</v>
      </c>
      <c r="J358" s="24" t="s">
        <v>1037</v>
      </c>
      <c r="K358" s="24" t="s">
        <v>1030</v>
      </c>
      <c r="L358" s="24" t="s">
        <v>633</v>
      </c>
      <c r="M358" s="24" t="s">
        <v>589</v>
      </c>
      <c r="N358" s="24" t="s">
        <v>590</v>
      </c>
      <c r="O358" s="24">
        <v>303134</v>
      </c>
      <c r="P358" s="25"/>
      <c r="Q358" s="25"/>
      <c r="R358" s="24" t="s">
        <v>1038</v>
      </c>
      <c r="S358" s="24" t="s">
        <v>581</v>
      </c>
      <c r="T358" s="27">
        <v>41577</v>
      </c>
      <c r="U358" s="25">
        <v>3610407</v>
      </c>
      <c r="V358" s="24" t="s">
        <v>582</v>
      </c>
      <c r="W358" s="24" t="s">
        <v>583</v>
      </c>
      <c r="X358" s="24" t="s">
        <v>584</v>
      </c>
      <c r="Y358" s="24">
        <v>4091</v>
      </c>
      <c r="Z358" s="24">
        <v>204411</v>
      </c>
      <c r="AA358" s="24">
        <v>572010</v>
      </c>
      <c r="AB358" s="24">
        <v>0</v>
      </c>
      <c r="AC358" s="24"/>
      <c r="AD358" s="24"/>
      <c r="AE358" s="24"/>
      <c r="AF358" s="24"/>
    </row>
    <row r="359" spans="1:32" ht="62.4" x14ac:dyDescent="0.3">
      <c r="A359" s="23">
        <v>41548</v>
      </c>
      <c r="B359" s="24" t="s">
        <v>571</v>
      </c>
      <c r="C359" s="24">
        <v>30264</v>
      </c>
      <c r="D359" s="24" t="s">
        <v>585</v>
      </c>
      <c r="E359" s="24" t="s">
        <v>875</v>
      </c>
      <c r="F359" s="24" t="s">
        <v>574</v>
      </c>
      <c r="G359" s="24">
        <v>3676531</v>
      </c>
      <c r="H359" s="25">
        <v>596.94000000000005</v>
      </c>
      <c r="I359" s="25">
        <v>596.94000000000005</v>
      </c>
      <c r="J359" s="24" t="s">
        <v>996</v>
      </c>
      <c r="K359" s="24" t="s">
        <v>877</v>
      </c>
      <c r="L359" s="24" t="s">
        <v>577</v>
      </c>
      <c r="M359" s="24" t="s">
        <v>878</v>
      </c>
      <c r="N359" s="24" t="s">
        <v>590</v>
      </c>
      <c r="O359" s="24">
        <v>293833</v>
      </c>
      <c r="P359" s="25"/>
      <c r="Q359" s="25"/>
      <c r="R359" s="24" t="s">
        <v>1039</v>
      </c>
      <c r="S359" s="24" t="s">
        <v>581</v>
      </c>
      <c r="T359" s="27">
        <v>41568</v>
      </c>
      <c r="U359" s="25">
        <v>3571606</v>
      </c>
      <c r="V359" s="24" t="s">
        <v>582</v>
      </c>
      <c r="W359" s="24" t="s">
        <v>583</v>
      </c>
      <c r="X359" s="24" t="s">
        <v>584</v>
      </c>
      <c r="Y359" s="24">
        <v>4091</v>
      </c>
      <c r="Z359" s="24">
        <v>204411</v>
      </c>
      <c r="AA359" s="24">
        <v>670160</v>
      </c>
      <c r="AB359" s="24">
        <v>0</v>
      </c>
      <c r="AC359" s="24"/>
      <c r="AD359" s="24"/>
      <c r="AE359" s="24"/>
      <c r="AF359" s="24"/>
    </row>
    <row r="360" spans="1:32" ht="62.4" x14ac:dyDescent="0.3">
      <c r="A360" s="23">
        <v>41579</v>
      </c>
      <c r="B360" s="24" t="s">
        <v>571</v>
      </c>
      <c r="C360" s="24">
        <v>30264</v>
      </c>
      <c r="D360" s="24" t="s">
        <v>851</v>
      </c>
      <c r="E360" s="24" t="s">
        <v>934</v>
      </c>
      <c r="F360" s="24" t="s">
        <v>574</v>
      </c>
      <c r="G360" s="24">
        <v>3840351</v>
      </c>
      <c r="H360" s="25">
        <v>1020</v>
      </c>
      <c r="I360" s="26">
        <v>1020</v>
      </c>
      <c r="J360" s="24" t="s">
        <v>984</v>
      </c>
      <c r="K360" s="24" t="s">
        <v>853</v>
      </c>
      <c r="L360" s="24" t="s">
        <v>577</v>
      </c>
      <c r="M360" s="24" t="s">
        <v>589</v>
      </c>
      <c r="N360" s="24" t="s">
        <v>854</v>
      </c>
      <c r="O360" s="24">
        <v>293837</v>
      </c>
      <c r="P360" s="25"/>
      <c r="Q360" s="25"/>
      <c r="R360" s="24" t="s">
        <v>1040</v>
      </c>
      <c r="S360" s="24" t="s">
        <v>581</v>
      </c>
      <c r="T360" s="27">
        <v>41603</v>
      </c>
      <c r="U360" s="25">
        <v>3684682</v>
      </c>
      <c r="V360" s="24" t="s">
        <v>582</v>
      </c>
      <c r="W360" s="24" t="s">
        <v>583</v>
      </c>
      <c r="X360" s="24" t="s">
        <v>584</v>
      </c>
      <c r="Y360" s="24">
        <v>4091</v>
      </c>
      <c r="Z360" s="24">
        <v>204411</v>
      </c>
      <c r="AA360" s="24">
        <v>572210</v>
      </c>
      <c r="AB360" s="24">
        <v>0</v>
      </c>
      <c r="AC360" s="24"/>
      <c r="AD360" s="24"/>
      <c r="AE360" s="24"/>
      <c r="AF360" s="24"/>
    </row>
    <row r="361" spans="1:32" ht="62.4" x14ac:dyDescent="0.3">
      <c r="A361" s="23">
        <v>41579</v>
      </c>
      <c r="B361" s="24" t="s">
        <v>571</v>
      </c>
      <c r="C361" s="24">
        <v>30264</v>
      </c>
      <c r="D361" s="24" t="s">
        <v>572</v>
      </c>
      <c r="E361" s="24" t="s">
        <v>573</v>
      </c>
      <c r="F361" s="24" t="s">
        <v>574</v>
      </c>
      <c r="G361" s="24">
        <v>3822834</v>
      </c>
      <c r="H361" s="25">
        <v>3858.4</v>
      </c>
      <c r="I361" s="26">
        <v>3858.4</v>
      </c>
      <c r="J361" s="24" t="s">
        <v>1002</v>
      </c>
      <c r="K361" s="24" t="s">
        <v>576</v>
      </c>
      <c r="L361" s="24" t="s">
        <v>577</v>
      </c>
      <c r="M361" s="24" t="s">
        <v>578</v>
      </c>
      <c r="N361" s="24" t="s">
        <v>579</v>
      </c>
      <c r="O361" s="24">
        <v>293851</v>
      </c>
      <c r="P361" s="25"/>
      <c r="Q361" s="25"/>
      <c r="R361" s="24" t="s">
        <v>1041</v>
      </c>
      <c r="S361" s="24" t="s">
        <v>581</v>
      </c>
      <c r="T361" s="27">
        <v>41600</v>
      </c>
      <c r="U361" s="25">
        <v>3682423</v>
      </c>
      <c r="V361" s="24" t="s">
        <v>582</v>
      </c>
      <c r="W361" s="24" t="s">
        <v>583</v>
      </c>
      <c r="X361" s="24" t="s">
        <v>584</v>
      </c>
      <c r="Y361" s="24">
        <v>4091</v>
      </c>
      <c r="Z361" s="24">
        <v>204411</v>
      </c>
      <c r="AA361" s="24">
        <v>630120</v>
      </c>
      <c r="AB361" s="24">
        <v>0</v>
      </c>
      <c r="AC361" s="24"/>
      <c r="AD361" s="24"/>
      <c r="AE361" s="24"/>
      <c r="AF361" s="24"/>
    </row>
    <row r="362" spans="1:32" ht="62.4" x14ac:dyDescent="0.3">
      <c r="A362" s="23">
        <v>41579</v>
      </c>
      <c r="B362" s="24" t="s">
        <v>571</v>
      </c>
      <c r="C362" s="24">
        <v>30264</v>
      </c>
      <c r="D362" s="24" t="s">
        <v>572</v>
      </c>
      <c r="E362" s="24" t="s">
        <v>573</v>
      </c>
      <c r="F362" s="24" t="s">
        <v>574</v>
      </c>
      <c r="G362" s="24">
        <v>4414726</v>
      </c>
      <c r="H362" s="25">
        <v>1703.44</v>
      </c>
      <c r="I362" s="26">
        <v>1703.44</v>
      </c>
      <c r="J362" s="24" t="s">
        <v>989</v>
      </c>
      <c r="K362" s="24" t="s">
        <v>576</v>
      </c>
      <c r="L362" s="24" t="s">
        <v>633</v>
      </c>
      <c r="M362" s="24" t="s">
        <v>578</v>
      </c>
      <c r="N362" s="24" t="s">
        <v>579</v>
      </c>
      <c r="O362" s="24">
        <v>293881</v>
      </c>
      <c r="P362" s="25"/>
      <c r="Q362" s="25"/>
      <c r="R362" s="24" t="s">
        <v>1042</v>
      </c>
      <c r="S362" s="24" t="s">
        <v>581</v>
      </c>
      <c r="T362" s="27">
        <v>41606</v>
      </c>
      <c r="U362" s="25">
        <v>3705446</v>
      </c>
      <c r="V362" s="24" t="s">
        <v>582</v>
      </c>
      <c r="W362" s="24" t="s">
        <v>583</v>
      </c>
      <c r="X362" s="24" t="s">
        <v>584</v>
      </c>
      <c r="Y362" s="24">
        <v>4091</v>
      </c>
      <c r="Z362" s="24">
        <v>204411</v>
      </c>
      <c r="AA362" s="24">
        <v>630120</v>
      </c>
      <c r="AB362" s="24">
        <v>0</v>
      </c>
      <c r="AC362" s="24"/>
      <c r="AD362" s="24"/>
      <c r="AE362" s="24"/>
      <c r="AF362" s="24"/>
    </row>
    <row r="363" spans="1:32" ht="62.4" x14ac:dyDescent="0.3">
      <c r="A363" s="23">
        <v>41579</v>
      </c>
      <c r="B363" s="24" t="s">
        <v>571</v>
      </c>
      <c r="C363" s="24">
        <v>30264</v>
      </c>
      <c r="D363" s="24" t="s">
        <v>625</v>
      </c>
      <c r="E363" s="24" t="s">
        <v>586</v>
      </c>
      <c r="F363" s="24" t="s">
        <v>574</v>
      </c>
      <c r="G363" s="24">
        <v>4414726</v>
      </c>
      <c r="H363" s="25">
        <v>15190.5</v>
      </c>
      <c r="I363" s="26">
        <v>15190.5</v>
      </c>
      <c r="J363" s="24" t="s">
        <v>991</v>
      </c>
      <c r="K363" s="24" t="s">
        <v>627</v>
      </c>
      <c r="L363" s="24" t="s">
        <v>633</v>
      </c>
      <c r="M363" s="24" t="s">
        <v>589</v>
      </c>
      <c r="N363" s="24" t="s">
        <v>628</v>
      </c>
      <c r="O363" s="24">
        <v>293836</v>
      </c>
      <c r="P363" s="25"/>
      <c r="Q363" s="25"/>
      <c r="R363" s="24" t="s">
        <v>1043</v>
      </c>
      <c r="S363" s="24" t="s">
        <v>581</v>
      </c>
      <c r="T363" s="27">
        <v>41606</v>
      </c>
      <c r="U363" s="25">
        <v>3705444</v>
      </c>
      <c r="V363" s="24" t="s">
        <v>582</v>
      </c>
      <c r="W363" s="24" t="s">
        <v>583</v>
      </c>
      <c r="X363" s="24" t="s">
        <v>584</v>
      </c>
      <c r="Y363" s="24">
        <v>4091</v>
      </c>
      <c r="Z363" s="24">
        <v>204411</v>
      </c>
      <c r="AA363" s="24">
        <v>572010</v>
      </c>
      <c r="AB363" s="24">
        <v>0</v>
      </c>
      <c r="AC363" s="24"/>
      <c r="AD363" s="24"/>
      <c r="AE363" s="24"/>
      <c r="AF363" s="24"/>
    </row>
    <row r="364" spans="1:32" ht="62.4" x14ac:dyDescent="0.3">
      <c r="A364" s="23">
        <v>41579</v>
      </c>
      <c r="B364" s="24" t="s">
        <v>571</v>
      </c>
      <c r="C364" s="24">
        <v>30264</v>
      </c>
      <c r="D364" s="24" t="s">
        <v>585</v>
      </c>
      <c r="E364" s="24" t="s">
        <v>586</v>
      </c>
      <c r="F364" s="24" t="s">
        <v>574</v>
      </c>
      <c r="G364" s="24">
        <v>3721434</v>
      </c>
      <c r="H364" s="25">
        <v>1940</v>
      </c>
      <c r="I364" s="26">
        <v>1940</v>
      </c>
      <c r="J364" s="24" t="s">
        <v>1011</v>
      </c>
      <c r="K364" s="24" t="s">
        <v>724</v>
      </c>
      <c r="L364" s="24" t="s">
        <v>577</v>
      </c>
      <c r="M364" s="24" t="s">
        <v>589</v>
      </c>
      <c r="N364" s="24" t="s">
        <v>590</v>
      </c>
      <c r="O364" s="24">
        <v>295182</v>
      </c>
      <c r="P364" s="25"/>
      <c r="Q364" s="25"/>
      <c r="R364" s="24" t="s">
        <v>1044</v>
      </c>
      <c r="S364" s="24" t="s">
        <v>581</v>
      </c>
      <c r="T364" s="27">
        <v>41579</v>
      </c>
      <c r="U364" s="25">
        <v>3629796</v>
      </c>
      <c r="V364" s="24" t="s">
        <v>582</v>
      </c>
      <c r="W364" s="24" t="s">
        <v>583</v>
      </c>
      <c r="X364" s="24" t="s">
        <v>584</v>
      </c>
      <c r="Y364" s="24">
        <v>4091</v>
      </c>
      <c r="Z364" s="24">
        <v>204411</v>
      </c>
      <c r="AA364" s="24">
        <v>572010</v>
      </c>
      <c r="AB364" s="24">
        <v>0</v>
      </c>
      <c r="AC364" s="24"/>
      <c r="AD364" s="24"/>
      <c r="AE364" s="24"/>
      <c r="AF364" s="24"/>
    </row>
    <row r="365" spans="1:32" ht="62.4" x14ac:dyDescent="0.3">
      <c r="A365" s="23">
        <v>41579</v>
      </c>
      <c r="B365" s="24" t="s">
        <v>571</v>
      </c>
      <c r="C365" s="24">
        <v>30264</v>
      </c>
      <c r="D365" s="24" t="s">
        <v>585</v>
      </c>
      <c r="E365" s="24" t="s">
        <v>586</v>
      </c>
      <c r="F365" s="24" t="s">
        <v>574</v>
      </c>
      <c r="G365" s="24">
        <v>3721434</v>
      </c>
      <c r="H365" s="25">
        <v>1757.5</v>
      </c>
      <c r="I365" s="26">
        <v>1757.5</v>
      </c>
      <c r="J365" s="24" t="s">
        <v>1011</v>
      </c>
      <c r="K365" s="24" t="s">
        <v>724</v>
      </c>
      <c r="L365" s="24" t="s">
        <v>577</v>
      </c>
      <c r="M365" s="24" t="s">
        <v>589</v>
      </c>
      <c r="N365" s="24" t="s">
        <v>590</v>
      </c>
      <c r="O365" s="24">
        <v>295182</v>
      </c>
      <c r="P365" s="25"/>
      <c r="Q365" s="25"/>
      <c r="R365" s="24" t="s">
        <v>1045</v>
      </c>
      <c r="S365" s="24" t="s">
        <v>581</v>
      </c>
      <c r="T365" s="27">
        <v>41579</v>
      </c>
      <c r="U365" s="25">
        <v>3629797</v>
      </c>
      <c r="V365" s="24" t="s">
        <v>582</v>
      </c>
      <c r="W365" s="24" t="s">
        <v>583</v>
      </c>
      <c r="X365" s="24" t="s">
        <v>584</v>
      </c>
      <c r="Y365" s="24">
        <v>4091</v>
      </c>
      <c r="Z365" s="24">
        <v>204411</v>
      </c>
      <c r="AA365" s="24">
        <v>572010</v>
      </c>
      <c r="AB365" s="24">
        <v>0</v>
      </c>
      <c r="AC365" s="24"/>
      <c r="AD365" s="24"/>
      <c r="AE365" s="24"/>
      <c r="AF365" s="24"/>
    </row>
    <row r="366" spans="1:32" ht="62.4" x14ac:dyDescent="0.3">
      <c r="A366" s="23">
        <v>41579</v>
      </c>
      <c r="B366" s="24" t="s">
        <v>571</v>
      </c>
      <c r="C366" s="24">
        <v>30264</v>
      </c>
      <c r="D366" s="24" t="s">
        <v>585</v>
      </c>
      <c r="E366" s="24" t="s">
        <v>586</v>
      </c>
      <c r="F366" s="24" t="s">
        <v>574</v>
      </c>
      <c r="G366" s="24">
        <v>3721434</v>
      </c>
      <c r="H366" s="25">
        <v>4291.2700000000004</v>
      </c>
      <c r="I366" s="26">
        <v>4291.2700000000004</v>
      </c>
      <c r="J366" s="24" t="s">
        <v>1011</v>
      </c>
      <c r="K366" s="24" t="s">
        <v>724</v>
      </c>
      <c r="L366" s="24" t="s">
        <v>577</v>
      </c>
      <c r="M366" s="24" t="s">
        <v>589</v>
      </c>
      <c r="N366" s="24" t="s">
        <v>590</v>
      </c>
      <c r="O366" s="24">
        <v>295182</v>
      </c>
      <c r="P366" s="25"/>
      <c r="Q366" s="25"/>
      <c r="R366" s="24" t="s">
        <v>1046</v>
      </c>
      <c r="S366" s="24" t="s">
        <v>581</v>
      </c>
      <c r="T366" s="27">
        <v>41579</v>
      </c>
      <c r="U366" s="25">
        <v>3629798</v>
      </c>
      <c r="V366" s="24" t="s">
        <v>582</v>
      </c>
      <c r="W366" s="24" t="s">
        <v>583</v>
      </c>
      <c r="X366" s="24" t="s">
        <v>584</v>
      </c>
      <c r="Y366" s="24">
        <v>4091</v>
      </c>
      <c r="Z366" s="24">
        <v>204411</v>
      </c>
      <c r="AA366" s="24">
        <v>572010</v>
      </c>
      <c r="AB366" s="24">
        <v>0</v>
      </c>
      <c r="AC366" s="24"/>
      <c r="AD366" s="24"/>
      <c r="AE366" s="24"/>
      <c r="AF366" s="24"/>
    </row>
    <row r="367" spans="1:32" ht="62.4" x14ac:dyDescent="0.3">
      <c r="A367" s="23">
        <v>41579</v>
      </c>
      <c r="B367" s="24" t="s">
        <v>571</v>
      </c>
      <c r="C367" s="24">
        <v>30264</v>
      </c>
      <c r="D367" s="24" t="s">
        <v>585</v>
      </c>
      <c r="E367" s="24" t="s">
        <v>586</v>
      </c>
      <c r="F367" s="24" t="s">
        <v>574</v>
      </c>
      <c r="G367" s="24">
        <v>3721434</v>
      </c>
      <c r="H367" s="25">
        <v>7260</v>
      </c>
      <c r="I367" s="26">
        <v>7260</v>
      </c>
      <c r="J367" s="24" t="s">
        <v>1011</v>
      </c>
      <c r="K367" s="24" t="s">
        <v>724</v>
      </c>
      <c r="L367" s="24" t="s">
        <v>577</v>
      </c>
      <c r="M367" s="24" t="s">
        <v>589</v>
      </c>
      <c r="N367" s="24" t="s">
        <v>590</v>
      </c>
      <c r="O367" s="24">
        <v>295182</v>
      </c>
      <c r="P367" s="25"/>
      <c r="Q367" s="25"/>
      <c r="R367" s="24" t="s">
        <v>1047</v>
      </c>
      <c r="S367" s="24" t="s">
        <v>581</v>
      </c>
      <c r="T367" s="27">
        <v>41579</v>
      </c>
      <c r="U367" s="25">
        <v>3629799</v>
      </c>
      <c r="V367" s="24" t="s">
        <v>582</v>
      </c>
      <c r="W367" s="24" t="s">
        <v>583</v>
      </c>
      <c r="X367" s="24" t="s">
        <v>584</v>
      </c>
      <c r="Y367" s="24">
        <v>4091</v>
      </c>
      <c r="Z367" s="24">
        <v>204411</v>
      </c>
      <c r="AA367" s="24">
        <v>572010</v>
      </c>
      <c r="AB367" s="24">
        <v>0</v>
      </c>
      <c r="AC367" s="24"/>
      <c r="AD367" s="24"/>
      <c r="AE367" s="24"/>
      <c r="AF367" s="24"/>
    </row>
    <row r="368" spans="1:32" ht="62.4" x14ac:dyDescent="0.3">
      <c r="A368" s="23">
        <v>41579</v>
      </c>
      <c r="B368" s="24" t="s">
        <v>571</v>
      </c>
      <c r="C368" s="24">
        <v>30264</v>
      </c>
      <c r="D368" s="24" t="s">
        <v>585</v>
      </c>
      <c r="E368" s="24" t="s">
        <v>586</v>
      </c>
      <c r="F368" s="24" t="s">
        <v>574</v>
      </c>
      <c r="G368" s="24">
        <v>3721434</v>
      </c>
      <c r="H368" s="25">
        <v>5561.5</v>
      </c>
      <c r="I368" s="26">
        <v>5561.5</v>
      </c>
      <c r="J368" s="24" t="s">
        <v>1011</v>
      </c>
      <c r="K368" s="24" t="s">
        <v>724</v>
      </c>
      <c r="L368" s="24" t="s">
        <v>577</v>
      </c>
      <c r="M368" s="24" t="s">
        <v>589</v>
      </c>
      <c r="N368" s="24" t="s">
        <v>590</v>
      </c>
      <c r="O368" s="24">
        <v>295182</v>
      </c>
      <c r="P368" s="25"/>
      <c r="Q368" s="25"/>
      <c r="R368" s="24" t="s">
        <v>1048</v>
      </c>
      <c r="S368" s="24" t="s">
        <v>581</v>
      </c>
      <c r="T368" s="27">
        <v>41579</v>
      </c>
      <c r="U368" s="25">
        <v>3629800</v>
      </c>
      <c r="V368" s="24" t="s">
        <v>582</v>
      </c>
      <c r="W368" s="24" t="s">
        <v>583</v>
      </c>
      <c r="X368" s="24" t="s">
        <v>584</v>
      </c>
      <c r="Y368" s="24">
        <v>4091</v>
      </c>
      <c r="Z368" s="24">
        <v>204411</v>
      </c>
      <c r="AA368" s="24">
        <v>572010</v>
      </c>
      <c r="AB368" s="24">
        <v>0</v>
      </c>
      <c r="AC368" s="24"/>
      <c r="AD368" s="24"/>
      <c r="AE368" s="24"/>
      <c r="AF368" s="24"/>
    </row>
    <row r="369" spans="1:32" ht="62.4" x14ac:dyDescent="0.3">
      <c r="A369" s="23">
        <v>41579</v>
      </c>
      <c r="B369" s="24" t="s">
        <v>571</v>
      </c>
      <c r="C369" s="24">
        <v>30264</v>
      </c>
      <c r="D369" s="24" t="s">
        <v>585</v>
      </c>
      <c r="E369" s="24" t="s">
        <v>586</v>
      </c>
      <c r="F369" s="24" t="s">
        <v>574</v>
      </c>
      <c r="G369" s="24">
        <v>3721434</v>
      </c>
      <c r="H369" s="25">
        <v>5220.75</v>
      </c>
      <c r="I369" s="26">
        <v>5220.75</v>
      </c>
      <c r="J369" s="24" t="s">
        <v>1011</v>
      </c>
      <c r="K369" s="24" t="s">
        <v>724</v>
      </c>
      <c r="L369" s="24" t="s">
        <v>577</v>
      </c>
      <c r="M369" s="24" t="s">
        <v>589</v>
      </c>
      <c r="N369" s="24" t="s">
        <v>590</v>
      </c>
      <c r="O369" s="24">
        <v>295182</v>
      </c>
      <c r="P369" s="25"/>
      <c r="Q369" s="25"/>
      <c r="R369" s="24" t="s">
        <v>1049</v>
      </c>
      <c r="S369" s="24" t="s">
        <v>581</v>
      </c>
      <c r="T369" s="27">
        <v>41579</v>
      </c>
      <c r="U369" s="25">
        <v>3629801</v>
      </c>
      <c r="V369" s="24" t="s">
        <v>582</v>
      </c>
      <c r="W369" s="24" t="s">
        <v>583</v>
      </c>
      <c r="X369" s="24" t="s">
        <v>584</v>
      </c>
      <c r="Y369" s="24">
        <v>4091</v>
      </c>
      <c r="Z369" s="24">
        <v>204411</v>
      </c>
      <c r="AA369" s="24">
        <v>572010</v>
      </c>
      <c r="AB369" s="24">
        <v>0</v>
      </c>
      <c r="AC369" s="24"/>
      <c r="AD369" s="24"/>
      <c r="AE369" s="24"/>
      <c r="AF369" s="24"/>
    </row>
    <row r="370" spans="1:32" ht="62.4" x14ac:dyDescent="0.3">
      <c r="A370" s="23">
        <v>41579</v>
      </c>
      <c r="B370" s="24" t="s">
        <v>571</v>
      </c>
      <c r="C370" s="24">
        <v>30264</v>
      </c>
      <c r="D370" s="24" t="s">
        <v>585</v>
      </c>
      <c r="E370" s="24" t="s">
        <v>586</v>
      </c>
      <c r="F370" s="24" t="s">
        <v>574</v>
      </c>
      <c r="G370" s="24">
        <v>3773696</v>
      </c>
      <c r="H370" s="25">
        <v>2997.5</v>
      </c>
      <c r="I370" s="26">
        <v>2997.5</v>
      </c>
      <c r="J370" s="24" t="s">
        <v>1050</v>
      </c>
      <c r="K370" s="24" t="s">
        <v>1051</v>
      </c>
      <c r="L370" s="24" t="s">
        <v>633</v>
      </c>
      <c r="M370" s="24" t="s">
        <v>589</v>
      </c>
      <c r="N370" s="24" t="s">
        <v>590</v>
      </c>
      <c r="O370" s="24">
        <v>304524</v>
      </c>
      <c r="P370" s="25"/>
      <c r="Q370" s="25"/>
      <c r="R370" s="24" t="s">
        <v>1052</v>
      </c>
      <c r="S370" s="24" t="s">
        <v>581</v>
      </c>
      <c r="T370" s="27">
        <v>41591</v>
      </c>
      <c r="U370" s="25">
        <v>3659216</v>
      </c>
      <c r="V370" s="24" t="s">
        <v>582</v>
      </c>
      <c r="W370" s="24" t="s">
        <v>583</v>
      </c>
      <c r="X370" s="24" t="s">
        <v>584</v>
      </c>
      <c r="Y370" s="24">
        <v>4091</v>
      </c>
      <c r="Z370" s="24">
        <v>204411</v>
      </c>
      <c r="AA370" s="24">
        <v>572010</v>
      </c>
      <c r="AB370" s="24">
        <v>0</v>
      </c>
      <c r="AC370" s="24"/>
      <c r="AD370" s="24"/>
      <c r="AE370" s="24"/>
      <c r="AF370" s="24"/>
    </row>
    <row r="371" spans="1:32" ht="62.4" x14ac:dyDescent="0.3">
      <c r="A371" s="23">
        <v>41579</v>
      </c>
      <c r="B371" s="24" t="s">
        <v>571</v>
      </c>
      <c r="C371" s="24">
        <v>30264</v>
      </c>
      <c r="D371" s="24" t="s">
        <v>585</v>
      </c>
      <c r="E371" s="24" t="s">
        <v>586</v>
      </c>
      <c r="F371" s="24" t="s">
        <v>574</v>
      </c>
      <c r="G371" s="24">
        <v>3773696</v>
      </c>
      <c r="H371" s="25">
        <v>2035</v>
      </c>
      <c r="I371" s="26">
        <v>2035</v>
      </c>
      <c r="J371" s="24" t="s">
        <v>1050</v>
      </c>
      <c r="K371" s="24" t="s">
        <v>1051</v>
      </c>
      <c r="L371" s="24" t="s">
        <v>633</v>
      </c>
      <c r="M371" s="24" t="s">
        <v>589</v>
      </c>
      <c r="N371" s="24" t="s">
        <v>590</v>
      </c>
      <c r="O371" s="24">
        <v>304524</v>
      </c>
      <c r="P371" s="25"/>
      <c r="Q371" s="25"/>
      <c r="R371" s="24" t="s">
        <v>1053</v>
      </c>
      <c r="S371" s="24" t="s">
        <v>581</v>
      </c>
      <c r="T371" s="27">
        <v>41591</v>
      </c>
      <c r="U371" s="25">
        <v>3659217</v>
      </c>
      <c r="V371" s="24" t="s">
        <v>582</v>
      </c>
      <c r="W371" s="24" t="s">
        <v>583</v>
      </c>
      <c r="X371" s="24" t="s">
        <v>584</v>
      </c>
      <c r="Y371" s="24">
        <v>4091</v>
      </c>
      <c r="Z371" s="24">
        <v>204411</v>
      </c>
      <c r="AA371" s="24">
        <v>572010</v>
      </c>
      <c r="AB371" s="24">
        <v>0</v>
      </c>
      <c r="AC371" s="24"/>
      <c r="AD371" s="24"/>
      <c r="AE371" s="24"/>
      <c r="AF371" s="24"/>
    </row>
    <row r="372" spans="1:32" ht="62.4" x14ac:dyDescent="0.3">
      <c r="A372" s="23">
        <v>41579</v>
      </c>
      <c r="B372" s="24" t="s">
        <v>571</v>
      </c>
      <c r="C372" s="24">
        <v>30264</v>
      </c>
      <c r="D372" s="24" t="s">
        <v>585</v>
      </c>
      <c r="E372" s="24" t="s">
        <v>586</v>
      </c>
      <c r="F372" s="24" t="s">
        <v>574</v>
      </c>
      <c r="G372" s="24">
        <v>3773696</v>
      </c>
      <c r="H372" s="25">
        <v>2120</v>
      </c>
      <c r="I372" s="26">
        <v>2120</v>
      </c>
      <c r="J372" s="24" t="s">
        <v>1050</v>
      </c>
      <c r="K372" s="24" t="s">
        <v>1051</v>
      </c>
      <c r="L372" s="24" t="s">
        <v>633</v>
      </c>
      <c r="M372" s="24" t="s">
        <v>589</v>
      </c>
      <c r="N372" s="24" t="s">
        <v>590</v>
      </c>
      <c r="O372" s="24">
        <v>304524</v>
      </c>
      <c r="P372" s="25"/>
      <c r="Q372" s="25"/>
      <c r="R372" s="24" t="s">
        <v>1054</v>
      </c>
      <c r="S372" s="24" t="s">
        <v>581</v>
      </c>
      <c r="T372" s="27">
        <v>41591</v>
      </c>
      <c r="U372" s="25">
        <v>3659218</v>
      </c>
      <c r="V372" s="24" t="s">
        <v>582</v>
      </c>
      <c r="W372" s="24" t="s">
        <v>583</v>
      </c>
      <c r="X372" s="24" t="s">
        <v>584</v>
      </c>
      <c r="Y372" s="24">
        <v>4091</v>
      </c>
      <c r="Z372" s="24">
        <v>204411</v>
      </c>
      <c r="AA372" s="24">
        <v>572010</v>
      </c>
      <c r="AB372" s="24">
        <v>0</v>
      </c>
      <c r="AC372" s="24"/>
      <c r="AD372" s="24"/>
      <c r="AE372" s="24"/>
      <c r="AF372" s="24"/>
    </row>
    <row r="373" spans="1:32" ht="62.4" x14ac:dyDescent="0.3">
      <c r="A373" s="23">
        <v>41579</v>
      </c>
      <c r="B373" s="24" t="s">
        <v>571</v>
      </c>
      <c r="C373" s="24">
        <v>30264</v>
      </c>
      <c r="D373" s="24" t="s">
        <v>585</v>
      </c>
      <c r="E373" s="24" t="s">
        <v>586</v>
      </c>
      <c r="F373" s="24" t="s">
        <v>574</v>
      </c>
      <c r="G373" s="24">
        <v>3840351</v>
      </c>
      <c r="H373" s="25">
        <v>1257.5</v>
      </c>
      <c r="I373" s="26">
        <v>1257.5</v>
      </c>
      <c r="J373" s="24" t="s">
        <v>1050</v>
      </c>
      <c r="K373" s="24" t="s">
        <v>1051</v>
      </c>
      <c r="L373" s="24" t="s">
        <v>577</v>
      </c>
      <c r="M373" s="24" t="s">
        <v>589</v>
      </c>
      <c r="N373" s="24" t="s">
        <v>590</v>
      </c>
      <c r="O373" s="24">
        <v>304524</v>
      </c>
      <c r="P373" s="25"/>
      <c r="Q373" s="25"/>
      <c r="R373" s="24" t="s">
        <v>1055</v>
      </c>
      <c r="S373" s="24" t="s">
        <v>581</v>
      </c>
      <c r="T373" s="27">
        <v>41603</v>
      </c>
      <c r="U373" s="25">
        <v>3684635</v>
      </c>
      <c r="V373" s="24" t="s">
        <v>582</v>
      </c>
      <c r="W373" s="24" t="s">
        <v>583</v>
      </c>
      <c r="X373" s="24" t="s">
        <v>584</v>
      </c>
      <c r="Y373" s="24">
        <v>4091</v>
      </c>
      <c r="Z373" s="24">
        <v>204411</v>
      </c>
      <c r="AA373" s="24">
        <v>572010</v>
      </c>
      <c r="AB373" s="24">
        <v>0</v>
      </c>
      <c r="AC373" s="24"/>
      <c r="AD373" s="24"/>
      <c r="AE373" s="24"/>
      <c r="AF373" s="24"/>
    </row>
    <row r="374" spans="1:32" ht="62.4" x14ac:dyDescent="0.3">
      <c r="A374" s="23">
        <v>41579</v>
      </c>
      <c r="B374" s="24" t="s">
        <v>571</v>
      </c>
      <c r="C374" s="24">
        <v>30264</v>
      </c>
      <c r="D374" s="24" t="s">
        <v>585</v>
      </c>
      <c r="E374" s="24" t="s">
        <v>586</v>
      </c>
      <c r="F374" s="24" t="s">
        <v>574</v>
      </c>
      <c r="G374" s="24">
        <v>3840351</v>
      </c>
      <c r="H374" s="25">
        <v>2279.83</v>
      </c>
      <c r="I374" s="26">
        <v>2279.83</v>
      </c>
      <c r="J374" s="24" t="s">
        <v>1011</v>
      </c>
      <c r="K374" s="24" t="s">
        <v>724</v>
      </c>
      <c r="L374" s="24" t="s">
        <v>577</v>
      </c>
      <c r="M374" s="24" t="s">
        <v>589</v>
      </c>
      <c r="N374" s="24" t="s">
        <v>590</v>
      </c>
      <c r="O374" s="24">
        <v>295182</v>
      </c>
      <c r="P374" s="25"/>
      <c r="Q374" s="25"/>
      <c r="R374" s="24" t="s">
        <v>1056</v>
      </c>
      <c r="S374" s="24" t="s">
        <v>581</v>
      </c>
      <c r="T374" s="27">
        <v>41603</v>
      </c>
      <c r="U374" s="25">
        <v>3684684</v>
      </c>
      <c r="V374" s="24" t="s">
        <v>582</v>
      </c>
      <c r="W374" s="24" t="s">
        <v>583</v>
      </c>
      <c r="X374" s="24" t="s">
        <v>584</v>
      </c>
      <c r="Y374" s="24">
        <v>4091</v>
      </c>
      <c r="Z374" s="24">
        <v>204411</v>
      </c>
      <c r="AA374" s="24">
        <v>572010</v>
      </c>
      <c r="AB374" s="24">
        <v>0</v>
      </c>
      <c r="AC374" s="24"/>
      <c r="AD374" s="24"/>
      <c r="AE374" s="24"/>
      <c r="AF374" s="24"/>
    </row>
    <row r="375" spans="1:32" ht="62.4" x14ac:dyDescent="0.3">
      <c r="A375" s="23">
        <v>41609</v>
      </c>
      <c r="B375" s="24" t="s">
        <v>571</v>
      </c>
      <c r="C375" s="24">
        <v>30264</v>
      </c>
      <c r="D375" s="24" t="s">
        <v>851</v>
      </c>
      <c r="E375" s="24" t="s">
        <v>934</v>
      </c>
      <c r="F375" s="24" t="s">
        <v>574</v>
      </c>
      <c r="G375" s="24">
        <v>6151002</v>
      </c>
      <c r="H375" s="25">
        <v>1530</v>
      </c>
      <c r="I375" s="26">
        <v>1530</v>
      </c>
      <c r="J375" s="24" t="s">
        <v>984</v>
      </c>
      <c r="K375" s="24" t="s">
        <v>853</v>
      </c>
      <c r="L375" s="24" t="s">
        <v>577</v>
      </c>
      <c r="M375" s="24" t="s">
        <v>589</v>
      </c>
      <c r="N375" s="24" t="s">
        <v>854</v>
      </c>
      <c r="O375" s="24">
        <v>293837</v>
      </c>
      <c r="P375" s="25"/>
      <c r="Q375" s="25"/>
      <c r="R375" s="24" t="s">
        <v>1057</v>
      </c>
      <c r="S375" s="24" t="s">
        <v>581</v>
      </c>
      <c r="T375" s="27">
        <v>41625</v>
      </c>
      <c r="U375" s="25">
        <v>3781054</v>
      </c>
      <c r="V375" s="24" t="s">
        <v>582</v>
      </c>
      <c r="W375" s="24" t="s">
        <v>583</v>
      </c>
      <c r="X375" s="24" t="s">
        <v>584</v>
      </c>
      <c r="Y375" s="24">
        <v>4091</v>
      </c>
      <c r="Z375" s="24">
        <v>204411</v>
      </c>
      <c r="AA375" s="24">
        <v>572210</v>
      </c>
      <c r="AB375" s="24">
        <v>0</v>
      </c>
      <c r="AC375" s="24"/>
      <c r="AD375" s="24"/>
      <c r="AE375" s="24"/>
      <c r="AF375" s="24"/>
    </row>
    <row r="376" spans="1:32" ht="62.4" x14ac:dyDescent="0.3">
      <c r="A376" s="23">
        <v>41609</v>
      </c>
      <c r="B376" s="24" t="s">
        <v>571</v>
      </c>
      <c r="C376" s="24">
        <v>30264</v>
      </c>
      <c r="D376" s="24" t="s">
        <v>572</v>
      </c>
      <c r="E376" s="24" t="s">
        <v>573</v>
      </c>
      <c r="F376" s="24" t="s">
        <v>574</v>
      </c>
      <c r="G376" s="24">
        <v>6151002</v>
      </c>
      <c r="H376" s="25">
        <v>1703.44</v>
      </c>
      <c r="I376" s="26">
        <v>1703.44</v>
      </c>
      <c r="J376" s="24" t="s">
        <v>989</v>
      </c>
      <c r="K376" s="24" t="s">
        <v>576</v>
      </c>
      <c r="L376" s="24" t="s">
        <v>577</v>
      </c>
      <c r="M376" s="24" t="s">
        <v>578</v>
      </c>
      <c r="N376" s="24" t="s">
        <v>579</v>
      </c>
      <c r="O376" s="24">
        <v>293881</v>
      </c>
      <c r="P376" s="25"/>
      <c r="Q376" s="25"/>
      <c r="R376" s="24" t="s">
        <v>1058</v>
      </c>
      <c r="S376" s="24" t="s">
        <v>581</v>
      </c>
      <c r="T376" s="27">
        <v>41625</v>
      </c>
      <c r="U376" s="25">
        <v>3781055</v>
      </c>
      <c r="V376" s="24" t="s">
        <v>582</v>
      </c>
      <c r="W376" s="24" t="s">
        <v>583</v>
      </c>
      <c r="X376" s="24" t="s">
        <v>584</v>
      </c>
      <c r="Y376" s="24">
        <v>4091</v>
      </c>
      <c r="Z376" s="24">
        <v>204411</v>
      </c>
      <c r="AA376" s="24">
        <v>630120</v>
      </c>
      <c r="AB376" s="24">
        <v>0</v>
      </c>
      <c r="AC376" s="24"/>
      <c r="AD376" s="24"/>
      <c r="AE376" s="24"/>
      <c r="AF376" s="24"/>
    </row>
    <row r="377" spans="1:32" ht="62.4" x14ac:dyDescent="0.3">
      <c r="A377" s="23">
        <v>41609</v>
      </c>
      <c r="B377" s="24" t="s">
        <v>571</v>
      </c>
      <c r="C377" s="24">
        <v>30264</v>
      </c>
      <c r="D377" s="24" t="s">
        <v>625</v>
      </c>
      <c r="E377" s="24" t="s">
        <v>586</v>
      </c>
      <c r="F377" s="24" t="s">
        <v>574</v>
      </c>
      <c r="G377" s="24">
        <v>5126743</v>
      </c>
      <c r="H377" s="25">
        <v>440</v>
      </c>
      <c r="I377" s="25">
        <v>440</v>
      </c>
      <c r="J377" s="24" t="s">
        <v>991</v>
      </c>
      <c r="K377" s="24" t="s">
        <v>627</v>
      </c>
      <c r="L377" s="24" t="s">
        <v>633</v>
      </c>
      <c r="M377" s="24" t="s">
        <v>589</v>
      </c>
      <c r="N377" s="24" t="s">
        <v>628</v>
      </c>
      <c r="O377" s="24">
        <v>293836</v>
      </c>
      <c r="P377" s="25"/>
      <c r="Q377" s="25"/>
      <c r="R377" s="24" t="s">
        <v>1059</v>
      </c>
      <c r="S377" s="24" t="s">
        <v>581</v>
      </c>
      <c r="T377" s="27">
        <v>41611</v>
      </c>
      <c r="U377" s="25">
        <v>3728601</v>
      </c>
      <c r="V377" s="24" t="s">
        <v>582</v>
      </c>
      <c r="W377" s="24" t="s">
        <v>583</v>
      </c>
      <c r="X377" s="24" t="s">
        <v>584</v>
      </c>
      <c r="Y377" s="24">
        <v>4091</v>
      </c>
      <c r="Z377" s="24">
        <v>204411</v>
      </c>
      <c r="AA377" s="24">
        <v>572010</v>
      </c>
      <c r="AB377" s="24">
        <v>0</v>
      </c>
      <c r="AC377" s="24"/>
      <c r="AD377" s="24"/>
      <c r="AE377" s="24"/>
      <c r="AF377" s="24"/>
    </row>
    <row r="378" spans="1:32" ht="62.4" x14ac:dyDescent="0.3">
      <c r="A378" s="23">
        <v>41609</v>
      </c>
      <c r="B378" s="24" t="s">
        <v>571</v>
      </c>
      <c r="C378" s="24">
        <v>30264</v>
      </c>
      <c r="D378" s="24" t="s">
        <v>625</v>
      </c>
      <c r="E378" s="24" t="s">
        <v>586</v>
      </c>
      <c r="F378" s="24" t="s">
        <v>574</v>
      </c>
      <c r="G378" s="24">
        <v>5701408</v>
      </c>
      <c r="H378" s="25">
        <v>15190.5</v>
      </c>
      <c r="I378" s="26">
        <v>15190.5</v>
      </c>
      <c r="J378" s="24" t="s">
        <v>991</v>
      </c>
      <c r="K378" s="24" t="s">
        <v>627</v>
      </c>
      <c r="L378" s="24" t="s">
        <v>577</v>
      </c>
      <c r="M378" s="24" t="s">
        <v>589</v>
      </c>
      <c r="N378" s="24" t="s">
        <v>628</v>
      </c>
      <c r="O378" s="24">
        <v>293836</v>
      </c>
      <c r="P378" s="25"/>
      <c r="Q378" s="25"/>
      <c r="R378" s="24" t="s">
        <v>1060</v>
      </c>
      <c r="S378" s="24" t="s">
        <v>581</v>
      </c>
      <c r="T378" s="27">
        <v>41617</v>
      </c>
      <c r="U378" s="25">
        <v>3745961</v>
      </c>
      <c r="V378" s="24" t="s">
        <v>582</v>
      </c>
      <c r="W378" s="24" t="s">
        <v>583</v>
      </c>
      <c r="X378" s="24" t="s">
        <v>584</v>
      </c>
      <c r="Y378" s="24">
        <v>4091</v>
      </c>
      <c r="Z378" s="24">
        <v>204411</v>
      </c>
      <c r="AA378" s="24">
        <v>572010</v>
      </c>
      <c r="AB378" s="24">
        <v>0</v>
      </c>
      <c r="AC378" s="24"/>
      <c r="AD378" s="24"/>
      <c r="AE378" s="24"/>
      <c r="AF378" s="24"/>
    </row>
    <row r="379" spans="1:32" ht="62.4" x14ac:dyDescent="0.3">
      <c r="A379" s="23">
        <v>41609</v>
      </c>
      <c r="B379" s="24" t="s">
        <v>571</v>
      </c>
      <c r="C379" s="24">
        <v>30264</v>
      </c>
      <c r="D379" s="24" t="s">
        <v>625</v>
      </c>
      <c r="E379" s="24" t="s">
        <v>586</v>
      </c>
      <c r="F379" s="24" t="s">
        <v>574</v>
      </c>
      <c r="G379" s="24">
        <v>5701408</v>
      </c>
      <c r="H379" s="25">
        <v>440</v>
      </c>
      <c r="I379" s="25">
        <v>440</v>
      </c>
      <c r="J379" s="24" t="s">
        <v>991</v>
      </c>
      <c r="K379" s="24" t="s">
        <v>627</v>
      </c>
      <c r="L379" s="24" t="s">
        <v>577</v>
      </c>
      <c r="M379" s="24" t="s">
        <v>589</v>
      </c>
      <c r="N379" s="24" t="s">
        <v>628</v>
      </c>
      <c r="O379" s="24">
        <v>293836</v>
      </c>
      <c r="P379" s="25"/>
      <c r="Q379" s="25"/>
      <c r="R379" s="24" t="s">
        <v>1061</v>
      </c>
      <c r="S379" s="24" t="s">
        <v>581</v>
      </c>
      <c r="T379" s="27">
        <v>41617</v>
      </c>
      <c r="U379" s="25">
        <v>3745962</v>
      </c>
      <c r="V379" s="24" t="s">
        <v>582</v>
      </c>
      <c r="W379" s="24" t="s">
        <v>583</v>
      </c>
      <c r="X379" s="24" t="s">
        <v>584</v>
      </c>
      <c r="Y379" s="24">
        <v>4091</v>
      </c>
      <c r="Z379" s="24">
        <v>204411</v>
      </c>
      <c r="AA379" s="24">
        <v>572010</v>
      </c>
      <c r="AB379" s="24">
        <v>0</v>
      </c>
      <c r="AC379" s="24"/>
      <c r="AD379" s="24"/>
      <c r="AE379" s="24"/>
      <c r="AF379" s="24"/>
    </row>
    <row r="380" spans="1:32" ht="62.4" x14ac:dyDescent="0.3">
      <c r="A380" s="23">
        <v>41609</v>
      </c>
      <c r="B380" s="24" t="s">
        <v>571</v>
      </c>
      <c r="C380" s="24">
        <v>30264</v>
      </c>
      <c r="D380" s="24" t="s">
        <v>625</v>
      </c>
      <c r="E380" s="24" t="s">
        <v>586</v>
      </c>
      <c r="F380" s="24" t="s">
        <v>574</v>
      </c>
      <c r="G380" s="24">
        <v>6163935</v>
      </c>
      <c r="H380" s="25">
        <v>1684</v>
      </c>
      <c r="I380" s="26">
        <v>1684</v>
      </c>
      <c r="J380" s="24" t="s">
        <v>991</v>
      </c>
      <c r="K380" s="24" t="s">
        <v>627</v>
      </c>
      <c r="L380" s="24" t="s">
        <v>577</v>
      </c>
      <c r="M380" s="24" t="s">
        <v>589</v>
      </c>
      <c r="N380" s="24" t="s">
        <v>628</v>
      </c>
      <c r="O380" s="24">
        <v>293836</v>
      </c>
      <c r="P380" s="25"/>
      <c r="Q380" s="25"/>
      <c r="R380" s="24" t="s">
        <v>1062</v>
      </c>
      <c r="S380" s="24" t="s">
        <v>581</v>
      </c>
      <c r="T380" s="27">
        <v>41628</v>
      </c>
      <c r="U380" s="25">
        <v>3791478</v>
      </c>
      <c r="V380" s="24" t="s">
        <v>582</v>
      </c>
      <c r="W380" s="24" t="s">
        <v>583</v>
      </c>
      <c r="X380" s="24" t="s">
        <v>584</v>
      </c>
      <c r="Y380" s="24">
        <v>4091</v>
      </c>
      <c r="Z380" s="24">
        <v>204411</v>
      </c>
      <c r="AA380" s="24">
        <v>572010</v>
      </c>
      <c r="AB380" s="24">
        <v>0</v>
      </c>
      <c r="AC380" s="24"/>
      <c r="AD380" s="24"/>
      <c r="AE380" s="24"/>
      <c r="AF380" s="24"/>
    </row>
    <row r="381" spans="1:32" ht="62.4" x14ac:dyDescent="0.3">
      <c r="A381" s="23">
        <v>41609</v>
      </c>
      <c r="B381" s="24" t="s">
        <v>571</v>
      </c>
      <c r="C381" s="24">
        <v>30264</v>
      </c>
      <c r="D381" s="24" t="s">
        <v>585</v>
      </c>
      <c r="E381" s="24" t="s">
        <v>586</v>
      </c>
      <c r="F381" s="24" t="s">
        <v>574</v>
      </c>
      <c r="G381" s="24">
        <v>5701408</v>
      </c>
      <c r="H381" s="25">
        <v>4713.75</v>
      </c>
      <c r="I381" s="26">
        <v>4713.75</v>
      </c>
      <c r="J381" s="24" t="s">
        <v>1011</v>
      </c>
      <c r="K381" s="24" t="s">
        <v>724</v>
      </c>
      <c r="L381" s="24" t="s">
        <v>577</v>
      </c>
      <c r="M381" s="24" t="s">
        <v>589</v>
      </c>
      <c r="N381" s="24" t="s">
        <v>590</v>
      </c>
      <c r="O381" s="24">
        <v>295182</v>
      </c>
      <c r="P381" s="25"/>
      <c r="Q381" s="25"/>
      <c r="R381" s="24" t="s">
        <v>1063</v>
      </c>
      <c r="S381" s="24" t="s">
        <v>581</v>
      </c>
      <c r="T381" s="27">
        <v>41617</v>
      </c>
      <c r="U381" s="25">
        <v>3745971</v>
      </c>
      <c r="V381" s="24" t="s">
        <v>582</v>
      </c>
      <c r="W381" s="24" t="s">
        <v>583</v>
      </c>
      <c r="X381" s="24" t="s">
        <v>584</v>
      </c>
      <c r="Y381" s="24">
        <v>4091</v>
      </c>
      <c r="Z381" s="24">
        <v>204411</v>
      </c>
      <c r="AA381" s="24">
        <v>572010</v>
      </c>
      <c r="AB381" s="24">
        <v>0</v>
      </c>
      <c r="AC381" s="24"/>
      <c r="AD381" s="24"/>
      <c r="AE381" s="24"/>
      <c r="AF381" s="24"/>
    </row>
    <row r="382" spans="1:32" ht="62.4" x14ac:dyDescent="0.3">
      <c r="A382" s="23">
        <v>41640</v>
      </c>
      <c r="B382" s="24" t="s">
        <v>571</v>
      </c>
      <c r="C382" s="24">
        <v>30264</v>
      </c>
      <c r="D382" s="24" t="s">
        <v>851</v>
      </c>
      <c r="E382" s="24" t="s">
        <v>934</v>
      </c>
      <c r="F382" s="24" t="s">
        <v>574</v>
      </c>
      <c r="G382" s="24">
        <v>6348904</v>
      </c>
      <c r="H382" s="25">
        <v>708</v>
      </c>
      <c r="I382" s="25">
        <v>708</v>
      </c>
      <c r="J382" s="24" t="s">
        <v>984</v>
      </c>
      <c r="K382" s="24" t="s">
        <v>853</v>
      </c>
      <c r="L382" s="24" t="s">
        <v>633</v>
      </c>
      <c r="M382" s="24" t="s">
        <v>589</v>
      </c>
      <c r="N382" s="24" t="s">
        <v>854</v>
      </c>
      <c r="O382" s="24">
        <v>293837</v>
      </c>
      <c r="P382" s="25"/>
      <c r="Q382" s="25"/>
      <c r="R382" s="24" t="s">
        <v>1064</v>
      </c>
      <c r="S382" s="24" t="s">
        <v>581</v>
      </c>
      <c r="T382" s="27">
        <v>41668</v>
      </c>
      <c r="U382" s="25">
        <v>3872443</v>
      </c>
      <c r="V382" s="24" t="s">
        <v>582</v>
      </c>
      <c r="W382" s="24" t="s">
        <v>583</v>
      </c>
      <c r="X382" s="24" t="s">
        <v>584</v>
      </c>
      <c r="Y382" s="24">
        <v>4091</v>
      </c>
      <c r="Z382" s="24">
        <v>204411</v>
      </c>
      <c r="AA382" s="24">
        <v>572210</v>
      </c>
      <c r="AB382" s="24">
        <v>0</v>
      </c>
      <c r="AC382" s="24"/>
      <c r="AD382" s="24"/>
      <c r="AE382" s="24"/>
      <c r="AF382" s="24"/>
    </row>
    <row r="383" spans="1:32" ht="62.4" x14ac:dyDescent="0.3">
      <c r="A383" s="23">
        <v>41640</v>
      </c>
      <c r="B383" s="24" t="s">
        <v>571</v>
      </c>
      <c r="C383" s="24">
        <v>30264</v>
      </c>
      <c r="D383" s="24" t="s">
        <v>572</v>
      </c>
      <c r="E383" s="24" t="s">
        <v>573</v>
      </c>
      <c r="F383" s="24" t="s">
        <v>574</v>
      </c>
      <c r="G383" s="24">
        <v>6302409</v>
      </c>
      <c r="H383" s="25">
        <v>2857.4</v>
      </c>
      <c r="I383" s="26">
        <v>2857.4</v>
      </c>
      <c r="J383" s="24" t="s">
        <v>1002</v>
      </c>
      <c r="K383" s="24" t="s">
        <v>576</v>
      </c>
      <c r="L383" s="24" t="s">
        <v>577</v>
      </c>
      <c r="M383" s="24" t="s">
        <v>578</v>
      </c>
      <c r="N383" s="24" t="s">
        <v>579</v>
      </c>
      <c r="O383" s="24">
        <v>293851</v>
      </c>
      <c r="P383" s="25"/>
      <c r="Q383" s="25"/>
      <c r="R383" s="24" t="s">
        <v>1065</v>
      </c>
      <c r="S383" s="24" t="s">
        <v>581</v>
      </c>
      <c r="T383" s="27">
        <v>41659</v>
      </c>
      <c r="U383" s="25">
        <v>3854418</v>
      </c>
      <c r="V383" s="24" t="s">
        <v>582</v>
      </c>
      <c r="W383" s="24" t="s">
        <v>583</v>
      </c>
      <c r="X383" s="24" t="s">
        <v>584</v>
      </c>
      <c r="Y383" s="24">
        <v>4091</v>
      </c>
      <c r="Z383" s="24">
        <v>204411</v>
      </c>
      <c r="AA383" s="24">
        <v>630120</v>
      </c>
      <c r="AB383" s="24">
        <v>0</v>
      </c>
      <c r="AC383" s="24"/>
      <c r="AD383" s="24"/>
      <c r="AE383" s="24"/>
      <c r="AF383" s="24"/>
    </row>
    <row r="384" spans="1:32" ht="62.4" x14ac:dyDescent="0.3">
      <c r="A384" s="23">
        <v>41640</v>
      </c>
      <c r="B384" s="24" t="s">
        <v>571</v>
      </c>
      <c r="C384" s="24">
        <v>30264</v>
      </c>
      <c r="D384" s="24" t="s">
        <v>572</v>
      </c>
      <c r="E384" s="24" t="s">
        <v>573</v>
      </c>
      <c r="F384" s="24" t="s">
        <v>574</v>
      </c>
      <c r="G384" s="24">
        <v>6345557</v>
      </c>
      <c r="H384" s="25">
        <v>1703.44</v>
      </c>
      <c r="I384" s="26">
        <v>1703.44</v>
      </c>
      <c r="J384" s="24" t="s">
        <v>989</v>
      </c>
      <c r="K384" s="24" t="s">
        <v>576</v>
      </c>
      <c r="L384" s="24" t="s">
        <v>633</v>
      </c>
      <c r="M384" s="24" t="s">
        <v>578</v>
      </c>
      <c r="N384" s="24" t="s">
        <v>579</v>
      </c>
      <c r="O384" s="24">
        <v>293881</v>
      </c>
      <c r="P384" s="25"/>
      <c r="Q384" s="25"/>
      <c r="R384" s="24" t="s">
        <v>1066</v>
      </c>
      <c r="S384" s="24" t="s">
        <v>581</v>
      </c>
      <c r="T384" s="27">
        <v>41667</v>
      </c>
      <c r="U384" s="25">
        <v>3870462</v>
      </c>
      <c r="V384" s="24" t="s">
        <v>582</v>
      </c>
      <c r="W384" s="24" t="s">
        <v>583</v>
      </c>
      <c r="X384" s="24" t="s">
        <v>584</v>
      </c>
      <c r="Y384" s="24">
        <v>4091</v>
      </c>
      <c r="Z384" s="24">
        <v>204411</v>
      </c>
      <c r="AA384" s="24">
        <v>630120</v>
      </c>
      <c r="AB384" s="24">
        <v>0</v>
      </c>
      <c r="AC384" s="24"/>
      <c r="AD384" s="24"/>
      <c r="AE384" s="24"/>
      <c r="AF384" s="24"/>
    </row>
    <row r="385" spans="1:32" ht="62.4" x14ac:dyDescent="0.3">
      <c r="A385" s="23">
        <v>41640</v>
      </c>
      <c r="B385" s="24" t="s">
        <v>571</v>
      </c>
      <c r="C385" s="24">
        <v>30264</v>
      </c>
      <c r="D385" s="24" t="s">
        <v>625</v>
      </c>
      <c r="E385" s="24" t="s">
        <v>586</v>
      </c>
      <c r="F385" s="24" t="s">
        <v>574</v>
      </c>
      <c r="G385" s="24">
        <v>6350551</v>
      </c>
      <c r="H385" s="25">
        <v>440</v>
      </c>
      <c r="I385" s="25">
        <v>440</v>
      </c>
      <c r="J385" s="24" t="s">
        <v>991</v>
      </c>
      <c r="K385" s="24" t="s">
        <v>627</v>
      </c>
      <c r="L385" s="24" t="s">
        <v>577</v>
      </c>
      <c r="M385" s="24" t="s">
        <v>589</v>
      </c>
      <c r="N385" s="24" t="s">
        <v>628</v>
      </c>
      <c r="O385" s="24">
        <v>293836</v>
      </c>
      <c r="P385" s="25"/>
      <c r="Q385" s="25"/>
      <c r="R385" s="24" t="s">
        <v>1067</v>
      </c>
      <c r="S385" s="24" t="s">
        <v>581</v>
      </c>
      <c r="T385" s="27">
        <v>41669</v>
      </c>
      <c r="U385" s="25">
        <v>3875982</v>
      </c>
      <c r="V385" s="24" t="s">
        <v>582</v>
      </c>
      <c r="W385" s="24" t="s">
        <v>583</v>
      </c>
      <c r="X385" s="24" t="s">
        <v>584</v>
      </c>
      <c r="Y385" s="24">
        <v>4091</v>
      </c>
      <c r="Z385" s="24">
        <v>204411</v>
      </c>
      <c r="AA385" s="24">
        <v>572010</v>
      </c>
      <c r="AB385" s="24">
        <v>0</v>
      </c>
      <c r="AC385" s="24"/>
      <c r="AD385" s="24"/>
      <c r="AE385" s="24"/>
      <c r="AF385" s="24"/>
    </row>
    <row r="386" spans="1:32" ht="62.4" x14ac:dyDescent="0.3">
      <c r="A386" s="23">
        <v>41640</v>
      </c>
      <c r="B386" s="24" t="s">
        <v>571</v>
      </c>
      <c r="C386" s="24">
        <v>30264</v>
      </c>
      <c r="D386" s="24" t="s">
        <v>585</v>
      </c>
      <c r="E386" s="24" t="s">
        <v>586</v>
      </c>
      <c r="F386" s="24" t="s">
        <v>574</v>
      </c>
      <c r="G386" s="24">
        <v>6335467</v>
      </c>
      <c r="H386" s="25">
        <v>3800</v>
      </c>
      <c r="I386" s="26">
        <v>3800</v>
      </c>
      <c r="J386" s="24" t="s">
        <v>651</v>
      </c>
      <c r="K386" s="24" t="s">
        <v>588</v>
      </c>
      <c r="L386" s="24" t="s">
        <v>633</v>
      </c>
      <c r="M386" s="24" t="s">
        <v>589</v>
      </c>
      <c r="N386" s="24" t="s">
        <v>590</v>
      </c>
      <c r="O386" s="24">
        <v>309422</v>
      </c>
      <c r="P386" s="25"/>
      <c r="Q386" s="25"/>
      <c r="R386" s="24" t="s">
        <v>1068</v>
      </c>
      <c r="S386" s="24" t="s">
        <v>581</v>
      </c>
      <c r="T386" s="27">
        <v>41663</v>
      </c>
      <c r="U386" s="25">
        <v>3861723</v>
      </c>
      <c r="V386" s="24" t="s">
        <v>582</v>
      </c>
      <c r="W386" s="24" t="s">
        <v>583</v>
      </c>
      <c r="X386" s="24" t="s">
        <v>584</v>
      </c>
      <c r="Y386" s="24">
        <v>4091</v>
      </c>
      <c r="Z386" s="24">
        <v>204411</v>
      </c>
      <c r="AA386" s="24">
        <v>572010</v>
      </c>
      <c r="AB386" s="24">
        <v>0</v>
      </c>
      <c r="AC386" s="24"/>
      <c r="AD386" s="24"/>
      <c r="AE386" s="24"/>
      <c r="AF386" s="24"/>
    </row>
    <row r="387" spans="1:32" ht="62.4" x14ac:dyDescent="0.3">
      <c r="A387" s="23">
        <v>41640</v>
      </c>
      <c r="B387" s="24" t="s">
        <v>571</v>
      </c>
      <c r="C387" s="24">
        <v>30264</v>
      </c>
      <c r="D387" s="24" t="s">
        <v>585</v>
      </c>
      <c r="E387" s="24" t="s">
        <v>586</v>
      </c>
      <c r="F387" s="24" t="s">
        <v>574</v>
      </c>
      <c r="G387" s="24">
        <v>6343289</v>
      </c>
      <c r="H387" s="25">
        <v>466.13</v>
      </c>
      <c r="I387" s="25">
        <v>466.13</v>
      </c>
      <c r="J387" s="24" t="s">
        <v>1011</v>
      </c>
      <c r="K387" s="24" t="s">
        <v>724</v>
      </c>
      <c r="L387" s="24" t="s">
        <v>577</v>
      </c>
      <c r="M387" s="24" t="s">
        <v>589</v>
      </c>
      <c r="N387" s="24" t="s">
        <v>590</v>
      </c>
      <c r="O387" s="24">
        <v>295182</v>
      </c>
      <c r="P387" s="25"/>
      <c r="Q387" s="25"/>
      <c r="R387" s="24" t="s">
        <v>1069</v>
      </c>
      <c r="S387" s="24" t="s">
        <v>581</v>
      </c>
      <c r="T387" s="27">
        <v>41667</v>
      </c>
      <c r="U387" s="25">
        <v>3871210</v>
      </c>
      <c r="V387" s="24" t="s">
        <v>582</v>
      </c>
      <c r="W387" s="24" t="s">
        <v>583</v>
      </c>
      <c r="X387" s="24" t="s">
        <v>584</v>
      </c>
      <c r="Y387" s="24">
        <v>4091</v>
      </c>
      <c r="Z387" s="24">
        <v>204411</v>
      </c>
      <c r="AA387" s="24">
        <v>572010</v>
      </c>
      <c r="AB387" s="24">
        <v>0</v>
      </c>
      <c r="AC387" s="24"/>
      <c r="AD387" s="24"/>
      <c r="AE387" s="24"/>
      <c r="AF387" s="24"/>
    </row>
    <row r="388" spans="1:32" ht="62.4" x14ac:dyDescent="0.3">
      <c r="A388" s="23">
        <v>41640</v>
      </c>
      <c r="B388" s="24" t="s">
        <v>571</v>
      </c>
      <c r="C388" s="24">
        <v>30264</v>
      </c>
      <c r="D388" s="24" t="s">
        <v>585</v>
      </c>
      <c r="E388" s="24" t="s">
        <v>586</v>
      </c>
      <c r="F388" s="24" t="s">
        <v>574</v>
      </c>
      <c r="G388" s="24">
        <v>6343289</v>
      </c>
      <c r="H388" s="25">
        <v>370</v>
      </c>
      <c r="I388" s="25">
        <v>370</v>
      </c>
      <c r="J388" s="24" t="s">
        <v>1011</v>
      </c>
      <c r="K388" s="24" t="s">
        <v>724</v>
      </c>
      <c r="L388" s="24" t="s">
        <v>577</v>
      </c>
      <c r="M388" s="24" t="s">
        <v>589</v>
      </c>
      <c r="N388" s="24" t="s">
        <v>590</v>
      </c>
      <c r="O388" s="24">
        <v>295182</v>
      </c>
      <c r="P388" s="25"/>
      <c r="Q388" s="25"/>
      <c r="R388" s="24" t="s">
        <v>1070</v>
      </c>
      <c r="S388" s="24" t="s">
        <v>581</v>
      </c>
      <c r="T388" s="27">
        <v>41667</v>
      </c>
      <c r="U388" s="25">
        <v>3871211</v>
      </c>
      <c r="V388" s="24" t="s">
        <v>582</v>
      </c>
      <c r="W388" s="24" t="s">
        <v>583</v>
      </c>
      <c r="X388" s="24" t="s">
        <v>584</v>
      </c>
      <c r="Y388" s="24">
        <v>4091</v>
      </c>
      <c r="Z388" s="24">
        <v>204411</v>
      </c>
      <c r="AA388" s="24">
        <v>572010</v>
      </c>
      <c r="AB388" s="24">
        <v>0</v>
      </c>
      <c r="AC388" s="24"/>
      <c r="AD388" s="24"/>
      <c r="AE388" s="24"/>
      <c r="AF388" s="24"/>
    </row>
    <row r="389" spans="1:32" ht="62.4" x14ac:dyDescent="0.3">
      <c r="A389" s="23">
        <v>41640</v>
      </c>
      <c r="B389" s="24" t="s">
        <v>571</v>
      </c>
      <c r="C389" s="24">
        <v>30264</v>
      </c>
      <c r="D389" s="24" t="s">
        <v>585</v>
      </c>
      <c r="E389" s="24" t="s">
        <v>586</v>
      </c>
      <c r="F389" s="24" t="s">
        <v>574</v>
      </c>
      <c r="G389" s="24">
        <v>6343289</v>
      </c>
      <c r="H389" s="25">
        <v>433.63</v>
      </c>
      <c r="I389" s="25">
        <v>433.63</v>
      </c>
      <c r="J389" s="24" t="s">
        <v>1011</v>
      </c>
      <c r="K389" s="24" t="s">
        <v>724</v>
      </c>
      <c r="L389" s="24" t="s">
        <v>577</v>
      </c>
      <c r="M389" s="24" t="s">
        <v>589</v>
      </c>
      <c r="N389" s="24" t="s">
        <v>590</v>
      </c>
      <c r="O389" s="24">
        <v>295182</v>
      </c>
      <c r="P389" s="25"/>
      <c r="Q389" s="25"/>
      <c r="R389" s="24" t="s">
        <v>1071</v>
      </c>
      <c r="S389" s="24" t="s">
        <v>581</v>
      </c>
      <c r="T389" s="27">
        <v>41667</v>
      </c>
      <c r="U389" s="25">
        <v>3871212</v>
      </c>
      <c r="V389" s="24" t="s">
        <v>582</v>
      </c>
      <c r="W389" s="24" t="s">
        <v>583</v>
      </c>
      <c r="X389" s="24" t="s">
        <v>584</v>
      </c>
      <c r="Y389" s="24">
        <v>4091</v>
      </c>
      <c r="Z389" s="24">
        <v>204411</v>
      </c>
      <c r="AA389" s="24">
        <v>572010</v>
      </c>
      <c r="AB389" s="24">
        <v>0</v>
      </c>
      <c r="AC389" s="24"/>
      <c r="AD389" s="24"/>
      <c r="AE389" s="24"/>
      <c r="AF389" s="24"/>
    </row>
    <row r="390" spans="1:32" ht="62.4" x14ac:dyDescent="0.3">
      <c r="A390" s="23">
        <v>41640</v>
      </c>
      <c r="B390" s="24" t="s">
        <v>571</v>
      </c>
      <c r="C390" s="24">
        <v>30264</v>
      </c>
      <c r="D390" s="24" t="s">
        <v>585</v>
      </c>
      <c r="E390" s="24" t="s">
        <v>586</v>
      </c>
      <c r="F390" s="24" t="s">
        <v>574</v>
      </c>
      <c r="G390" s="24">
        <v>6343289</v>
      </c>
      <c r="H390" s="25">
        <v>401.13</v>
      </c>
      <c r="I390" s="25">
        <v>401.13</v>
      </c>
      <c r="J390" s="24" t="s">
        <v>1011</v>
      </c>
      <c r="K390" s="24" t="s">
        <v>724</v>
      </c>
      <c r="L390" s="24" t="s">
        <v>577</v>
      </c>
      <c r="M390" s="24" t="s">
        <v>589</v>
      </c>
      <c r="N390" s="24" t="s">
        <v>590</v>
      </c>
      <c r="O390" s="24">
        <v>295182</v>
      </c>
      <c r="P390" s="25"/>
      <c r="Q390" s="25"/>
      <c r="R390" s="24" t="s">
        <v>1072</v>
      </c>
      <c r="S390" s="24" t="s">
        <v>581</v>
      </c>
      <c r="T390" s="27">
        <v>41667</v>
      </c>
      <c r="U390" s="25">
        <v>3871213</v>
      </c>
      <c r="V390" s="24" t="s">
        <v>582</v>
      </c>
      <c r="W390" s="24" t="s">
        <v>583</v>
      </c>
      <c r="X390" s="24" t="s">
        <v>584</v>
      </c>
      <c r="Y390" s="24">
        <v>4091</v>
      </c>
      <c r="Z390" s="24">
        <v>204411</v>
      </c>
      <c r="AA390" s="24">
        <v>572010</v>
      </c>
      <c r="AB390" s="24">
        <v>0</v>
      </c>
      <c r="AC390" s="24"/>
      <c r="AD390" s="24"/>
      <c r="AE390" s="24"/>
      <c r="AF390" s="24"/>
    </row>
    <row r="391" spans="1:32" ht="62.4" x14ac:dyDescent="0.3">
      <c r="A391" s="23">
        <v>41640</v>
      </c>
      <c r="B391" s="24" t="s">
        <v>571</v>
      </c>
      <c r="C391" s="24">
        <v>30264</v>
      </c>
      <c r="D391" s="24" t="s">
        <v>585</v>
      </c>
      <c r="E391" s="24" t="s">
        <v>586</v>
      </c>
      <c r="F391" s="24" t="s">
        <v>574</v>
      </c>
      <c r="G391" s="24">
        <v>6343289</v>
      </c>
      <c r="H391" s="25">
        <v>2582.88</v>
      </c>
      <c r="I391" s="26">
        <v>2582.88</v>
      </c>
      <c r="J391" s="24" t="s">
        <v>1011</v>
      </c>
      <c r="K391" s="24" t="s">
        <v>724</v>
      </c>
      <c r="L391" s="24" t="s">
        <v>577</v>
      </c>
      <c r="M391" s="24" t="s">
        <v>589</v>
      </c>
      <c r="N391" s="24" t="s">
        <v>590</v>
      </c>
      <c r="O391" s="24">
        <v>295182</v>
      </c>
      <c r="P391" s="25"/>
      <c r="Q391" s="25"/>
      <c r="R391" s="24" t="s">
        <v>1073</v>
      </c>
      <c r="S391" s="24" t="s">
        <v>581</v>
      </c>
      <c r="T391" s="27">
        <v>41667</v>
      </c>
      <c r="U391" s="25">
        <v>3871214</v>
      </c>
      <c r="V391" s="24" t="s">
        <v>582</v>
      </c>
      <c r="W391" s="24" t="s">
        <v>583</v>
      </c>
      <c r="X391" s="24" t="s">
        <v>584</v>
      </c>
      <c r="Y391" s="24">
        <v>4091</v>
      </c>
      <c r="Z391" s="24">
        <v>204411</v>
      </c>
      <c r="AA391" s="24">
        <v>572010</v>
      </c>
      <c r="AB391" s="24">
        <v>0</v>
      </c>
      <c r="AC391" s="24"/>
      <c r="AD391" s="24"/>
      <c r="AE391" s="24"/>
      <c r="AF391" s="24"/>
    </row>
    <row r="392" spans="1:32" ht="62.4" x14ac:dyDescent="0.3">
      <c r="A392" s="23">
        <v>41640</v>
      </c>
      <c r="B392" s="24" t="s">
        <v>571</v>
      </c>
      <c r="C392" s="24">
        <v>30264</v>
      </c>
      <c r="D392" s="24" t="s">
        <v>585</v>
      </c>
      <c r="E392" s="24" t="s">
        <v>586</v>
      </c>
      <c r="F392" s="24" t="s">
        <v>574</v>
      </c>
      <c r="G392" s="24">
        <v>6343289</v>
      </c>
      <c r="H392" s="25">
        <v>4015.48</v>
      </c>
      <c r="I392" s="26">
        <v>4015.48</v>
      </c>
      <c r="J392" s="24" t="s">
        <v>1011</v>
      </c>
      <c r="K392" s="24" t="s">
        <v>724</v>
      </c>
      <c r="L392" s="24" t="s">
        <v>577</v>
      </c>
      <c r="M392" s="24" t="s">
        <v>589</v>
      </c>
      <c r="N392" s="24" t="s">
        <v>590</v>
      </c>
      <c r="O392" s="24">
        <v>295182</v>
      </c>
      <c r="P392" s="25"/>
      <c r="Q392" s="25"/>
      <c r="R392" s="24" t="s">
        <v>1074</v>
      </c>
      <c r="S392" s="24" t="s">
        <v>581</v>
      </c>
      <c r="T392" s="27">
        <v>41667</v>
      </c>
      <c r="U392" s="25">
        <v>3871215</v>
      </c>
      <c r="V392" s="24" t="s">
        <v>582</v>
      </c>
      <c r="W392" s="24" t="s">
        <v>583</v>
      </c>
      <c r="X392" s="24" t="s">
        <v>584</v>
      </c>
      <c r="Y392" s="24">
        <v>4091</v>
      </c>
      <c r="Z392" s="24">
        <v>204411</v>
      </c>
      <c r="AA392" s="24">
        <v>572010</v>
      </c>
      <c r="AB392" s="24">
        <v>0</v>
      </c>
      <c r="AC392" s="24"/>
      <c r="AD392" s="24"/>
      <c r="AE392" s="24"/>
      <c r="AF392" s="24"/>
    </row>
    <row r="393" spans="1:32" ht="62.4" x14ac:dyDescent="0.3">
      <c r="A393" s="23">
        <v>41640</v>
      </c>
      <c r="B393" s="24" t="s">
        <v>571</v>
      </c>
      <c r="C393" s="24">
        <v>30264</v>
      </c>
      <c r="D393" s="24" t="s">
        <v>585</v>
      </c>
      <c r="E393" s="24" t="s">
        <v>783</v>
      </c>
      <c r="F393" s="24" t="s">
        <v>574</v>
      </c>
      <c r="G393" s="24">
        <v>6348904</v>
      </c>
      <c r="H393" s="25">
        <v>8770.94</v>
      </c>
      <c r="I393" s="26">
        <v>8770.94</v>
      </c>
      <c r="J393" s="24" t="s">
        <v>1075</v>
      </c>
      <c r="K393" s="24" t="s">
        <v>1076</v>
      </c>
      <c r="L393" s="24" t="s">
        <v>633</v>
      </c>
      <c r="M393" s="24" t="s">
        <v>785</v>
      </c>
      <c r="N393" s="24" t="s">
        <v>590</v>
      </c>
      <c r="O393" s="24">
        <v>309883</v>
      </c>
      <c r="P393" s="25"/>
      <c r="Q393" s="25"/>
      <c r="R393" s="24" t="s">
        <v>1077</v>
      </c>
      <c r="S393" s="24" t="s">
        <v>581</v>
      </c>
      <c r="T393" s="27">
        <v>41668</v>
      </c>
      <c r="U393" s="25">
        <v>3872541</v>
      </c>
      <c r="V393" s="24" t="s">
        <v>582</v>
      </c>
      <c r="W393" s="24" t="s">
        <v>583</v>
      </c>
      <c r="X393" s="24" t="s">
        <v>584</v>
      </c>
      <c r="Y393" s="24">
        <v>4091</v>
      </c>
      <c r="Z393" s="24">
        <v>204411</v>
      </c>
      <c r="AA393" s="24">
        <v>588530</v>
      </c>
      <c r="AB393" s="24">
        <v>0</v>
      </c>
      <c r="AC393" s="24"/>
      <c r="AD393" s="24"/>
      <c r="AE393" s="24"/>
      <c r="AF393" s="24"/>
    </row>
    <row r="394" spans="1:32" ht="62.4" x14ac:dyDescent="0.3">
      <c r="A394" s="23">
        <v>41640</v>
      </c>
      <c r="B394" s="24" t="s">
        <v>571</v>
      </c>
      <c r="C394" s="24">
        <v>30264</v>
      </c>
      <c r="D394" s="24" t="s">
        <v>585</v>
      </c>
      <c r="E394" s="24" t="s">
        <v>783</v>
      </c>
      <c r="F394" s="24" t="s">
        <v>574</v>
      </c>
      <c r="G394" s="24">
        <v>6348904</v>
      </c>
      <c r="H394" s="25">
        <v>12693.06</v>
      </c>
      <c r="I394" s="26">
        <v>12693.06</v>
      </c>
      <c r="J394" s="24" t="s">
        <v>1078</v>
      </c>
      <c r="K394" s="24" t="s">
        <v>1076</v>
      </c>
      <c r="L394" s="24" t="s">
        <v>633</v>
      </c>
      <c r="M394" s="24" t="s">
        <v>785</v>
      </c>
      <c r="N394" s="24" t="s">
        <v>590</v>
      </c>
      <c r="O394" s="24">
        <v>309883</v>
      </c>
      <c r="P394" s="25"/>
      <c r="Q394" s="25"/>
      <c r="R394" s="24" t="s">
        <v>1079</v>
      </c>
      <c r="S394" s="24" t="s">
        <v>581</v>
      </c>
      <c r="T394" s="27">
        <v>41668</v>
      </c>
      <c r="U394" s="25">
        <v>3872542</v>
      </c>
      <c r="V394" s="24" t="s">
        <v>582</v>
      </c>
      <c r="W394" s="24" t="s">
        <v>583</v>
      </c>
      <c r="X394" s="24" t="s">
        <v>584</v>
      </c>
      <c r="Y394" s="24">
        <v>4091</v>
      </c>
      <c r="Z394" s="24">
        <v>204411</v>
      </c>
      <c r="AA394" s="24">
        <v>588530</v>
      </c>
      <c r="AB394" s="24">
        <v>0</v>
      </c>
      <c r="AC394" s="24"/>
      <c r="AD394" s="24"/>
      <c r="AE394" s="24"/>
      <c r="AF394" s="24"/>
    </row>
    <row r="395" spans="1:32" ht="62.4" x14ac:dyDescent="0.3">
      <c r="A395" s="23">
        <v>41640</v>
      </c>
      <c r="B395" s="24" t="s">
        <v>571</v>
      </c>
      <c r="C395" s="24">
        <v>30264</v>
      </c>
      <c r="D395" s="24" t="s">
        <v>585</v>
      </c>
      <c r="E395" s="24" t="s">
        <v>1080</v>
      </c>
      <c r="F395" s="24" t="s">
        <v>574</v>
      </c>
      <c r="G395" s="24">
        <v>6302409</v>
      </c>
      <c r="H395" s="25">
        <v>1540</v>
      </c>
      <c r="I395" s="26">
        <v>1540</v>
      </c>
      <c r="J395" s="24" t="s">
        <v>1081</v>
      </c>
      <c r="K395" s="24" t="s">
        <v>1076</v>
      </c>
      <c r="L395" s="24" t="s">
        <v>577</v>
      </c>
      <c r="M395" s="24" t="s">
        <v>1082</v>
      </c>
      <c r="N395" s="24" t="s">
        <v>590</v>
      </c>
      <c r="O395" s="24">
        <v>303290</v>
      </c>
      <c r="P395" s="25"/>
      <c r="Q395" s="25"/>
      <c r="R395" s="24" t="s">
        <v>1083</v>
      </c>
      <c r="S395" s="24" t="s">
        <v>581</v>
      </c>
      <c r="T395" s="27">
        <v>41659</v>
      </c>
      <c r="U395" s="25">
        <v>3854450</v>
      </c>
      <c r="V395" s="24" t="s">
        <v>582</v>
      </c>
      <c r="W395" s="24" t="s">
        <v>583</v>
      </c>
      <c r="X395" s="24" t="s">
        <v>584</v>
      </c>
      <c r="Y395" s="24">
        <v>4091</v>
      </c>
      <c r="Z395" s="24">
        <v>204411</v>
      </c>
      <c r="AA395" s="24">
        <v>572245</v>
      </c>
      <c r="AB395" s="24">
        <v>0</v>
      </c>
      <c r="AC395" s="24"/>
      <c r="AD395" s="24"/>
      <c r="AE395" s="24"/>
      <c r="AF395" s="24"/>
    </row>
    <row r="396" spans="1:32" ht="62.4" x14ac:dyDescent="0.3">
      <c r="A396" s="23">
        <v>41671</v>
      </c>
      <c r="B396" s="24" t="s">
        <v>571</v>
      </c>
      <c r="C396" s="24">
        <v>30264</v>
      </c>
      <c r="D396" s="24" t="s">
        <v>851</v>
      </c>
      <c r="E396" s="24" t="s">
        <v>934</v>
      </c>
      <c r="F396" s="24" t="s">
        <v>574</v>
      </c>
      <c r="G396" s="24">
        <v>6428530</v>
      </c>
      <c r="H396" s="25">
        <v>708</v>
      </c>
      <c r="I396" s="25">
        <v>708</v>
      </c>
      <c r="J396" s="24" t="s">
        <v>984</v>
      </c>
      <c r="K396" s="24" t="s">
        <v>853</v>
      </c>
      <c r="L396" s="24" t="s">
        <v>633</v>
      </c>
      <c r="M396" s="24" t="s">
        <v>589</v>
      </c>
      <c r="N396" s="24" t="s">
        <v>854</v>
      </c>
      <c r="O396" s="24">
        <v>293837</v>
      </c>
      <c r="P396" s="25"/>
      <c r="Q396" s="25"/>
      <c r="R396" s="24" t="s">
        <v>1084</v>
      </c>
      <c r="S396" s="24" t="s">
        <v>581</v>
      </c>
      <c r="T396" s="27">
        <v>41691</v>
      </c>
      <c r="U396" s="25">
        <v>3943528</v>
      </c>
      <c r="V396" s="24" t="s">
        <v>582</v>
      </c>
      <c r="W396" s="24" t="s">
        <v>583</v>
      </c>
      <c r="X396" s="24" t="s">
        <v>584</v>
      </c>
      <c r="Y396" s="24">
        <v>4091</v>
      </c>
      <c r="Z396" s="24">
        <v>204411</v>
      </c>
      <c r="AA396" s="24">
        <v>572210</v>
      </c>
      <c r="AB396" s="24">
        <v>0</v>
      </c>
      <c r="AC396" s="24"/>
      <c r="AD396" s="24"/>
      <c r="AE396" s="24"/>
      <c r="AF396" s="24"/>
    </row>
    <row r="397" spans="1:32" ht="62.4" x14ac:dyDescent="0.3">
      <c r="A397" s="23">
        <v>41671</v>
      </c>
      <c r="B397" s="24" t="s">
        <v>571</v>
      </c>
      <c r="C397" s="24">
        <v>30264</v>
      </c>
      <c r="D397" s="24" t="s">
        <v>572</v>
      </c>
      <c r="E397" s="24" t="s">
        <v>573</v>
      </c>
      <c r="F397" s="24" t="s">
        <v>574</v>
      </c>
      <c r="G397" s="24">
        <v>6428530</v>
      </c>
      <c r="H397" s="25">
        <v>4167.8</v>
      </c>
      <c r="I397" s="26">
        <v>4167.8</v>
      </c>
      <c r="J397" s="24" t="s">
        <v>1002</v>
      </c>
      <c r="K397" s="24" t="s">
        <v>576</v>
      </c>
      <c r="L397" s="24" t="s">
        <v>633</v>
      </c>
      <c r="M397" s="24" t="s">
        <v>578</v>
      </c>
      <c r="N397" s="24" t="s">
        <v>579</v>
      </c>
      <c r="O397" s="24">
        <v>293851</v>
      </c>
      <c r="P397" s="25"/>
      <c r="Q397" s="25"/>
      <c r="R397" s="24" t="s">
        <v>1085</v>
      </c>
      <c r="S397" s="24" t="s">
        <v>581</v>
      </c>
      <c r="T397" s="27">
        <v>41691</v>
      </c>
      <c r="U397" s="25">
        <v>3943529</v>
      </c>
      <c r="V397" s="24" t="s">
        <v>582</v>
      </c>
      <c r="W397" s="24" t="s">
        <v>583</v>
      </c>
      <c r="X397" s="24" t="s">
        <v>584</v>
      </c>
      <c r="Y397" s="24">
        <v>4091</v>
      </c>
      <c r="Z397" s="24">
        <v>204411</v>
      </c>
      <c r="AA397" s="24">
        <v>630120</v>
      </c>
      <c r="AB397" s="24">
        <v>0</v>
      </c>
      <c r="AC397" s="24"/>
      <c r="AD397" s="24"/>
      <c r="AE397" s="24"/>
      <c r="AF397" s="24"/>
    </row>
    <row r="398" spans="1:32" ht="62.4" x14ac:dyDescent="0.3">
      <c r="A398" s="23">
        <v>41671</v>
      </c>
      <c r="B398" s="24" t="s">
        <v>571</v>
      </c>
      <c r="C398" s="24">
        <v>30264</v>
      </c>
      <c r="D398" s="24" t="s">
        <v>625</v>
      </c>
      <c r="E398" s="24" t="s">
        <v>586</v>
      </c>
      <c r="F398" s="24" t="s">
        <v>574</v>
      </c>
      <c r="G398" s="24">
        <v>6379779</v>
      </c>
      <c r="H398" s="25">
        <v>484</v>
      </c>
      <c r="I398" s="25">
        <v>484</v>
      </c>
      <c r="J398" s="24" t="s">
        <v>991</v>
      </c>
      <c r="K398" s="24" t="s">
        <v>627</v>
      </c>
      <c r="L398" s="24" t="s">
        <v>577</v>
      </c>
      <c r="M398" s="24" t="s">
        <v>589</v>
      </c>
      <c r="N398" s="24" t="s">
        <v>628</v>
      </c>
      <c r="O398" s="24">
        <v>293836</v>
      </c>
      <c r="P398" s="25"/>
      <c r="Q398" s="25"/>
      <c r="R398" s="24" t="s">
        <v>1086</v>
      </c>
      <c r="S398" s="24" t="s">
        <v>581</v>
      </c>
      <c r="T398" s="27">
        <v>41677</v>
      </c>
      <c r="U398" s="25">
        <v>3910281</v>
      </c>
      <c r="V398" s="24" t="s">
        <v>582</v>
      </c>
      <c r="W398" s="24" t="s">
        <v>583</v>
      </c>
      <c r="X398" s="24" t="s">
        <v>584</v>
      </c>
      <c r="Y398" s="24">
        <v>4091</v>
      </c>
      <c r="Z398" s="24">
        <v>204411</v>
      </c>
      <c r="AA398" s="24">
        <v>572010</v>
      </c>
      <c r="AB398" s="24">
        <v>0</v>
      </c>
      <c r="AC398" s="24"/>
      <c r="AD398" s="24"/>
      <c r="AE398" s="24"/>
      <c r="AF398" s="24"/>
    </row>
    <row r="399" spans="1:32" ht="62.4" x14ac:dyDescent="0.3">
      <c r="A399" s="23">
        <v>41671</v>
      </c>
      <c r="B399" s="24" t="s">
        <v>571</v>
      </c>
      <c r="C399" s="24">
        <v>30264</v>
      </c>
      <c r="D399" s="24" t="s">
        <v>625</v>
      </c>
      <c r="E399" s="24" t="s">
        <v>586</v>
      </c>
      <c r="F399" s="24" t="s">
        <v>574</v>
      </c>
      <c r="G399" s="24">
        <v>6379779</v>
      </c>
      <c r="H399" s="25">
        <v>9596</v>
      </c>
      <c r="I399" s="26">
        <v>9596</v>
      </c>
      <c r="J399" s="24" t="s">
        <v>991</v>
      </c>
      <c r="K399" s="24" t="s">
        <v>627</v>
      </c>
      <c r="L399" s="24" t="s">
        <v>577</v>
      </c>
      <c r="M399" s="24" t="s">
        <v>589</v>
      </c>
      <c r="N399" s="24" t="s">
        <v>628</v>
      </c>
      <c r="O399" s="24">
        <v>293836</v>
      </c>
      <c r="P399" s="25"/>
      <c r="Q399" s="25"/>
      <c r="R399" s="24" t="s">
        <v>1087</v>
      </c>
      <c r="S399" s="24" t="s">
        <v>581</v>
      </c>
      <c r="T399" s="27">
        <v>41677</v>
      </c>
      <c r="U399" s="25">
        <v>3910282</v>
      </c>
      <c r="V399" s="24" t="s">
        <v>582</v>
      </c>
      <c r="W399" s="24" t="s">
        <v>583</v>
      </c>
      <c r="X399" s="24" t="s">
        <v>584</v>
      </c>
      <c r="Y399" s="24">
        <v>4091</v>
      </c>
      <c r="Z399" s="24">
        <v>204411</v>
      </c>
      <c r="AA399" s="24">
        <v>572010</v>
      </c>
      <c r="AB399" s="24">
        <v>0</v>
      </c>
      <c r="AC399" s="24"/>
      <c r="AD399" s="24"/>
      <c r="AE399" s="24"/>
      <c r="AF399" s="24"/>
    </row>
    <row r="400" spans="1:32" ht="62.4" x14ac:dyDescent="0.3">
      <c r="A400" s="23">
        <v>41671</v>
      </c>
      <c r="B400" s="24" t="s">
        <v>571</v>
      </c>
      <c r="C400" s="24">
        <v>30264</v>
      </c>
      <c r="D400" s="24" t="s">
        <v>585</v>
      </c>
      <c r="E400" s="24" t="s">
        <v>586</v>
      </c>
      <c r="F400" s="24" t="s">
        <v>574</v>
      </c>
      <c r="G400" s="24">
        <v>6394729</v>
      </c>
      <c r="H400" s="25">
        <v>1563.29</v>
      </c>
      <c r="I400" s="26">
        <v>1563.29</v>
      </c>
      <c r="J400" s="24" t="s">
        <v>1088</v>
      </c>
      <c r="K400" s="24" t="s">
        <v>600</v>
      </c>
      <c r="L400" s="24" t="s">
        <v>633</v>
      </c>
      <c r="M400" s="24" t="s">
        <v>589</v>
      </c>
      <c r="N400" s="24" t="s">
        <v>590</v>
      </c>
      <c r="O400" s="24">
        <v>310677</v>
      </c>
      <c r="P400" s="25"/>
      <c r="Q400" s="25"/>
      <c r="R400" s="24" t="s">
        <v>1089</v>
      </c>
      <c r="S400" s="24" t="s">
        <v>581</v>
      </c>
      <c r="T400" s="27">
        <v>41681</v>
      </c>
      <c r="U400" s="25">
        <v>3919385</v>
      </c>
      <c r="V400" s="24" t="s">
        <v>582</v>
      </c>
      <c r="W400" s="24" t="s">
        <v>583</v>
      </c>
      <c r="X400" s="24" t="s">
        <v>584</v>
      </c>
      <c r="Y400" s="24">
        <v>4091</v>
      </c>
      <c r="Z400" s="24">
        <v>204411</v>
      </c>
      <c r="AA400" s="24">
        <v>572010</v>
      </c>
      <c r="AB400" s="24">
        <v>0</v>
      </c>
      <c r="AC400" s="24"/>
      <c r="AD400" s="24"/>
      <c r="AE400" s="24"/>
      <c r="AF400" s="24"/>
    </row>
    <row r="401" spans="1:32" ht="62.4" x14ac:dyDescent="0.3">
      <c r="A401" s="23">
        <v>41671</v>
      </c>
      <c r="B401" s="24" t="s">
        <v>571</v>
      </c>
      <c r="C401" s="24">
        <v>30264</v>
      </c>
      <c r="D401" s="24" t="s">
        <v>585</v>
      </c>
      <c r="E401" s="24" t="s">
        <v>586</v>
      </c>
      <c r="F401" s="24" t="s">
        <v>574</v>
      </c>
      <c r="G401" s="24">
        <v>6428530</v>
      </c>
      <c r="H401" s="25">
        <v>810</v>
      </c>
      <c r="I401" s="25">
        <v>810</v>
      </c>
      <c r="J401" s="24" t="s">
        <v>1050</v>
      </c>
      <c r="K401" s="24" t="s">
        <v>1051</v>
      </c>
      <c r="L401" s="24" t="s">
        <v>633</v>
      </c>
      <c r="M401" s="24" t="s">
        <v>589</v>
      </c>
      <c r="N401" s="24" t="s">
        <v>590</v>
      </c>
      <c r="O401" s="24">
        <v>304524</v>
      </c>
      <c r="P401" s="25"/>
      <c r="Q401" s="25"/>
      <c r="R401" s="24" t="s">
        <v>1090</v>
      </c>
      <c r="S401" s="24" t="s">
        <v>581</v>
      </c>
      <c r="T401" s="27">
        <v>41691</v>
      </c>
      <c r="U401" s="25">
        <v>3943497</v>
      </c>
      <c r="V401" s="24" t="s">
        <v>582</v>
      </c>
      <c r="W401" s="24" t="s">
        <v>583</v>
      </c>
      <c r="X401" s="24" t="s">
        <v>584</v>
      </c>
      <c r="Y401" s="24">
        <v>4091</v>
      </c>
      <c r="Z401" s="24">
        <v>204411</v>
      </c>
      <c r="AA401" s="24">
        <v>572010</v>
      </c>
      <c r="AB401" s="24">
        <v>0</v>
      </c>
      <c r="AC401" s="24"/>
      <c r="AD401" s="24"/>
      <c r="AE401" s="24"/>
      <c r="AF401" s="24"/>
    </row>
  </sheetData>
  <autoFilter ref="A1:AF401"/>
  <pageMargins left="0.7" right="0.7" top="0.75" bottom="0.75" header="0.3" footer="0.3"/>
  <pageSetup paperSize="9" fitToHeight="100" orientation="landscape" r:id="rId1"/>
  <headerFooter>
    <oddHeader>&amp;C&amp;A</oddHeader>
    <oddFooter>&amp;L&amp;F&amp;C&amp;P of &amp;N&amp;R&amp;D &amp;T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C000"/>
    <pageSetUpPr fitToPage="1"/>
  </sheetPr>
  <dimension ref="A1:V52"/>
  <sheetViews>
    <sheetView zoomScale="90" zoomScaleNormal="90" workbookViewId="0"/>
  </sheetViews>
  <sheetFormatPr defaultRowHeight="14.4" x14ac:dyDescent="0.3"/>
  <cols>
    <col min="1" max="1" width="40.44140625" customWidth="1"/>
    <col min="2" max="13" width="10.6640625" customWidth="1"/>
    <col min="14" max="14" width="13.33203125" customWidth="1"/>
    <col min="15" max="20" width="10.6640625" customWidth="1"/>
    <col min="21" max="21" width="44.88671875" customWidth="1"/>
  </cols>
  <sheetData>
    <row r="1" spans="1:22" s="301" customFormat="1" ht="15" x14ac:dyDescent="0.25">
      <c r="B1" s="301" t="str">
        <f ca="1">UPPER(RIGHT(CELL("filename",A1),LEN(CELL("filename",A1))-FIND("]",CELL("filename",A1))))</f>
        <v>DL OPEX BUDGET</v>
      </c>
    </row>
    <row r="2" spans="1:22" s="301" customFormat="1" ht="15.75" thickBot="1" x14ac:dyDescent="0.3">
      <c r="A2" s="167" t="s">
        <v>3454</v>
      </c>
    </row>
    <row r="3" spans="1:22" ht="18" x14ac:dyDescent="0.25">
      <c r="A3" s="171" t="s">
        <v>2745</v>
      </c>
      <c r="B3" s="172"/>
      <c r="C3" s="172"/>
      <c r="D3" s="172"/>
      <c r="E3" s="172"/>
      <c r="F3" s="172"/>
      <c r="G3" s="172"/>
      <c r="H3" s="172"/>
      <c r="I3" s="172"/>
      <c r="J3" s="172"/>
      <c r="K3" s="172"/>
      <c r="L3" s="172"/>
      <c r="M3" s="172"/>
      <c r="N3" s="172"/>
      <c r="O3" s="172"/>
      <c r="P3" s="172"/>
      <c r="Q3" s="172"/>
      <c r="R3" s="172"/>
      <c r="S3" s="172"/>
      <c r="T3" s="172"/>
      <c r="U3" s="173"/>
    </row>
    <row r="4" spans="1:22" ht="18.75" thickBot="1" x14ac:dyDescent="0.3">
      <c r="A4" s="174" t="s">
        <v>2746</v>
      </c>
      <c r="B4" s="175"/>
      <c r="C4" s="175"/>
      <c r="D4" s="175"/>
      <c r="E4" s="175"/>
      <c r="F4" s="175"/>
      <c r="G4" s="175"/>
      <c r="H4" s="175"/>
      <c r="I4" s="175"/>
      <c r="J4" s="175"/>
      <c r="K4" s="175"/>
      <c r="L4" s="175"/>
      <c r="M4" s="175"/>
      <c r="N4" s="175"/>
      <c r="O4" s="175"/>
      <c r="P4" s="175"/>
      <c r="Q4" s="175"/>
      <c r="R4" s="175"/>
      <c r="S4" s="175"/>
      <c r="T4" s="175"/>
      <c r="U4" s="176"/>
    </row>
    <row r="5" spans="1:22" ht="15.75" thickBot="1" x14ac:dyDescent="0.3">
      <c r="A5" s="177"/>
      <c r="B5" s="178" t="s">
        <v>2747</v>
      </c>
      <c r="C5" s="179"/>
      <c r="D5" s="179"/>
      <c r="E5" s="180"/>
      <c r="F5" s="180"/>
      <c r="G5" s="180"/>
      <c r="H5" s="180"/>
      <c r="I5" s="180"/>
      <c r="J5" s="180"/>
      <c r="K5" s="180"/>
      <c r="L5" s="180"/>
      <c r="M5" s="181"/>
      <c r="N5" s="182"/>
      <c r="O5" s="183"/>
      <c r="P5" s="180"/>
      <c r="Q5" s="180"/>
      <c r="R5" s="180"/>
      <c r="S5" s="180"/>
      <c r="T5" s="181"/>
      <c r="U5" s="184"/>
    </row>
    <row r="6" spans="1:22" ht="15.75" thickBot="1" x14ac:dyDescent="0.3">
      <c r="A6" s="185" t="s">
        <v>2748</v>
      </c>
      <c r="B6" s="186">
        <v>41640</v>
      </c>
      <c r="C6" s="187">
        <v>41671</v>
      </c>
      <c r="D6" s="187">
        <v>41699</v>
      </c>
      <c r="E6" s="188">
        <v>41730</v>
      </c>
      <c r="F6" s="188">
        <v>41760</v>
      </c>
      <c r="G6" s="188">
        <v>41791</v>
      </c>
      <c r="H6" s="188">
        <v>41821</v>
      </c>
      <c r="I6" s="188">
        <v>41852</v>
      </c>
      <c r="J6" s="188">
        <v>41883</v>
      </c>
      <c r="K6" s="188">
        <v>41913</v>
      </c>
      <c r="L6" s="188">
        <v>41944</v>
      </c>
      <c r="M6" s="189">
        <v>41974</v>
      </c>
      <c r="N6" s="190"/>
      <c r="O6" s="191">
        <v>42005</v>
      </c>
      <c r="P6" s="188">
        <v>42036</v>
      </c>
      <c r="Q6" s="188">
        <v>42064</v>
      </c>
      <c r="R6" s="188">
        <v>42095</v>
      </c>
      <c r="S6" s="188">
        <v>42125</v>
      </c>
      <c r="T6" s="189">
        <v>42156</v>
      </c>
      <c r="U6" s="192" t="s">
        <v>2749</v>
      </c>
    </row>
    <row r="7" spans="1:22" ht="15" x14ac:dyDescent="0.25">
      <c r="A7" s="193"/>
      <c r="B7" s="194"/>
      <c r="C7" s="195"/>
      <c r="D7" s="195"/>
      <c r="E7" s="196"/>
      <c r="F7" s="196"/>
      <c r="G7" s="196"/>
      <c r="H7" s="196"/>
      <c r="I7" s="196"/>
      <c r="J7" s="196"/>
      <c r="K7" s="196"/>
      <c r="L7" s="196"/>
      <c r="M7" s="197"/>
      <c r="N7" s="196"/>
      <c r="O7" s="193"/>
      <c r="P7" s="196"/>
      <c r="Q7" s="196"/>
      <c r="R7" s="196"/>
      <c r="S7" s="196"/>
      <c r="T7" s="197"/>
      <c r="U7" s="197"/>
    </row>
    <row r="8" spans="1:22" ht="15" x14ac:dyDescent="0.25">
      <c r="A8" s="198" t="s">
        <v>2750</v>
      </c>
      <c r="B8" s="194"/>
      <c r="C8" s="195"/>
      <c r="D8" s="195"/>
      <c r="E8" s="196"/>
      <c r="F8" s="196"/>
      <c r="G8" s="196"/>
      <c r="H8" s="196"/>
      <c r="I8" s="196"/>
      <c r="J8" s="196"/>
      <c r="K8" s="196"/>
      <c r="L8" s="196"/>
      <c r="M8" s="197"/>
      <c r="N8" s="196"/>
      <c r="O8" s="193"/>
      <c r="P8" s="196"/>
      <c r="Q8" s="196"/>
      <c r="R8" s="196"/>
      <c r="S8" s="196"/>
      <c r="T8" s="197"/>
      <c r="U8" s="197"/>
    </row>
    <row r="9" spans="1:22" ht="15" x14ac:dyDescent="0.25">
      <c r="A9" s="199" t="s">
        <v>2751</v>
      </c>
      <c r="B9" s="200">
        <v>0</v>
      </c>
      <c r="C9" s="201">
        <v>0</v>
      </c>
      <c r="D9" s="201">
        <v>0</v>
      </c>
      <c r="E9" s="202">
        <v>0</v>
      </c>
      <c r="F9" s="202">
        <v>0</v>
      </c>
      <c r="G9" s="202">
        <v>0</v>
      </c>
      <c r="H9" s="202">
        <v>3500</v>
      </c>
      <c r="I9" s="202">
        <v>0</v>
      </c>
      <c r="J9" s="202">
        <v>0</v>
      </c>
      <c r="K9" s="202">
        <v>0</v>
      </c>
      <c r="L9" s="202">
        <v>0</v>
      </c>
      <c r="M9" s="203">
        <v>0</v>
      </c>
      <c r="N9" s="204">
        <f>SUM(B9:M9)</f>
        <v>3500</v>
      </c>
      <c r="O9" s="205">
        <v>0</v>
      </c>
      <c r="P9" s="206">
        <v>0</v>
      </c>
      <c r="Q9" s="206">
        <v>0</v>
      </c>
      <c r="R9" s="206">
        <v>0</v>
      </c>
      <c r="S9" s="206">
        <v>0</v>
      </c>
      <c r="T9" s="207">
        <v>0</v>
      </c>
      <c r="U9" s="208"/>
      <c r="V9" s="15"/>
    </row>
    <row r="10" spans="1:22" ht="15" x14ac:dyDescent="0.25">
      <c r="A10" s="199" t="s">
        <v>2752</v>
      </c>
      <c r="B10" s="200">
        <v>0</v>
      </c>
      <c r="C10" s="201">
        <v>0</v>
      </c>
      <c r="D10" s="201">
        <v>0</v>
      </c>
      <c r="E10" s="202">
        <v>0</v>
      </c>
      <c r="F10" s="202">
        <v>0</v>
      </c>
      <c r="G10" s="202">
        <v>0</v>
      </c>
      <c r="H10" s="202">
        <v>7000</v>
      </c>
      <c r="I10" s="202">
        <v>0</v>
      </c>
      <c r="J10" s="202">
        <v>0</v>
      </c>
      <c r="K10" s="202">
        <v>0</v>
      </c>
      <c r="L10" s="202">
        <v>0</v>
      </c>
      <c r="M10" s="203">
        <v>0</v>
      </c>
      <c r="N10" s="204">
        <f t="shared" ref="N10:N12" si="0">SUM(B10:M10)</f>
        <v>7000</v>
      </c>
      <c r="O10" s="205">
        <v>0</v>
      </c>
      <c r="P10" s="206">
        <v>0</v>
      </c>
      <c r="Q10" s="206">
        <v>0</v>
      </c>
      <c r="R10" s="206">
        <v>0</v>
      </c>
      <c r="S10" s="206">
        <v>0</v>
      </c>
      <c r="T10" s="207">
        <v>0</v>
      </c>
      <c r="U10" s="208" t="s">
        <v>2753</v>
      </c>
      <c r="V10" s="15"/>
    </row>
    <row r="11" spans="1:22" ht="15" x14ac:dyDescent="0.25">
      <c r="A11" s="199" t="s">
        <v>2754</v>
      </c>
      <c r="B11" s="200">
        <v>0</v>
      </c>
      <c r="C11" s="201">
        <v>0</v>
      </c>
      <c r="D11" s="201">
        <v>0</v>
      </c>
      <c r="E11" s="202">
        <v>0</v>
      </c>
      <c r="F11" s="202">
        <v>0</v>
      </c>
      <c r="G11" s="202">
        <v>250</v>
      </c>
      <c r="H11" s="202">
        <v>0</v>
      </c>
      <c r="I11" s="202">
        <v>0</v>
      </c>
      <c r="J11" s="202">
        <v>250</v>
      </c>
      <c r="K11" s="202">
        <v>0</v>
      </c>
      <c r="L11" s="202">
        <v>0</v>
      </c>
      <c r="M11" s="203">
        <v>250</v>
      </c>
      <c r="N11" s="204">
        <f t="shared" si="0"/>
        <v>750</v>
      </c>
      <c r="O11" s="205">
        <v>0</v>
      </c>
      <c r="P11" s="206">
        <v>0</v>
      </c>
      <c r="Q11" s="206">
        <v>250</v>
      </c>
      <c r="R11" s="206">
        <v>0</v>
      </c>
      <c r="S11" s="206">
        <v>0</v>
      </c>
      <c r="T11" s="207">
        <v>250</v>
      </c>
      <c r="U11" s="208"/>
      <c r="V11" s="267"/>
    </row>
    <row r="12" spans="1:22" ht="15" x14ac:dyDescent="0.25">
      <c r="A12" s="199" t="s">
        <v>2755</v>
      </c>
      <c r="B12" s="200">
        <v>4400.8399999999992</v>
      </c>
      <c r="C12" s="201">
        <v>5001.46</v>
      </c>
      <c r="D12" s="201">
        <v>10031.969999999999</v>
      </c>
      <c r="E12" s="202">
        <v>1000</v>
      </c>
      <c r="F12" s="202">
        <v>1000</v>
      </c>
      <c r="G12" s="202">
        <v>1000</v>
      </c>
      <c r="H12" s="202">
        <v>1000</v>
      </c>
      <c r="I12" s="202">
        <v>1000</v>
      </c>
      <c r="J12" s="202">
        <v>1000</v>
      </c>
      <c r="K12" s="202">
        <v>1000</v>
      </c>
      <c r="L12" s="202">
        <v>1000</v>
      </c>
      <c r="M12" s="203">
        <v>1000</v>
      </c>
      <c r="N12" s="204">
        <f t="shared" si="0"/>
        <v>28434.269999999997</v>
      </c>
      <c r="O12" s="205">
        <v>1000</v>
      </c>
      <c r="P12" s="206">
        <v>1000</v>
      </c>
      <c r="Q12" s="206">
        <v>1000</v>
      </c>
      <c r="R12" s="206">
        <v>1000</v>
      </c>
      <c r="S12" s="206">
        <v>1000</v>
      </c>
      <c r="T12" s="207">
        <v>1000</v>
      </c>
      <c r="U12" s="208"/>
      <c r="V12" s="15"/>
    </row>
    <row r="13" spans="1:22" ht="15.75" thickBot="1" x14ac:dyDescent="0.3">
      <c r="A13" s="209"/>
      <c r="B13" s="210"/>
      <c r="C13" s="211"/>
      <c r="D13" s="211"/>
      <c r="E13" s="212"/>
      <c r="F13" s="212"/>
      <c r="G13" s="212"/>
      <c r="H13" s="212"/>
      <c r="I13" s="212"/>
      <c r="J13" s="212"/>
      <c r="K13" s="212"/>
      <c r="L13" s="212"/>
      <c r="M13" s="213"/>
      <c r="N13" s="214"/>
      <c r="O13" s="215"/>
      <c r="P13" s="216"/>
      <c r="Q13" s="216"/>
      <c r="R13" s="216"/>
      <c r="S13" s="216"/>
      <c r="T13" s="217"/>
      <c r="U13" s="218"/>
    </row>
    <row r="14" spans="1:22" ht="15.75" thickBot="1" x14ac:dyDescent="0.3">
      <c r="A14" s="219" t="s">
        <v>2756</v>
      </c>
      <c r="B14" s="220">
        <f>SUBTOTAL(9,B9:B13)</f>
        <v>4400.8399999999992</v>
      </c>
      <c r="C14" s="221">
        <f t="shared" ref="C14:T14" si="1">SUBTOTAL(9,C9:C13)</f>
        <v>5001.46</v>
      </c>
      <c r="D14" s="221">
        <f t="shared" si="1"/>
        <v>10031.969999999999</v>
      </c>
      <c r="E14" s="222">
        <f t="shared" si="1"/>
        <v>1000</v>
      </c>
      <c r="F14" s="222">
        <f t="shared" si="1"/>
        <v>1000</v>
      </c>
      <c r="G14" s="222">
        <f t="shared" si="1"/>
        <v>1250</v>
      </c>
      <c r="H14" s="222">
        <f t="shared" si="1"/>
        <v>11500</v>
      </c>
      <c r="I14" s="222">
        <f t="shared" si="1"/>
        <v>1000</v>
      </c>
      <c r="J14" s="222">
        <f t="shared" si="1"/>
        <v>1250</v>
      </c>
      <c r="K14" s="222">
        <f t="shared" si="1"/>
        <v>1000</v>
      </c>
      <c r="L14" s="222">
        <f t="shared" si="1"/>
        <v>1000</v>
      </c>
      <c r="M14" s="223">
        <f t="shared" si="1"/>
        <v>1250</v>
      </c>
      <c r="N14" s="224"/>
      <c r="O14" s="225">
        <f t="shared" si="1"/>
        <v>1000</v>
      </c>
      <c r="P14" s="226">
        <f t="shared" si="1"/>
        <v>1000</v>
      </c>
      <c r="Q14" s="226">
        <f t="shared" si="1"/>
        <v>1250</v>
      </c>
      <c r="R14" s="226">
        <f t="shared" si="1"/>
        <v>1000</v>
      </c>
      <c r="S14" s="226">
        <f t="shared" si="1"/>
        <v>1000</v>
      </c>
      <c r="T14" s="227">
        <f t="shared" si="1"/>
        <v>1250</v>
      </c>
      <c r="U14" s="228"/>
    </row>
    <row r="15" spans="1:22" ht="15" x14ac:dyDescent="0.25">
      <c r="A15" s="229"/>
      <c r="B15" s="230"/>
      <c r="C15" s="231"/>
      <c r="D15" s="231"/>
      <c r="E15" s="232"/>
      <c r="F15" s="232"/>
      <c r="G15" s="232"/>
      <c r="H15" s="232"/>
      <c r="I15" s="232"/>
      <c r="J15" s="232"/>
      <c r="K15" s="232"/>
      <c r="L15" s="232"/>
      <c r="M15" s="233"/>
      <c r="N15" s="234"/>
      <c r="O15" s="235"/>
      <c r="P15" s="236"/>
      <c r="Q15" s="236"/>
      <c r="R15" s="236"/>
      <c r="S15" s="236"/>
      <c r="T15" s="237"/>
      <c r="U15" s="238"/>
    </row>
    <row r="16" spans="1:22" ht="15" x14ac:dyDescent="0.25">
      <c r="A16" s="193" t="s">
        <v>2757</v>
      </c>
      <c r="B16" s="230"/>
      <c r="C16" s="231"/>
      <c r="D16" s="231"/>
      <c r="E16" s="232"/>
      <c r="F16" s="232"/>
      <c r="G16" s="232"/>
      <c r="H16" s="232"/>
      <c r="I16" s="232"/>
      <c r="J16" s="232"/>
      <c r="K16" s="232"/>
      <c r="L16" s="232"/>
      <c r="M16" s="233"/>
      <c r="N16" s="234"/>
      <c r="O16" s="239"/>
      <c r="P16" s="240"/>
      <c r="Q16" s="240"/>
      <c r="R16" s="240"/>
      <c r="S16" s="240"/>
      <c r="T16" s="241"/>
      <c r="U16" s="238"/>
    </row>
    <row r="17" spans="1:22" ht="15" x14ac:dyDescent="0.25">
      <c r="A17" s="199" t="s">
        <v>2758</v>
      </c>
      <c r="B17" s="200">
        <v>37851.65</v>
      </c>
      <c r="C17" s="201">
        <v>129331.06</v>
      </c>
      <c r="D17" s="201">
        <v>33763.06</v>
      </c>
      <c r="E17" s="202">
        <v>44000</v>
      </c>
      <c r="F17" s="202">
        <v>44000</v>
      </c>
      <c r="G17" s="202">
        <v>44000</v>
      </c>
      <c r="H17" s="202">
        <v>60000</v>
      </c>
      <c r="I17" s="202">
        <v>60000</v>
      </c>
      <c r="J17" s="202">
        <v>44000</v>
      </c>
      <c r="K17" s="202">
        <v>44000</v>
      </c>
      <c r="L17" s="202">
        <v>44000</v>
      </c>
      <c r="M17" s="203">
        <v>44000</v>
      </c>
      <c r="N17" s="204">
        <f>SUM(B17:M17)</f>
        <v>628945.77</v>
      </c>
      <c r="O17" s="205">
        <v>44000</v>
      </c>
      <c r="P17" s="206">
        <v>44000</v>
      </c>
      <c r="Q17" s="206">
        <v>44000</v>
      </c>
      <c r="R17" s="206">
        <v>44000</v>
      </c>
      <c r="S17" s="206">
        <v>44000</v>
      </c>
      <c r="T17" s="207">
        <v>44000</v>
      </c>
      <c r="U17" s="242"/>
    </row>
    <row r="18" spans="1:22" ht="15" x14ac:dyDescent="0.25">
      <c r="A18" s="243" t="s">
        <v>2759</v>
      </c>
      <c r="B18" s="200">
        <v>14583</v>
      </c>
      <c r="C18" s="201">
        <v>14583</v>
      </c>
      <c r="D18" s="201">
        <v>14583</v>
      </c>
      <c r="E18" s="202">
        <v>14583</v>
      </c>
      <c r="F18" s="202">
        <v>14583</v>
      </c>
      <c r="G18" s="202">
        <v>14583</v>
      </c>
      <c r="H18" s="202">
        <v>15500</v>
      </c>
      <c r="I18" s="202">
        <v>15500</v>
      </c>
      <c r="J18" s="202">
        <v>15500</v>
      </c>
      <c r="K18" s="202">
        <v>15500</v>
      </c>
      <c r="L18" s="202">
        <v>15500</v>
      </c>
      <c r="M18" s="203">
        <v>15500</v>
      </c>
      <c r="N18" s="204">
        <f t="shared" ref="N18:N20" si="2">SUM(B18:M18)</f>
        <v>180498</v>
      </c>
      <c r="O18" s="205">
        <v>15500</v>
      </c>
      <c r="P18" s="206">
        <v>15500</v>
      </c>
      <c r="Q18" s="206">
        <v>15500</v>
      </c>
      <c r="R18" s="206">
        <v>15500</v>
      </c>
      <c r="S18" s="206">
        <v>15500</v>
      </c>
      <c r="T18" s="207">
        <v>15500</v>
      </c>
      <c r="U18" s="242"/>
    </row>
    <row r="19" spans="1:22" ht="15" x14ac:dyDescent="0.25">
      <c r="A19" s="199" t="s">
        <v>2760</v>
      </c>
      <c r="B19" s="200">
        <v>3800</v>
      </c>
      <c r="C19" s="201">
        <v>15000</v>
      </c>
      <c r="D19" s="201">
        <v>4880</v>
      </c>
      <c r="E19" s="202">
        <v>9000</v>
      </c>
      <c r="F19" s="202">
        <v>9000</v>
      </c>
      <c r="G19" s="202">
        <v>9000</v>
      </c>
      <c r="H19" s="202">
        <v>9000</v>
      </c>
      <c r="I19" s="202">
        <v>9000</v>
      </c>
      <c r="J19" s="202">
        <v>9000</v>
      </c>
      <c r="K19" s="202">
        <v>9000</v>
      </c>
      <c r="L19" s="202">
        <v>9000</v>
      </c>
      <c r="M19" s="203">
        <v>9000</v>
      </c>
      <c r="N19" s="204">
        <f t="shared" si="2"/>
        <v>104680</v>
      </c>
      <c r="O19" s="205">
        <v>9000</v>
      </c>
      <c r="P19" s="206">
        <v>9000</v>
      </c>
      <c r="Q19" s="206">
        <v>9000</v>
      </c>
      <c r="R19" s="206">
        <v>9000</v>
      </c>
      <c r="S19" s="206">
        <v>9000</v>
      </c>
      <c r="T19" s="207">
        <v>9000</v>
      </c>
      <c r="U19" s="242"/>
      <c r="V19" s="15"/>
    </row>
    <row r="20" spans="1:22" ht="15" x14ac:dyDescent="0.25">
      <c r="A20" s="199" t="s">
        <v>2761</v>
      </c>
      <c r="B20" s="200">
        <v>8903.99</v>
      </c>
      <c r="C20" s="201">
        <v>6472.71</v>
      </c>
      <c r="D20" s="244">
        <v>12000</v>
      </c>
      <c r="E20" s="202">
        <v>24000</v>
      </c>
      <c r="F20" s="202">
        <v>24000</v>
      </c>
      <c r="G20" s="202">
        <v>24000</v>
      </c>
      <c r="H20" s="202">
        <v>27000</v>
      </c>
      <c r="I20" s="202">
        <v>27000</v>
      </c>
      <c r="J20" s="202">
        <v>27000</v>
      </c>
      <c r="K20" s="202">
        <v>27000</v>
      </c>
      <c r="L20" s="202">
        <v>27000</v>
      </c>
      <c r="M20" s="203">
        <v>27000</v>
      </c>
      <c r="N20" s="204">
        <f t="shared" si="2"/>
        <v>261376.7</v>
      </c>
      <c r="O20" s="205">
        <v>27000</v>
      </c>
      <c r="P20" s="206">
        <v>27000</v>
      </c>
      <c r="Q20" s="206">
        <v>27000</v>
      </c>
      <c r="R20" s="206">
        <v>27000</v>
      </c>
      <c r="S20" s="206">
        <v>27000</v>
      </c>
      <c r="T20" s="207">
        <v>27000</v>
      </c>
      <c r="U20" s="242"/>
    </row>
    <row r="21" spans="1:22" ht="15" x14ac:dyDescent="0.25">
      <c r="A21" s="199" t="s">
        <v>2762</v>
      </c>
      <c r="B21" s="200">
        <v>5642.51</v>
      </c>
      <c r="C21" s="201">
        <v>11976.15</v>
      </c>
      <c r="D21" s="244">
        <v>12000</v>
      </c>
      <c r="E21" s="202">
        <v>24000</v>
      </c>
      <c r="F21" s="202">
        <v>24000</v>
      </c>
      <c r="G21" s="202">
        <v>24000</v>
      </c>
      <c r="H21" s="202">
        <v>27000</v>
      </c>
      <c r="I21" s="202">
        <v>27000</v>
      </c>
      <c r="J21" s="202">
        <v>27000</v>
      </c>
      <c r="K21" s="202">
        <v>27000</v>
      </c>
      <c r="L21" s="202">
        <v>27000</v>
      </c>
      <c r="M21" s="203">
        <v>27000</v>
      </c>
      <c r="N21" s="204">
        <f>SUM(B21:M21)</f>
        <v>263618.66000000003</v>
      </c>
      <c r="O21" s="205">
        <v>27000</v>
      </c>
      <c r="P21" s="206">
        <v>27000</v>
      </c>
      <c r="Q21" s="206">
        <v>27000</v>
      </c>
      <c r="R21" s="206">
        <v>27000</v>
      </c>
      <c r="S21" s="206">
        <v>27000</v>
      </c>
      <c r="T21" s="207">
        <v>27000</v>
      </c>
      <c r="U21" s="242"/>
    </row>
    <row r="22" spans="1:22" ht="15" x14ac:dyDescent="0.25">
      <c r="A22" s="199" t="s">
        <v>2763</v>
      </c>
      <c r="B22" s="200">
        <v>581.14</v>
      </c>
      <c r="C22" s="201">
        <v>2773.33</v>
      </c>
      <c r="D22" s="244">
        <v>600</v>
      </c>
      <c r="E22" s="202">
        <v>1000</v>
      </c>
      <c r="F22" s="202">
        <v>1000</v>
      </c>
      <c r="G22" s="202">
        <v>1000</v>
      </c>
      <c r="H22" s="202">
        <v>1000</v>
      </c>
      <c r="I22" s="202">
        <v>1000</v>
      </c>
      <c r="J22" s="202">
        <v>1000</v>
      </c>
      <c r="K22" s="202">
        <v>1000</v>
      </c>
      <c r="L22" s="202">
        <v>1000</v>
      </c>
      <c r="M22" s="203">
        <v>1000</v>
      </c>
      <c r="N22" s="204">
        <f t="shared" ref="N22:N24" si="3">SUM(B22:M22)</f>
        <v>12954.47</v>
      </c>
      <c r="O22" s="205">
        <v>1000</v>
      </c>
      <c r="P22" s="206">
        <v>1000</v>
      </c>
      <c r="Q22" s="206">
        <v>1000</v>
      </c>
      <c r="R22" s="206">
        <v>1000</v>
      </c>
      <c r="S22" s="206">
        <v>1000</v>
      </c>
      <c r="T22" s="207">
        <v>1000</v>
      </c>
      <c r="U22" s="242"/>
      <c r="V22" s="7"/>
    </row>
    <row r="23" spans="1:22" ht="15" x14ac:dyDescent="0.25">
      <c r="A23" s="199" t="s">
        <v>2764</v>
      </c>
      <c r="B23" s="200">
        <v>0</v>
      </c>
      <c r="C23" s="201">
        <v>14080</v>
      </c>
      <c r="D23" s="201">
        <v>694</v>
      </c>
      <c r="E23" s="202">
        <v>10000</v>
      </c>
      <c r="F23" s="202">
        <v>10000</v>
      </c>
      <c r="G23" s="202">
        <v>10000</v>
      </c>
      <c r="H23" s="202">
        <v>10000</v>
      </c>
      <c r="I23" s="202">
        <v>10000</v>
      </c>
      <c r="J23" s="202">
        <v>10000</v>
      </c>
      <c r="K23" s="202">
        <v>10000</v>
      </c>
      <c r="L23" s="202">
        <v>10000</v>
      </c>
      <c r="M23" s="203">
        <v>10000</v>
      </c>
      <c r="N23" s="204">
        <f t="shared" si="3"/>
        <v>104774</v>
      </c>
      <c r="O23" s="205">
        <v>10000</v>
      </c>
      <c r="P23" s="206">
        <v>10000</v>
      </c>
      <c r="Q23" s="206">
        <v>10000</v>
      </c>
      <c r="R23" s="206">
        <v>10000</v>
      </c>
      <c r="S23" s="206">
        <v>10000</v>
      </c>
      <c r="T23" s="207">
        <v>10000</v>
      </c>
      <c r="U23" s="242"/>
    </row>
    <row r="24" spans="1:22" ht="15" x14ac:dyDescent="0.25">
      <c r="A24" s="199" t="s">
        <v>2765</v>
      </c>
      <c r="B24" s="200">
        <v>0</v>
      </c>
      <c r="C24" s="201">
        <v>1563.29</v>
      </c>
      <c r="D24" s="201">
        <v>0</v>
      </c>
      <c r="E24" s="202">
        <v>0</v>
      </c>
      <c r="F24" s="202">
        <v>0</v>
      </c>
      <c r="G24" s="202">
        <v>0</v>
      </c>
      <c r="H24" s="202">
        <v>0</v>
      </c>
      <c r="I24" s="202">
        <v>2400</v>
      </c>
      <c r="J24" s="202">
        <v>0</v>
      </c>
      <c r="K24" s="202">
        <v>0</v>
      </c>
      <c r="L24" s="202">
        <v>0</v>
      </c>
      <c r="M24" s="203">
        <v>0</v>
      </c>
      <c r="N24" s="204">
        <f t="shared" si="3"/>
        <v>3963.29</v>
      </c>
      <c r="O24" s="205">
        <v>0</v>
      </c>
      <c r="P24" s="206">
        <v>2400</v>
      </c>
      <c r="Q24" s="206">
        <v>0</v>
      </c>
      <c r="R24" s="206">
        <v>0</v>
      </c>
      <c r="S24" s="206">
        <v>0</v>
      </c>
      <c r="T24" s="207">
        <v>0</v>
      </c>
      <c r="U24" s="242"/>
      <c r="V24" s="15"/>
    </row>
    <row r="25" spans="1:22" ht="15" x14ac:dyDescent="0.25">
      <c r="A25" s="199" t="s">
        <v>2766</v>
      </c>
      <c r="B25" s="200">
        <v>0</v>
      </c>
      <c r="C25" s="201">
        <v>0</v>
      </c>
      <c r="D25" s="201">
        <v>0</v>
      </c>
      <c r="E25" s="202">
        <v>2000</v>
      </c>
      <c r="F25" s="202">
        <v>0</v>
      </c>
      <c r="G25" s="202">
        <v>0</v>
      </c>
      <c r="H25" s="202">
        <v>2000</v>
      </c>
      <c r="I25" s="202">
        <v>0</v>
      </c>
      <c r="J25" s="202">
        <v>0</v>
      </c>
      <c r="K25" s="202">
        <v>2000</v>
      </c>
      <c r="L25" s="202">
        <v>0</v>
      </c>
      <c r="M25" s="203">
        <v>0</v>
      </c>
      <c r="N25" s="204">
        <f>SUM(B25:M25)</f>
        <v>6000</v>
      </c>
      <c r="O25" s="205">
        <v>2000</v>
      </c>
      <c r="P25" s="206">
        <v>0</v>
      </c>
      <c r="Q25" s="206">
        <v>0</v>
      </c>
      <c r="R25" s="206">
        <v>2000</v>
      </c>
      <c r="S25" s="206">
        <v>0</v>
      </c>
      <c r="T25" s="207">
        <v>0</v>
      </c>
      <c r="U25" s="242"/>
      <c r="V25" s="15"/>
    </row>
    <row r="26" spans="1:22" ht="15" x14ac:dyDescent="0.25">
      <c r="A26" s="199" t="s">
        <v>2767</v>
      </c>
      <c r="B26" s="200">
        <v>0</v>
      </c>
      <c r="C26" s="201">
        <v>0</v>
      </c>
      <c r="D26" s="201">
        <v>0</v>
      </c>
      <c r="E26" s="202">
        <v>1000</v>
      </c>
      <c r="F26" s="202">
        <v>1000</v>
      </c>
      <c r="G26" s="202">
        <v>0</v>
      </c>
      <c r="H26" s="202">
        <v>2000</v>
      </c>
      <c r="I26" s="202">
        <v>2000</v>
      </c>
      <c r="J26" s="202">
        <v>0</v>
      </c>
      <c r="K26" s="202">
        <v>1000</v>
      </c>
      <c r="L26" s="202">
        <v>0</v>
      </c>
      <c r="M26" s="203">
        <v>1000</v>
      </c>
      <c r="N26" s="204">
        <f t="shared" ref="N26:N28" si="4">SUM(B26:M26)</f>
        <v>8000</v>
      </c>
      <c r="O26" s="205">
        <v>0</v>
      </c>
      <c r="P26" s="206">
        <v>2000</v>
      </c>
      <c r="Q26" s="206">
        <v>0</v>
      </c>
      <c r="R26" s="206">
        <v>1000</v>
      </c>
      <c r="S26" s="206">
        <v>0</v>
      </c>
      <c r="T26" s="207">
        <v>1000</v>
      </c>
      <c r="U26" s="242"/>
    </row>
    <row r="27" spans="1:22" ht="15" x14ac:dyDescent="0.25">
      <c r="A27" s="199" t="s">
        <v>2768</v>
      </c>
      <c r="B27" s="200">
        <v>0</v>
      </c>
      <c r="C27" s="201">
        <v>0</v>
      </c>
      <c r="D27" s="201">
        <v>0</v>
      </c>
      <c r="E27" s="202">
        <v>0</v>
      </c>
      <c r="F27" s="202">
        <v>0</v>
      </c>
      <c r="G27" s="202">
        <v>0</v>
      </c>
      <c r="H27" s="202">
        <v>0</v>
      </c>
      <c r="I27" s="202">
        <v>0</v>
      </c>
      <c r="J27" s="202">
        <v>0</v>
      </c>
      <c r="K27" s="202">
        <v>0</v>
      </c>
      <c r="L27" s="202">
        <v>0</v>
      </c>
      <c r="M27" s="203">
        <v>0</v>
      </c>
      <c r="N27" s="204">
        <f t="shared" si="4"/>
        <v>0</v>
      </c>
      <c r="O27" s="205">
        <v>1000</v>
      </c>
      <c r="P27" s="206">
        <v>0</v>
      </c>
      <c r="Q27" s="206">
        <v>0</v>
      </c>
      <c r="R27" s="206">
        <v>0</v>
      </c>
      <c r="S27" s="206">
        <v>0</v>
      </c>
      <c r="T27" s="207">
        <v>0</v>
      </c>
      <c r="U27" s="245" t="s">
        <v>2769</v>
      </c>
    </row>
    <row r="28" spans="1:22" ht="15" x14ac:dyDescent="0.25">
      <c r="A28" s="199" t="s">
        <v>2770</v>
      </c>
      <c r="B28" s="200">
        <v>7703.14</v>
      </c>
      <c r="C28" s="201">
        <v>678</v>
      </c>
      <c r="D28" s="201">
        <v>7095.82</v>
      </c>
      <c r="E28" s="202">
        <v>3500</v>
      </c>
      <c r="F28" s="202">
        <v>3500</v>
      </c>
      <c r="G28" s="202">
        <v>3500</v>
      </c>
      <c r="H28" s="202">
        <v>3500</v>
      </c>
      <c r="I28" s="202">
        <v>3500</v>
      </c>
      <c r="J28" s="202">
        <v>3500</v>
      </c>
      <c r="K28" s="202">
        <v>3500</v>
      </c>
      <c r="L28" s="202">
        <v>3500</v>
      </c>
      <c r="M28" s="203">
        <v>3500</v>
      </c>
      <c r="N28" s="204">
        <f t="shared" si="4"/>
        <v>46976.959999999999</v>
      </c>
      <c r="O28" s="205">
        <v>3500</v>
      </c>
      <c r="P28" s="206">
        <v>3500</v>
      </c>
      <c r="Q28" s="206">
        <v>3500</v>
      </c>
      <c r="R28" s="206">
        <v>3500</v>
      </c>
      <c r="S28" s="206">
        <v>3500</v>
      </c>
      <c r="T28" s="207">
        <v>3500</v>
      </c>
      <c r="U28" s="242"/>
    </row>
    <row r="29" spans="1:22" ht="15" x14ac:dyDescent="0.25">
      <c r="A29" s="199" t="s">
        <v>2771</v>
      </c>
      <c r="B29" s="200">
        <v>271.88</v>
      </c>
      <c r="C29" s="201">
        <v>53.63</v>
      </c>
      <c r="D29" s="201">
        <v>487.02</v>
      </c>
      <c r="E29" s="202">
        <v>420</v>
      </c>
      <c r="F29" s="202">
        <v>420</v>
      </c>
      <c r="G29" s="202">
        <v>420</v>
      </c>
      <c r="H29" s="202">
        <v>420</v>
      </c>
      <c r="I29" s="202">
        <v>420</v>
      </c>
      <c r="J29" s="202">
        <v>420</v>
      </c>
      <c r="K29" s="202">
        <v>420</v>
      </c>
      <c r="L29" s="202">
        <v>420</v>
      </c>
      <c r="M29" s="203">
        <v>420</v>
      </c>
      <c r="N29" s="204">
        <f>SUM(B29:M29)</f>
        <v>4592.53</v>
      </c>
      <c r="O29" s="205">
        <v>420</v>
      </c>
      <c r="P29" s="206">
        <v>420</v>
      </c>
      <c r="Q29" s="206">
        <v>420</v>
      </c>
      <c r="R29" s="206">
        <v>420</v>
      </c>
      <c r="S29" s="206">
        <v>420</v>
      </c>
      <c r="T29" s="207">
        <v>402</v>
      </c>
      <c r="U29" s="242"/>
    </row>
    <row r="30" spans="1:22" ht="15" x14ac:dyDescent="0.25">
      <c r="A30" s="199" t="s">
        <v>2772</v>
      </c>
      <c r="B30" s="200">
        <v>0</v>
      </c>
      <c r="C30" s="201">
        <v>0</v>
      </c>
      <c r="D30" s="201">
        <v>0</v>
      </c>
      <c r="E30" s="202">
        <v>0</v>
      </c>
      <c r="F30" s="202">
        <v>0</v>
      </c>
      <c r="G30" s="202">
        <v>0</v>
      </c>
      <c r="H30" s="202">
        <v>500</v>
      </c>
      <c r="I30" s="202">
        <v>0</v>
      </c>
      <c r="J30" s="202">
        <v>0</v>
      </c>
      <c r="K30" s="202">
        <v>0</v>
      </c>
      <c r="L30" s="202">
        <v>0</v>
      </c>
      <c r="M30" s="203">
        <v>0</v>
      </c>
      <c r="N30" s="204">
        <f t="shared" ref="N30:N32" si="5">SUM(B30:M30)</f>
        <v>500</v>
      </c>
      <c r="O30" s="205">
        <v>0</v>
      </c>
      <c r="P30" s="206">
        <v>0</v>
      </c>
      <c r="Q30" s="206">
        <v>0</v>
      </c>
      <c r="R30" s="206">
        <v>0</v>
      </c>
      <c r="S30" s="206">
        <v>0</v>
      </c>
      <c r="T30" s="207">
        <v>0</v>
      </c>
      <c r="U30" s="242"/>
      <c r="V30" s="15"/>
    </row>
    <row r="31" spans="1:22" ht="15" x14ac:dyDescent="0.25">
      <c r="A31" s="199" t="s">
        <v>2773</v>
      </c>
      <c r="B31" s="200">
        <v>0</v>
      </c>
      <c r="C31" s="201">
        <v>0</v>
      </c>
      <c r="D31" s="244">
        <v>6400</v>
      </c>
      <c r="E31" s="202">
        <v>0</v>
      </c>
      <c r="F31" s="202">
        <v>0</v>
      </c>
      <c r="G31" s="202">
        <v>0</v>
      </c>
      <c r="H31" s="202">
        <v>0</v>
      </c>
      <c r="I31" s="202">
        <v>0</v>
      </c>
      <c r="J31" s="202">
        <v>0</v>
      </c>
      <c r="K31" s="202">
        <v>0</v>
      </c>
      <c r="L31" s="202">
        <v>0</v>
      </c>
      <c r="M31" s="203">
        <v>0</v>
      </c>
      <c r="N31" s="204">
        <f t="shared" si="5"/>
        <v>6400</v>
      </c>
      <c r="O31" s="205">
        <v>0</v>
      </c>
      <c r="P31" s="206">
        <v>0</v>
      </c>
      <c r="Q31" s="206">
        <v>6400</v>
      </c>
      <c r="R31" s="206">
        <v>0</v>
      </c>
      <c r="S31" s="206">
        <v>0</v>
      </c>
      <c r="T31" s="207">
        <v>0</v>
      </c>
      <c r="U31" s="242"/>
      <c r="V31" s="301"/>
    </row>
    <row r="32" spans="1:22" ht="15" x14ac:dyDescent="0.25">
      <c r="A32" s="243" t="s">
        <v>2774</v>
      </c>
      <c r="B32" s="200">
        <v>79.650000000000006</v>
      </c>
      <c r="C32" s="201">
        <f>63.64+196.37</f>
        <v>260.01</v>
      </c>
      <c r="D32" s="201">
        <v>63.72</v>
      </c>
      <c r="E32" s="202">
        <v>110</v>
      </c>
      <c r="F32" s="202">
        <v>110</v>
      </c>
      <c r="G32" s="202">
        <v>110</v>
      </c>
      <c r="H32" s="202">
        <v>110</v>
      </c>
      <c r="I32" s="202">
        <v>110</v>
      </c>
      <c r="J32" s="202">
        <v>110</v>
      </c>
      <c r="K32" s="202">
        <v>110</v>
      </c>
      <c r="L32" s="202">
        <v>110</v>
      </c>
      <c r="M32" s="203">
        <v>110</v>
      </c>
      <c r="N32" s="204">
        <f t="shared" si="5"/>
        <v>1393.38</v>
      </c>
      <c r="O32" s="205">
        <v>110</v>
      </c>
      <c r="P32" s="206">
        <v>110</v>
      </c>
      <c r="Q32" s="206">
        <v>110</v>
      </c>
      <c r="R32" s="206">
        <v>110</v>
      </c>
      <c r="S32" s="206">
        <v>110</v>
      </c>
      <c r="T32" s="207">
        <v>110</v>
      </c>
      <c r="U32" s="242"/>
    </row>
    <row r="33" spans="1:22" x14ac:dyDescent="0.3">
      <c r="A33" s="199" t="s">
        <v>2775</v>
      </c>
      <c r="B33" s="200">
        <v>0</v>
      </c>
      <c r="C33" s="201">
        <v>0</v>
      </c>
      <c r="D33" s="201">
        <v>0</v>
      </c>
      <c r="E33" s="202">
        <v>0</v>
      </c>
      <c r="F33" s="202">
        <v>0</v>
      </c>
      <c r="G33" s="202">
        <v>0</v>
      </c>
      <c r="H33" s="202">
        <v>0</v>
      </c>
      <c r="I33" s="202">
        <v>0</v>
      </c>
      <c r="J33" s="202">
        <v>0</v>
      </c>
      <c r="K33" s="202">
        <v>0</v>
      </c>
      <c r="L33" s="202">
        <v>300</v>
      </c>
      <c r="M33" s="203">
        <v>0</v>
      </c>
      <c r="N33" s="204">
        <f>SUM(B33:M33)</f>
        <v>300</v>
      </c>
      <c r="O33" s="205">
        <v>0</v>
      </c>
      <c r="P33" s="206">
        <v>0</v>
      </c>
      <c r="Q33" s="206">
        <v>0</v>
      </c>
      <c r="R33" s="206">
        <v>0</v>
      </c>
      <c r="S33" s="206">
        <v>0</v>
      </c>
      <c r="T33" s="207">
        <v>0</v>
      </c>
      <c r="U33" s="242"/>
    </row>
    <row r="34" spans="1:22" x14ac:dyDescent="0.3">
      <c r="A34" s="199" t="s">
        <v>2776</v>
      </c>
      <c r="B34" s="200">
        <v>0</v>
      </c>
      <c r="C34" s="201">
        <v>0</v>
      </c>
      <c r="D34" s="201">
        <v>1032</v>
      </c>
      <c r="E34" s="202">
        <v>0</v>
      </c>
      <c r="F34" s="202">
        <v>0</v>
      </c>
      <c r="G34" s="202">
        <v>0</v>
      </c>
      <c r="H34" s="202">
        <v>0</v>
      </c>
      <c r="I34" s="202">
        <v>0</v>
      </c>
      <c r="J34" s="202">
        <v>10000</v>
      </c>
      <c r="K34" s="202">
        <v>0</v>
      </c>
      <c r="L34" s="202">
        <v>0</v>
      </c>
      <c r="M34" s="203">
        <v>5000</v>
      </c>
      <c r="N34" s="204">
        <f t="shared" ref="N34:N36" si="6">SUM(B34:M34)</f>
        <v>16032</v>
      </c>
      <c r="O34" s="205">
        <v>0</v>
      </c>
      <c r="P34" s="206">
        <v>0</v>
      </c>
      <c r="Q34" s="206">
        <v>10000</v>
      </c>
      <c r="R34" s="206">
        <v>0</v>
      </c>
      <c r="S34" s="206">
        <v>0</v>
      </c>
      <c r="T34" s="207">
        <v>5000</v>
      </c>
      <c r="U34" s="242"/>
    </row>
    <row r="35" spans="1:22" x14ac:dyDescent="0.3">
      <c r="A35" s="199" t="s">
        <v>2777</v>
      </c>
      <c r="B35" s="200">
        <v>250</v>
      </c>
      <c r="C35" s="201">
        <v>200</v>
      </c>
      <c r="D35" s="201">
        <v>200</v>
      </c>
      <c r="E35" s="202">
        <v>200</v>
      </c>
      <c r="F35" s="202">
        <v>200</v>
      </c>
      <c r="G35" s="202">
        <v>200</v>
      </c>
      <c r="H35" s="202">
        <v>400</v>
      </c>
      <c r="I35" s="202">
        <v>400</v>
      </c>
      <c r="J35" s="202">
        <v>400</v>
      </c>
      <c r="K35" s="202">
        <v>400</v>
      </c>
      <c r="L35" s="202">
        <v>400</v>
      </c>
      <c r="M35" s="203">
        <v>400</v>
      </c>
      <c r="N35" s="204">
        <f t="shared" si="6"/>
        <v>3650</v>
      </c>
      <c r="O35" s="205">
        <v>400</v>
      </c>
      <c r="P35" s="206">
        <v>400</v>
      </c>
      <c r="Q35" s="206">
        <v>400</v>
      </c>
      <c r="R35" s="206">
        <v>400</v>
      </c>
      <c r="S35" s="206">
        <v>400</v>
      </c>
      <c r="T35" s="207">
        <v>400</v>
      </c>
      <c r="U35" s="242"/>
    </row>
    <row r="36" spans="1:22" x14ac:dyDescent="0.3">
      <c r="A36" s="199" t="s">
        <v>2778</v>
      </c>
      <c r="B36" s="200">
        <v>0</v>
      </c>
      <c r="C36" s="201">
        <v>0</v>
      </c>
      <c r="D36" s="201">
        <v>10300</v>
      </c>
      <c r="E36" s="202">
        <v>0</v>
      </c>
      <c r="F36" s="202">
        <v>0</v>
      </c>
      <c r="G36" s="202">
        <v>0</v>
      </c>
      <c r="H36" s="202">
        <v>10000</v>
      </c>
      <c r="I36" s="202">
        <v>0</v>
      </c>
      <c r="J36" s="202">
        <v>0</v>
      </c>
      <c r="K36" s="202">
        <v>0</v>
      </c>
      <c r="L36" s="202">
        <v>0</v>
      </c>
      <c r="M36" s="203">
        <v>0</v>
      </c>
      <c r="N36" s="204">
        <f t="shared" si="6"/>
        <v>20300</v>
      </c>
      <c r="O36" s="205">
        <v>0</v>
      </c>
      <c r="P36" s="206">
        <v>0</v>
      </c>
      <c r="Q36" s="206">
        <v>0</v>
      </c>
      <c r="R36" s="206">
        <v>0</v>
      </c>
      <c r="S36" s="206">
        <v>0</v>
      </c>
      <c r="T36" s="207">
        <v>0</v>
      </c>
      <c r="U36" s="242"/>
    </row>
    <row r="37" spans="1:22" x14ac:dyDescent="0.3">
      <c r="A37" s="199" t="s">
        <v>2779</v>
      </c>
      <c r="B37" s="200">
        <v>4560.84</v>
      </c>
      <c r="C37" s="201">
        <v>5871.24</v>
      </c>
      <c r="D37" s="244">
        <v>3000</v>
      </c>
      <c r="E37" s="202">
        <v>3600</v>
      </c>
      <c r="F37" s="202">
        <v>3600</v>
      </c>
      <c r="G37" s="202">
        <v>3600</v>
      </c>
      <c r="H37" s="202">
        <v>3600</v>
      </c>
      <c r="I37" s="202">
        <v>3600</v>
      </c>
      <c r="J37" s="202">
        <v>3600</v>
      </c>
      <c r="K37" s="202">
        <v>3600</v>
      </c>
      <c r="L37" s="202">
        <v>3600</v>
      </c>
      <c r="M37" s="203">
        <v>3600</v>
      </c>
      <c r="N37" s="204">
        <f>SUM(B37:M37)</f>
        <v>45832.08</v>
      </c>
      <c r="O37" s="205">
        <v>3600</v>
      </c>
      <c r="P37" s="206">
        <v>3600</v>
      </c>
      <c r="Q37" s="206">
        <v>3600</v>
      </c>
      <c r="R37" s="206">
        <v>3600</v>
      </c>
      <c r="S37" s="206">
        <v>3600</v>
      </c>
      <c r="T37" s="207">
        <v>3600</v>
      </c>
      <c r="U37" s="242"/>
    </row>
    <row r="38" spans="1:22" x14ac:dyDescent="0.3">
      <c r="A38" s="199" t="s">
        <v>2780</v>
      </c>
      <c r="B38" s="200">
        <v>0</v>
      </c>
      <c r="C38" s="201">
        <v>0</v>
      </c>
      <c r="D38" s="201">
        <v>0</v>
      </c>
      <c r="E38" s="202">
        <v>0</v>
      </c>
      <c r="F38" s="202">
        <v>0</v>
      </c>
      <c r="G38" s="202">
        <v>0</v>
      </c>
      <c r="H38" s="202">
        <v>200</v>
      </c>
      <c r="I38" s="202">
        <v>200</v>
      </c>
      <c r="J38" s="202">
        <v>200</v>
      </c>
      <c r="K38" s="202">
        <v>200</v>
      </c>
      <c r="L38" s="202">
        <v>200</v>
      </c>
      <c r="M38" s="203">
        <v>200</v>
      </c>
      <c r="N38" s="301">
        <f t="shared" ref="N38:N39" si="7">SUM(B38:M38)</f>
        <v>1200</v>
      </c>
      <c r="O38" s="205">
        <v>200</v>
      </c>
      <c r="P38" s="206">
        <v>200</v>
      </c>
      <c r="Q38" s="206">
        <v>200</v>
      </c>
      <c r="R38" s="206">
        <v>200</v>
      </c>
      <c r="S38" s="206">
        <v>200</v>
      </c>
      <c r="T38" s="207">
        <v>200</v>
      </c>
      <c r="U38" s="242"/>
      <c r="V38" s="301"/>
    </row>
    <row r="39" spans="1:22" x14ac:dyDescent="0.3">
      <c r="A39" s="199" t="s">
        <v>2781</v>
      </c>
      <c r="B39" s="200">
        <v>0</v>
      </c>
      <c r="C39" s="201">
        <v>0</v>
      </c>
      <c r="D39" s="201">
        <v>2266.3200000000002</v>
      </c>
      <c r="E39" s="202">
        <v>610</v>
      </c>
      <c r="F39" s="202">
        <v>610</v>
      </c>
      <c r="G39" s="202">
        <v>610</v>
      </c>
      <c r="H39" s="202">
        <v>610</v>
      </c>
      <c r="I39" s="202">
        <v>610</v>
      </c>
      <c r="J39" s="202">
        <v>610</v>
      </c>
      <c r="K39" s="202">
        <v>610</v>
      </c>
      <c r="L39" s="202">
        <v>610</v>
      </c>
      <c r="M39" s="203">
        <v>610</v>
      </c>
      <c r="N39" s="204">
        <f t="shared" si="7"/>
        <v>7756.32</v>
      </c>
      <c r="O39" s="205">
        <v>610</v>
      </c>
      <c r="P39" s="206">
        <v>610</v>
      </c>
      <c r="Q39" s="206">
        <v>610</v>
      </c>
      <c r="R39" s="206">
        <v>610</v>
      </c>
      <c r="S39" s="206">
        <v>610</v>
      </c>
      <c r="T39" s="207">
        <v>610</v>
      </c>
      <c r="U39" s="242"/>
    </row>
    <row r="40" spans="1:22" x14ac:dyDescent="0.3">
      <c r="A40" s="199" t="s">
        <v>2782</v>
      </c>
      <c r="B40" s="246">
        <v>0</v>
      </c>
      <c r="C40" s="247">
        <v>0</v>
      </c>
      <c r="D40" s="247">
        <v>0</v>
      </c>
      <c r="E40" s="212">
        <v>0</v>
      </c>
      <c r="F40" s="212">
        <v>0</v>
      </c>
      <c r="G40" s="212">
        <v>0</v>
      </c>
      <c r="H40" s="212">
        <v>5000</v>
      </c>
      <c r="I40" s="212">
        <v>0</v>
      </c>
      <c r="J40" s="212">
        <v>0</v>
      </c>
      <c r="K40" s="212">
        <v>0</v>
      </c>
      <c r="L40" s="212">
        <v>0</v>
      </c>
      <c r="M40" s="213">
        <v>0</v>
      </c>
      <c r="N40" s="204">
        <f>SUM(B40:M40)</f>
        <v>5000</v>
      </c>
      <c r="O40" s="215">
        <v>0</v>
      </c>
      <c r="P40" s="216">
        <v>0</v>
      </c>
      <c r="Q40" s="216">
        <v>0</v>
      </c>
      <c r="R40" s="216">
        <v>0</v>
      </c>
      <c r="S40" s="216">
        <v>0</v>
      </c>
      <c r="T40" s="217">
        <v>0</v>
      </c>
      <c r="U40" s="242"/>
    </row>
    <row r="41" spans="1:22" x14ac:dyDescent="0.3">
      <c r="A41" s="199" t="s">
        <v>2783</v>
      </c>
      <c r="B41" s="246">
        <v>0</v>
      </c>
      <c r="C41" s="247">
        <v>0</v>
      </c>
      <c r="D41" s="247">
        <v>0</v>
      </c>
      <c r="E41" s="212">
        <v>0</v>
      </c>
      <c r="F41" s="212">
        <v>0</v>
      </c>
      <c r="G41" s="212">
        <v>0</v>
      </c>
      <c r="H41" s="212">
        <v>10000</v>
      </c>
      <c r="I41" s="212">
        <v>0</v>
      </c>
      <c r="J41" s="212">
        <v>0</v>
      </c>
      <c r="K41" s="212">
        <v>0</v>
      </c>
      <c r="L41" s="212">
        <v>0</v>
      </c>
      <c r="M41" s="213">
        <v>0</v>
      </c>
      <c r="N41" s="204">
        <f t="shared" ref="N41:N42" si="8">SUM(B41:M41)</f>
        <v>10000</v>
      </c>
      <c r="O41" s="215">
        <v>0</v>
      </c>
      <c r="P41" s="216">
        <v>0</v>
      </c>
      <c r="Q41" s="216">
        <v>0</v>
      </c>
      <c r="R41" s="216">
        <v>0</v>
      </c>
      <c r="S41" s="216">
        <v>0</v>
      </c>
      <c r="T41" s="217">
        <v>0</v>
      </c>
      <c r="U41" s="242"/>
    </row>
    <row r="42" spans="1:22" x14ac:dyDescent="0.3">
      <c r="A42" s="199" t="s">
        <v>2784</v>
      </c>
      <c r="B42" s="246">
        <v>0</v>
      </c>
      <c r="C42" s="247">
        <v>0</v>
      </c>
      <c r="D42" s="247">
        <v>0</v>
      </c>
      <c r="E42" s="212">
        <v>0</v>
      </c>
      <c r="F42" s="212">
        <v>0</v>
      </c>
      <c r="G42" s="212">
        <v>0</v>
      </c>
      <c r="H42" s="212">
        <v>0</v>
      </c>
      <c r="I42" s="212">
        <v>0</v>
      </c>
      <c r="J42" s="212">
        <v>0</v>
      </c>
      <c r="K42" s="212">
        <v>0</v>
      </c>
      <c r="L42" s="212">
        <v>0</v>
      </c>
      <c r="M42" s="213">
        <v>0</v>
      </c>
      <c r="N42" s="204">
        <f t="shared" si="8"/>
        <v>0</v>
      </c>
      <c r="O42" s="215">
        <v>0</v>
      </c>
      <c r="P42" s="216">
        <v>0</v>
      </c>
      <c r="Q42" s="216">
        <v>0</v>
      </c>
      <c r="R42" s="216">
        <v>0</v>
      </c>
      <c r="S42" s="216">
        <v>0</v>
      </c>
      <c r="T42" s="217">
        <v>0</v>
      </c>
      <c r="U42" s="242"/>
    </row>
    <row r="43" spans="1:22" ht="15" thickBot="1" x14ac:dyDescent="0.35">
      <c r="A43" s="209"/>
      <c r="B43" s="210"/>
      <c r="C43" s="211"/>
      <c r="D43" s="211"/>
      <c r="E43" s="212"/>
      <c r="F43" s="212"/>
      <c r="G43" s="212"/>
      <c r="H43" s="212"/>
      <c r="I43" s="212"/>
      <c r="J43" s="212"/>
      <c r="K43" s="212"/>
      <c r="L43" s="212"/>
      <c r="M43" s="213"/>
      <c r="N43" s="214"/>
      <c r="O43" s="215"/>
      <c r="P43" s="216"/>
      <c r="Q43" s="216"/>
      <c r="R43" s="216"/>
      <c r="S43" s="216"/>
      <c r="T43" s="217"/>
      <c r="U43" s="238"/>
    </row>
    <row r="44" spans="1:22" ht="15" thickBot="1" x14ac:dyDescent="0.35">
      <c r="A44" s="248" t="s">
        <v>2785</v>
      </c>
      <c r="B44" s="220">
        <f t="shared" ref="B44:T44" si="9">SUBTOTAL(9,B17:B43)</f>
        <v>84227.799999999988</v>
      </c>
      <c r="C44" s="221">
        <f t="shared" si="9"/>
        <v>202842.41999999998</v>
      </c>
      <c r="D44" s="221">
        <f t="shared" si="9"/>
        <v>109364.94000000002</v>
      </c>
      <c r="E44" s="222">
        <f t="shared" si="9"/>
        <v>138023</v>
      </c>
      <c r="F44" s="222">
        <f t="shared" si="9"/>
        <v>136023</v>
      </c>
      <c r="G44" s="222">
        <f t="shared" si="9"/>
        <v>135023</v>
      </c>
      <c r="H44" s="222">
        <f t="shared" si="9"/>
        <v>187840</v>
      </c>
      <c r="I44" s="222">
        <f t="shared" si="9"/>
        <v>162740</v>
      </c>
      <c r="J44" s="222">
        <f t="shared" si="9"/>
        <v>152340</v>
      </c>
      <c r="K44" s="222">
        <f t="shared" si="9"/>
        <v>145340</v>
      </c>
      <c r="L44" s="222">
        <f t="shared" si="9"/>
        <v>142640</v>
      </c>
      <c r="M44" s="223">
        <f t="shared" si="9"/>
        <v>148340</v>
      </c>
      <c r="N44" s="249">
        <f t="shared" si="9"/>
        <v>1744744.16</v>
      </c>
      <c r="O44" s="250">
        <f t="shared" si="9"/>
        <v>145340</v>
      </c>
      <c r="P44" s="251">
        <f t="shared" si="9"/>
        <v>146740</v>
      </c>
      <c r="Q44" s="251">
        <f t="shared" si="9"/>
        <v>158740</v>
      </c>
      <c r="R44" s="251">
        <f t="shared" si="9"/>
        <v>145340</v>
      </c>
      <c r="S44" s="251">
        <f t="shared" si="9"/>
        <v>142340</v>
      </c>
      <c r="T44" s="252">
        <f t="shared" si="9"/>
        <v>148322</v>
      </c>
      <c r="U44" s="228"/>
    </row>
    <row r="45" spans="1:22" x14ac:dyDescent="0.3">
      <c r="A45" s="209"/>
      <c r="B45" s="230"/>
      <c r="C45" s="231"/>
      <c r="D45" s="231"/>
      <c r="E45" s="232"/>
      <c r="F45" s="232"/>
      <c r="G45" s="232"/>
      <c r="H45" s="232"/>
      <c r="I45" s="232"/>
      <c r="J45" s="232"/>
      <c r="K45" s="232"/>
      <c r="L45" s="232"/>
      <c r="M45" s="233"/>
      <c r="N45" s="234"/>
      <c r="O45" s="239"/>
      <c r="P45" s="240"/>
      <c r="Q45" s="240"/>
      <c r="R45" s="240"/>
      <c r="S45" s="240"/>
      <c r="T45" s="241"/>
      <c r="U45" s="238"/>
    </row>
    <row r="46" spans="1:22" x14ac:dyDescent="0.3">
      <c r="A46" s="253" t="s">
        <v>2786</v>
      </c>
      <c r="B46" s="200">
        <v>762.53</v>
      </c>
      <c r="C46" s="201">
        <v>2130.5300000000002</v>
      </c>
      <c r="D46" s="254">
        <v>5073.3599999999997</v>
      </c>
      <c r="E46" s="202">
        <v>4500</v>
      </c>
      <c r="F46" s="202">
        <v>1500</v>
      </c>
      <c r="G46" s="202">
        <v>3000</v>
      </c>
      <c r="H46" s="202">
        <v>3000</v>
      </c>
      <c r="I46" s="202">
        <v>6000</v>
      </c>
      <c r="J46" s="202">
        <v>4500</v>
      </c>
      <c r="K46" s="202">
        <v>3000</v>
      </c>
      <c r="L46" s="202">
        <v>8490</v>
      </c>
      <c r="M46" s="203">
        <v>4500</v>
      </c>
      <c r="N46" s="204">
        <f>SUM(B46:M46)</f>
        <v>46456.42</v>
      </c>
      <c r="O46" s="205">
        <v>4500</v>
      </c>
      <c r="P46" s="206">
        <v>8490</v>
      </c>
      <c r="Q46" s="206">
        <v>7500</v>
      </c>
      <c r="R46" s="206">
        <v>3000</v>
      </c>
      <c r="S46" s="206">
        <v>3000</v>
      </c>
      <c r="T46" s="207">
        <v>4500</v>
      </c>
      <c r="U46" s="242"/>
    </row>
    <row r="47" spans="1:22" x14ac:dyDescent="0.3">
      <c r="A47" s="255" t="s">
        <v>2787</v>
      </c>
      <c r="B47" s="200">
        <v>33111.22</v>
      </c>
      <c r="C47" s="201">
        <v>28909.8</v>
      </c>
      <c r="D47" s="244">
        <v>30000</v>
      </c>
      <c r="E47" s="202"/>
      <c r="F47" s="202"/>
      <c r="G47" s="202"/>
      <c r="H47" s="202"/>
      <c r="I47" s="202"/>
      <c r="J47" s="202"/>
      <c r="K47" s="202"/>
      <c r="L47" s="202"/>
      <c r="M47" s="203"/>
      <c r="N47" s="204">
        <f>SUM(B47:M47)</f>
        <v>92021.02</v>
      </c>
      <c r="O47" s="205"/>
      <c r="P47" s="206"/>
      <c r="Q47" s="206"/>
      <c r="R47" s="206"/>
      <c r="S47" s="206"/>
      <c r="T47" s="207"/>
      <c r="U47" s="242"/>
    </row>
    <row r="48" spans="1:22" x14ac:dyDescent="0.3">
      <c r="A48" s="255" t="s">
        <v>2788</v>
      </c>
      <c r="B48" s="200">
        <f>14018.74+2217.6</f>
        <v>16236.34</v>
      </c>
      <c r="C48" s="201">
        <f>24410.65+2087.45</f>
        <v>26498.100000000002</v>
      </c>
      <c r="D48" s="244">
        <v>15000</v>
      </c>
      <c r="E48" s="202">
        <v>35000</v>
      </c>
      <c r="F48" s="202">
        <v>35000</v>
      </c>
      <c r="G48" s="202">
        <v>35000</v>
      </c>
      <c r="H48" s="202">
        <v>56154.876720480599</v>
      </c>
      <c r="I48" s="202">
        <v>54769.390018027603</v>
      </c>
      <c r="J48" s="202">
        <v>54773.890018027603</v>
      </c>
      <c r="K48" s="202">
        <v>53693.232963842398</v>
      </c>
      <c r="L48" s="202">
        <v>55486.828054151003</v>
      </c>
      <c r="M48" s="203">
        <v>52563.018891595602</v>
      </c>
      <c r="N48" s="204">
        <f t="shared" ref="N48" si="10">SUM(B48:M48)</f>
        <v>490175.67666612478</v>
      </c>
      <c r="O48" s="205">
        <v>52258.356891595598</v>
      </c>
      <c r="P48" s="206">
        <v>55128.109036089299</v>
      </c>
      <c r="Q48" s="206">
        <v>55491.328054151003</v>
      </c>
      <c r="R48" s="206">
        <v>54769.390018027603</v>
      </c>
      <c r="S48" s="206">
        <v>55711.828054151003</v>
      </c>
      <c r="T48" s="207">
        <v>56208.766090274497</v>
      </c>
      <c r="U48" s="242"/>
    </row>
    <row r="49" spans="1:21" ht="15" thickBot="1" x14ac:dyDescent="0.35">
      <c r="A49" s="229"/>
      <c r="B49" s="230"/>
      <c r="C49" s="231"/>
      <c r="D49" s="231"/>
      <c r="E49" s="232"/>
      <c r="F49" s="232"/>
      <c r="G49" s="232"/>
      <c r="H49" s="232"/>
      <c r="I49" s="232"/>
      <c r="J49" s="232"/>
      <c r="K49" s="232"/>
      <c r="L49" s="232"/>
      <c r="M49" s="233"/>
      <c r="N49" s="234"/>
      <c r="O49" s="239"/>
      <c r="P49" s="240"/>
      <c r="Q49" s="240"/>
      <c r="R49" s="240"/>
      <c r="S49" s="240"/>
      <c r="T49" s="241"/>
      <c r="U49" s="238"/>
    </row>
    <row r="50" spans="1:21" ht="15" thickBot="1" x14ac:dyDescent="0.35">
      <c r="A50" s="256" t="s">
        <v>2789</v>
      </c>
      <c r="B50" s="257">
        <f t="shared" ref="B50:T50" si="11">SUBTOTAL(9,B9:B49)</f>
        <v>138738.72999999998</v>
      </c>
      <c r="C50" s="258">
        <f t="shared" si="11"/>
        <v>265382.30999999994</v>
      </c>
      <c r="D50" s="258">
        <f t="shared" si="11"/>
        <v>169470.27000000002</v>
      </c>
      <c r="E50" s="259">
        <f t="shared" si="11"/>
        <v>178523</v>
      </c>
      <c r="F50" s="259">
        <f t="shared" si="11"/>
        <v>173523</v>
      </c>
      <c r="G50" s="259">
        <f t="shared" si="11"/>
        <v>174273</v>
      </c>
      <c r="H50" s="259">
        <f t="shared" si="11"/>
        <v>258494.87672048059</v>
      </c>
      <c r="I50" s="259">
        <f t="shared" si="11"/>
        <v>224509.3900180276</v>
      </c>
      <c r="J50" s="259">
        <f t="shared" si="11"/>
        <v>212863.8900180276</v>
      </c>
      <c r="K50" s="259">
        <f t="shared" si="11"/>
        <v>203033.2329638424</v>
      </c>
      <c r="L50" s="259">
        <f t="shared" si="11"/>
        <v>207616.828054151</v>
      </c>
      <c r="M50" s="260">
        <f t="shared" si="11"/>
        <v>206653.0188915956</v>
      </c>
      <c r="N50" s="260">
        <f t="shared" si="11"/>
        <v>2413081.5466661248</v>
      </c>
      <c r="O50" s="261">
        <f t="shared" si="11"/>
        <v>203098.35689159558</v>
      </c>
      <c r="P50" s="262">
        <f t="shared" si="11"/>
        <v>211358.1090360893</v>
      </c>
      <c r="Q50" s="262">
        <f t="shared" si="11"/>
        <v>222981.328054151</v>
      </c>
      <c r="R50" s="262">
        <f t="shared" si="11"/>
        <v>204109.3900180276</v>
      </c>
      <c r="S50" s="262">
        <f t="shared" si="11"/>
        <v>202051.828054151</v>
      </c>
      <c r="T50" s="263">
        <f t="shared" si="11"/>
        <v>210280.7660902745</v>
      </c>
      <c r="U50" s="228"/>
    </row>
    <row r="51" spans="1:21" x14ac:dyDescent="0.3">
      <c r="A51" s="264"/>
      <c r="B51" s="265"/>
      <c r="C51" s="265"/>
      <c r="D51" s="265"/>
      <c r="E51" s="265"/>
      <c r="F51" s="265"/>
      <c r="G51" s="265"/>
      <c r="H51" s="265"/>
      <c r="I51" s="265"/>
      <c r="J51" s="265"/>
      <c r="K51" s="265"/>
      <c r="L51" s="265"/>
      <c r="M51" s="265"/>
      <c r="N51" s="265"/>
      <c r="O51" s="265"/>
      <c r="P51" s="265"/>
      <c r="Q51" s="265"/>
      <c r="R51" s="265"/>
      <c r="S51" s="265"/>
      <c r="T51" s="265"/>
      <c r="U51" s="264"/>
    </row>
    <row r="52" spans="1:21" x14ac:dyDescent="0.3">
      <c r="A52" s="266" t="s">
        <v>2790</v>
      </c>
      <c r="B52" s="232">
        <f>SUM(B44:B48,B14)</f>
        <v>138738.72999999998</v>
      </c>
      <c r="C52" s="232">
        <f t="shared" ref="C52:T52" si="12">SUM(C44:C48,C14)</f>
        <v>265382.31</v>
      </c>
      <c r="D52" s="232">
        <f t="shared" si="12"/>
        <v>169470.27000000002</v>
      </c>
      <c r="E52" s="232">
        <f t="shared" si="12"/>
        <v>178523</v>
      </c>
      <c r="F52" s="232">
        <f t="shared" si="12"/>
        <v>173523</v>
      </c>
      <c r="G52" s="232">
        <f t="shared" si="12"/>
        <v>174273</v>
      </c>
      <c r="H52" s="232">
        <f t="shared" si="12"/>
        <v>258494.87672048059</v>
      </c>
      <c r="I52" s="232">
        <f t="shared" si="12"/>
        <v>224509.3900180276</v>
      </c>
      <c r="J52" s="232">
        <f t="shared" si="12"/>
        <v>212863.8900180276</v>
      </c>
      <c r="K52" s="232">
        <f t="shared" si="12"/>
        <v>203033.2329638424</v>
      </c>
      <c r="L52" s="232">
        <f t="shared" si="12"/>
        <v>207616.828054151</v>
      </c>
      <c r="M52" s="232">
        <f t="shared" si="12"/>
        <v>206653.0188915956</v>
      </c>
      <c r="N52" s="232">
        <f t="shared" si="12"/>
        <v>2373397.2766661248</v>
      </c>
      <c r="O52" s="232">
        <f t="shared" si="12"/>
        <v>203098.35689159558</v>
      </c>
      <c r="P52" s="232">
        <f t="shared" si="12"/>
        <v>211358.1090360893</v>
      </c>
      <c r="Q52" s="232">
        <f t="shared" si="12"/>
        <v>222981.328054151</v>
      </c>
      <c r="R52" s="232">
        <f t="shared" si="12"/>
        <v>204109.3900180276</v>
      </c>
      <c r="S52" s="232">
        <f t="shared" si="12"/>
        <v>202051.828054151</v>
      </c>
      <c r="T52" s="232">
        <f t="shared" si="12"/>
        <v>210280.7660902745</v>
      </c>
      <c r="U52" s="264"/>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39997558519241921"/>
    <pageSetUpPr fitToPage="1"/>
  </sheetPr>
  <dimension ref="A1:B33"/>
  <sheetViews>
    <sheetView workbookViewId="0"/>
  </sheetViews>
  <sheetFormatPr defaultRowHeight="14.4" x14ac:dyDescent="0.3"/>
  <sheetData>
    <row r="1" spans="1:2" ht="15" x14ac:dyDescent="0.25">
      <c r="B1" t="str">
        <f ca="1">UPPER(RIGHT(CELL("filename",A1),LEN(CELL("filename",A1))-FIND("]",CELL("filename",A1))))</f>
        <v>SCHEMATICS</v>
      </c>
    </row>
    <row r="2" spans="1:2" s="301" customFormat="1" ht="15" x14ac:dyDescent="0.25">
      <c r="A2" s="167" t="s">
        <v>3454</v>
      </c>
    </row>
    <row r="3" spans="1:2" s="301" customFormat="1" ht="18.75" x14ac:dyDescent="0.3">
      <c r="A3" s="164" t="s">
        <v>3434</v>
      </c>
    </row>
    <row r="4" spans="1:2" s="301" customFormat="1" ht="18.75" x14ac:dyDescent="0.3">
      <c r="A4" s="164"/>
    </row>
    <row r="5" spans="1:2" ht="15" x14ac:dyDescent="0.25">
      <c r="A5" t="s">
        <v>3435</v>
      </c>
    </row>
    <row r="6" spans="1:2" s="301" customFormat="1" ht="15" x14ac:dyDescent="0.25"/>
    <row r="7" spans="1:2" ht="15" x14ac:dyDescent="0.25">
      <c r="A7" t="s">
        <v>7</v>
      </c>
    </row>
    <row r="28" spans="2:2" ht="15" x14ac:dyDescent="0.25">
      <c r="B28" s="28"/>
    </row>
    <row r="33" spans="1:1" x14ac:dyDescent="0.3">
      <c r="A33" t="s">
        <v>1577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3" tint="0.39997558519241921"/>
    <pageSetUpPr fitToPage="1"/>
  </sheetPr>
  <dimension ref="A1:O162"/>
  <sheetViews>
    <sheetView workbookViewId="0"/>
  </sheetViews>
  <sheetFormatPr defaultRowHeight="14.4" x14ac:dyDescent="0.3"/>
  <cols>
    <col min="2" max="2" width="13.33203125" customWidth="1"/>
  </cols>
  <sheetData>
    <row r="1" spans="1:15" s="301" customFormat="1" ht="15" x14ac:dyDescent="0.25">
      <c r="B1" s="301" t="str">
        <f ca="1">UPPER(RIGHT(CELL("filename",A1),LEN(CELL("filename",A1))-FIND("]",CELL("filename",A1))))</f>
        <v>COMPONENTS IN SCHEMATIC</v>
      </c>
    </row>
    <row r="2" spans="1:15" s="301" customFormat="1" ht="15" x14ac:dyDescent="0.25">
      <c r="A2" s="167" t="s">
        <v>3454</v>
      </c>
    </row>
    <row r="3" spans="1:15" s="301" customFormat="1" ht="18.75" x14ac:dyDescent="0.3">
      <c r="A3" s="164" t="s">
        <v>3433</v>
      </c>
    </row>
    <row r="4" spans="1:15" s="301" customFormat="1" ht="15" x14ac:dyDescent="0.25"/>
    <row r="5" spans="1:15" ht="15" x14ac:dyDescent="0.25">
      <c r="C5" t="s">
        <v>505</v>
      </c>
    </row>
    <row r="6" spans="1:15" ht="15" x14ac:dyDescent="0.25">
      <c r="A6" t="s">
        <v>1527</v>
      </c>
    </row>
    <row r="7" spans="1:15" ht="15" x14ac:dyDescent="0.25">
      <c r="B7" t="s">
        <v>1580</v>
      </c>
      <c r="C7">
        <v>6</v>
      </c>
      <c r="D7" t="s">
        <v>1509</v>
      </c>
      <c r="F7" t="s">
        <v>1520</v>
      </c>
      <c r="K7" t="s">
        <v>1521</v>
      </c>
      <c r="O7" t="s">
        <v>1526</v>
      </c>
    </row>
    <row r="8" spans="1:15" ht="15" x14ac:dyDescent="0.25">
      <c r="B8" t="s">
        <v>1629</v>
      </c>
      <c r="C8">
        <v>6</v>
      </c>
      <c r="D8" t="s">
        <v>1509</v>
      </c>
      <c r="F8" t="s">
        <v>1520</v>
      </c>
    </row>
    <row r="9" spans="1:15" ht="15" x14ac:dyDescent="0.25">
      <c r="B9" t="s">
        <v>1630</v>
      </c>
      <c r="C9">
        <v>6</v>
      </c>
      <c r="D9" t="s">
        <v>1509</v>
      </c>
      <c r="F9" t="s">
        <v>1520</v>
      </c>
    </row>
    <row r="10" spans="1:15" ht="15" x14ac:dyDescent="0.25">
      <c r="B10" t="s">
        <v>1631</v>
      </c>
      <c r="C10">
        <v>6</v>
      </c>
      <c r="D10" t="s">
        <v>1510</v>
      </c>
    </row>
    <row r="11" spans="1:15" ht="15" x14ac:dyDescent="0.25">
      <c r="B11" t="s">
        <v>1632</v>
      </c>
      <c r="C11">
        <v>6</v>
      </c>
      <c r="D11" t="s">
        <v>1510</v>
      </c>
    </row>
    <row r="12" spans="1:15" ht="15" x14ac:dyDescent="0.25">
      <c r="B12" t="s">
        <v>1633</v>
      </c>
      <c r="C12" s="14">
        <v>12</v>
      </c>
      <c r="D12" t="s">
        <v>1514</v>
      </c>
    </row>
    <row r="13" spans="1:15" ht="15" x14ac:dyDescent="0.25">
      <c r="B13" t="s">
        <v>1493</v>
      </c>
      <c r="C13" s="14">
        <v>1</v>
      </c>
      <c r="D13" t="s">
        <v>1563</v>
      </c>
      <c r="K13" s="7"/>
    </row>
    <row r="14" spans="1:15" ht="15" x14ac:dyDescent="0.25">
      <c r="B14" t="s">
        <v>1634</v>
      </c>
      <c r="C14" s="14">
        <v>1</v>
      </c>
      <c r="D14" t="s">
        <v>1564</v>
      </c>
      <c r="K14" s="7"/>
    </row>
    <row r="15" spans="1:15" ht="15" x14ac:dyDescent="0.25">
      <c r="C15" s="7"/>
    </row>
    <row r="16" spans="1:15" ht="15" x14ac:dyDescent="0.25">
      <c r="C16" s="7"/>
    </row>
    <row r="17" spans="1:15" ht="15" x14ac:dyDescent="0.25">
      <c r="C17" s="7"/>
    </row>
    <row r="19" spans="1:15" ht="15" x14ac:dyDescent="0.25">
      <c r="A19" t="s">
        <v>1528</v>
      </c>
      <c r="D19" t="s">
        <v>1515</v>
      </c>
      <c r="F19" t="s">
        <v>1523</v>
      </c>
      <c r="K19" t="s">
        <v>1518</v>
      </c>
    </row>
    <row r="20" spans="1:15" ht="15" x14ac:dyDescent="0.25">
      <c r="B20" t="s">
        <v>1581</v>
      </c>
      <c r="C20" s="14">
        <v>6</v>
      </c>
      <c r="D20" s="14" t="s">
        <v>1517</v>
      </c>
      <c r="F20" t="s">
        <v>1560</v>
      </c>
      <c r="K20" t="s">
        <v>1519</v>
      </c>
    </row>
    <row r="21" spans="1:15" ht="15" x14ac:dyDescent="0.25">
      <c r="B21" t="s">
        <v>1494</v>
      </c>
      <c r="C21" s="14">
        <v>6</v>
      </c>
      <c r="D21" t="s">
        <v>503</v>
      </c>
      <c r="F21" t="s">
        <v>1561</v>
      </c>
      <c r="O21" t="s">
        <v>1526</v>
      </c>
    </row>
    <row r="22" spans="1:15" ht="15" x14ac:dyDescent="0.25">
      <c r="B22" t="s">
        <v>1495</v>
      </c>
      <c r="C22" s="14">
        <v>6</v>
      </c>
      <c r="D22" t="s">
        <v>1511</v>
      </c>
      <c r="F22" t="s">
        <v>1562</v>
      </c>
    </row>
    <row r="23" spans="1:15" ht="15" x14ac:dyDescent="0.25">
      <c r="B23" t="s">
        <v>1582</v>
      </c>
      <c r="C23">
        <v>18</v>
      </c>
      <c r="D23" t="s">
        <v>1516</v>
      </c>
    </row>
    <row r="30" spans="1:15" ht="15" x14ac:dyDescent="0.25">
      <c r="A30" t="s">
        <v>1529</v>
      </c>
      <c r="D30" t="s">
        <v>1515</v>
      </c>
    </row>
    <row r="31" spans="1:15" x14ac:dyDescent="0.3">
      <c r="B31" t="s">
        <v>1551</v>
      </c>
      <c r="C31">
        <v>18</v>
      </c>
      <c r="D31" t="s">
        <v>1578</v>
      </c>
    </row>
    <row r="32" spans="1:15" x14ac:dyDescent="0.3">
      <c r="B32" t="s">
        <v>1552</v>
      </c>
      <c r="C32">
        <v>6</v>
      </c>
      <c r="D32" t="s">
        <v>1578</v>
      </c>
    </row>
    <row r="33" spans="1:15" x14ac:dyDescent="0.3">
      <c r="B33" t="s">
        <v>1583</v>
      </c>
      <c r="C33">
        <v>6</v>
      </c>
      <c r="D33" t="s">
        <v>1512</v>
      </c>
    </row>
    <row r="34" spans="1:15" x14ac:dyDescent="0.3">
      <c r="B34" s="14" t="s">
        <v>1504</v>
      </c>
      <c r="C34" s="14">
        <v>12</v>
      </c>
      <c r="D34" s="14" t="s">
        <v>1524</v>
      </c>
      <c r="H34" t="s">
        <v>1525</v>
      </c>
    </row>
    <row r="35" spans="1:15" x14ac:dyDescent="0.3">
      <c r="B35" s="14" t="s">
        <v>1504</v>
      </c>
      <c r="C35" s="14">
        <v>6</v>
      </c>
      <c r="D35" s="14" t="s">
        <v>1513</v>
      </c>
    </row>
    <row r="40" spans="1:15" x14ac:dyDescent="0.3">
      <c r="A40" t="s">
        <v>1530</v>
      </c>
      <c r="D40" t="s">
        <v>1515</v>
      </c>
      <c r="O40" t="s">
        <v>1526</v>
      </c>
    </row>
    <row r="41" spans="1:15" x14ac:dyDescent="0.3">
      <c r="B41" t="s">
        <v>1584</v>
      </c>
      <c r="C41">
        <v>18</v>
      </c>
      <c r="D41" s="14" t="s">
        <v>1531</v>
      </c>
    </row>
    <row r="42" spans="1:15" x14ac:dyDescent="0.3">
      <c r="B42" t="s">
        <v>1585</v>
      </c>
      <c r="C42">
        <v>18</v>
      </c>
      <c r="D42" t="s">
        <v>1578</v>
      </c>
    </row>
    <row r="43" spans="1:15" x14ac:dyDescent="0.3">
      <c r="B43" t="s">
        <v>1586</v>
      </c>
      <c r="C43">
        <v>18</v>
      </c>
      <c r="D43" t="s">
        <v>1538</v>
      </c>
    </row>
    <row r="44" spans="1:15" x14ac:dyDescent="0.3">
      <c r="B44" t="s">
        <v>1587</v>
      </c>
      <c r="C44">
        <v>18</v>
      </c>
      <c r="D44" t="s">
        <v>1510</v>
      </c>
    </row>
    <row r="45" spans="1:15" x14ac:dyDescent="0.3">
      <c r="B45" t="s">
        <v>1588</v>
      </c>
      <c r="C45">
        <v>18</v>
      </c>
      <c r="D45" t="s">
        <v>1510</v>
      </c>
    </row>
    <row r="46" spans="1:15" x14ac:dyDescent="0.3">
      <c r="B46" t="s">
        <v>1589</v>
      </c>
      <c r="C46">
        <v>18</v>
      </c>
      <c r="D46" t="s">
        <v>1509</v>
      </c>
    </row>
    <row r="47" spans="1:15" x14ac:dyDescent="0.3">
      <c r="B47" t="s">
        <v>1590</v>
      </c>
      <c r="C47">
        <v>18</v>
      </c>
      <c r="D47" t="s">
        <v>1579</v>
      </c>
    </row>
    <row r="48" spans="1:15" x14ac:dyDescent="0.3">
      <c r="B48" t="s">
        <v>1591</v>
      </c>
      <c r="C48">
        <v>18</v>
      </c>
      <c r="D48" t="s">
        <v>1579</v>
      </c>
    </row>
    <row r="60" spans="1:15" x14ac:dyDescent="0.3">
      <c r="A60" t="s">
        <v>1596</v>
      </c>
      <c r="N60" t="s">
        <v>1526</v>
      </c>
      <c r="O60" t="s">
        <v>1515</v>
      </c>
    </row>
    <row r="61" spans="1:15" x14ac:dyDescent="0.3">
      <c r="B61" t="s">
        <v>1592</v>
      </c>
      <c r="C61">
        <v>18</v>
      </c>
      <c r="D61" t="s">
        <v>1510</v>
      </c>
    </row>
    <row r="62" spans="1:15" x14ac:dyDescent="0.3">
      <c r="B62" t="s">
        <v>1593</v>
      </c>
      <c r="C62">
        <v>18</v>
      </c>
      <c r="D62" t="s">
        <v>1516</v>
      </c>
    </row>
    <row r="63" spans="1:15" x14ac:dyDescent="0.3">
      <c r="B63" t="s">
        <v>1594</v>
      </c>
      <c r="C63">
        <v>18</v>
      </c>
      <c r="D63" t="s">
        <v>1509</v>
      </c>
    </row>
    <row r="64" spans="1:15" x14ac:dyDescent="0.3">
      <c r="B64" t="s">
        <v>1595</v>
      </c>
      <c r="C64">
        <v>18</v>
      </c>
      <c r="D64" t="s">
        <v>1604</v>
      </c>
    </row>
    <row r="66" spans="1:7" x14ac:dyDescent="0.3">
      <c r="A66" t="s">
        <v>1597</v>
      </c>
    </row>
    <row r="67" spans="1:7" x14ac:dyDescent="0.3">
      <c r="B67" t="s">
        <v>1598</v>
      </c>
      <c r="C67">
        <v>18</v>
      </c>
      <c r="D67" t="s">
        <v>1510</v>
      </c>
    </row>
    <row r="68" spans="1:7" x14ac:dyDescent="0.3">
      <c r="B68" t="s">
        <v>1599</v>
      </c>
      <c r="C68">
        <v>18</v>
      </c>
      <c r="D68" t="s">
        <v>1516</v>
      </c>
    </row>
    <row r="69" spans="1:7" x14ac:dyDescent="0.3">
      <c r="B69" t="s">
        <v>1600</v>
      </c>
      <c r="C69">
        <v>18</v>
      </c>
      <c r="D69" t="s">
        <v>1509</v>
      </c>
    </row>
    <row r="70" spans="1:7" x14ac:dyDescent="0.3">
      <c r="B70" t="s">
        <v>1601</v>
      </c>
      <c r="C70">
        <v>18</v>
      </c>
      <c r="D70" t="s">
        <v>1604</v>
      </c>
    </row>
    <row r="75" spans="1:7" x14ac:dyDescent="0.3">
      <c r="A75" t="s">
        <v>1541</v>
      </c>
      <c r="D75" t="s">
        <v>1515</v>
      </c>
    </row>
    <row r="76" spans="1:7" x14ac:dyDescent="0.3">
      <c r="B76" t="s">
        <v>1602</v>
      </c>
      <c r="C76">
        <v>18</v>
      </c>
      <c r="D76" t="s">
        <v>1509</v>
      </c>
      <c r="G76" s="7"/>
    </row>
    <row r="77" spans="1:7" x14ac:dyDescent="0.3">
      <c r="B77" t="s">
        <v>1603</v>
      </c>
      <c r="C77">
        <v>18</v>
      </c>
      <c r="D77" t="s">
        <v>1636</v>
      </c>
    </row>
    <row r="78" spans="1:7" x14ac:dyDescent="0.3">
      <c r="B78" t="s">
        <v>1539</v>
      </c>
      <c r="C78">
        <v>6</v>
      </c>
      <c r="D78" t="s">
        <v>1522</v>
      </c>
    </row>
    <row r="79" spans="1:7" x14ac:dyDescent="0.3">
      <c r="B79" t="s">
        <v>1540</v>
      </c>
      <c r="C79">
        <v>6</v>
      </c>
      <c r="D79" t="s">
        <v>1522</v>
      </c>
    </row>
    <row r="80" spans="1:7" x14ac:dyDescent="0.3">
      <c r="B80" t="s">
        <v>1481</v>
      </c>
      <c r="C80">
        <v>6</v>
      </c>
      <c r="D80" t="s">
        <v>1532</v>
      </c>
    </row>
    <row r="81" spans="2:4" x14ac:dyDescent="0.3">
      <c r="B81" t="s">
        <v>1572</v>
      </c>
      <c r="C81">
        <v>6</v>
      </c>
      <c r="D81" t="s">
        <v>1604</v>
      </c>
    </row>
    <row r="82" spans="2:4" x14ac:dyDescent="0.3">
      <c r="B82" t="s">
        <v>1557</v>
      </c>
      <c r="C82">
        <v>6</v>
      </c>
      <c r="D82" t="s">
        <v>1605</v>
      </c>
    </row>
    <row r="106" spans="1:4" x14ac:dyDescent="0.3">
      <c r="A106" t="s">
        <v>1542</v>
      </c>
    </row>
    <row r="107" spans="1:4" x14ac:dyDescent="0.3">
      <c r="B107" t="s">
        <v>1606</v>
      </c>
      <c r="C107">
        <v>18</v>
      </c>
      <c r="D107" t="s">
        <v>1522</v>
      </c>
    </row>
    <row r="108" spans="1:4" x14ac:dyDescent="0.3">
      <c r="B108" t="s">
        <v>1608</v>
      </c>
      <c r="C108">
        <v>18</v>
      </c>
      <c r="D108" t="s">
        <v>1522</v>
      </c>
    </row>
    <row r="109" spans="1:4" x14ac:dyDescent="0.3">
      <c r="B109" t="s">
        <v>1609</v>
      </c>
      <c r="C109">
        <v>18</v>
      </c>
      <c r="D109" t="s">
        <v>1607</v>
      </c>
    </row>
    <row r="110" spans="1:4" x14ac:dyDescent="0.3">
      <c r="B110" t="s">
        <v>1610</v>
      </c>
      <c r="C110">
        <v>18</v>
      </c>
      <c r="D110" t="s">
        <v>1607</v>
      </c>
    </row>
    <row r="111" spans="1:4" x14ac:dyDescent="0.3">
      <c r="B111" t="s">
        <v>1611</v>
      </c>
      <c r="C111">
        <v>18</v>
      </c>
      <c r="D111" t="s">
        <v>1607</v>
      </c>
    </row>
    <row r="112" spans="1:4" x14ac:dyDescent="0.3">
      <c r="B112" t="s">
        <v>1612</v>
      </c>
      <c r="C112">
        <v>18</v>
      </c>
      <c r="D112" t="s">
        <v>1614</v>
      </c>
    </row>
    <row r="113" spans="2:4" x14ac:dyDescent="0.3">
      <c r="B113" t="s">
        <v>1613</v>
      </c>
      <c r="C113">
        <v>18</v>
      </c>
      <c r="D113" t="s">
        <v>1614</v>
      </c>
    </row>
    <row r="132" spans="1:8" x14ac:dyDescent="0.3">
      <c r="A132" t="s">
        <v>1615</v>
      </c>
    </row>
    <row r="133" spans="1:8" x14ac:dyDescent="0.3">
      <c r="B133" t="s">
        <v>1619</v>
      </c>
      <c r="C133">
        <v>12</v>
      </c>
      <c r="D133" t="s">
        <v>1635</v>
      </c>
      <c r="H133" s="7"/>
    </row>
    <row r="134" spans="1:8" x14ac:dyDescent="0.3">
      <c r="B134" t="s">
        <v>1622</v>
      </c>
      <c r="C134">
        <v>12</v>
      </c>
      <c r="D134" t="s">
        <v>1532</v>
      </c>
    </row>
    <row r="135" spans="1:8" x14ac:dyDescent="0.3">
      <c r="B135" t="s">
        <v>1623</v>
      </c>
      <c r="C135">
        <v>12</v>
      </c>
      <c r="D135" t="s">
        <v>1522</v>
      </c>
    </row>
    <row r="136" spans="1:8" x14ac:dyDescent="0.3">
      <c r="B136" t="s">
        <v>1624</v>
      </c>
      <c r="C136">
        <v>12</v>
      </c>
      <c r="D136" t="s">
        <v>1533</v>
      </c>
    </row>
    <row r="137" spans="1:8" x14ac:dyDescent="0.3">
      <c r="B137" t="s">
        <v>1625</v>
      </c>
      <c r="C137">
        <v>12</v>
      </c>
      <c r="D137" s="14" t="s">
        <v>1620</v>
      </c>
      <c r="E137" s="7"/>
      <c r="H137" s="7" t="s">
        <v>1534</v>
      </c>
    </row>
    <row r="138" spans="1:8" x14ac:dyDescent="0.3">
      <c r="B138" t="s">
        <v>1626</v>
      </c>
      <c r="C138">
        <v>12</v>
      </c>
      <c r="D138" s="14" t="s">
        <v>1621</v>
      </c>
      <c r="E138" s="7"/>
      <c r="H138" s="7" t="s">
        <v>1534</v>
      </c>
    </row>
    <row r="139" spans="1:8" x14ac:dyDescent="0.3">
      <c r="B139" t="s">
        <v>1627</v>
      </c>
      <c r="C139">
        <v>12</v>
      </c>
      <c r="D139" t="s">
        <v>1535</v>
      </c>
      <c r="H139" t="s">
        <v>1503</v>
      </c>
    </row>
    <row r="140" spans="1:8" x14ac:dyDescent="0.3">
      <c r="B140" t="s">
        <v>1628</v>
      </c>
      <c r="C140">
        <v>12</v>
      </c>
      <c r="D140" t="s">
        <v>1535</v>
      </c>
      <c r="H140" t="s">
        <v>1503</v>
      </c>
    </row>
    <row r="148" spans="1:6" x14ac:dyDescent="0.3">
      <c r="D148" s="7"/>
      <c r="E148" s="7"/>
      <c r="F148" s="7"/>
    </row>
    <row r="149" spans="1:6" x14ac:dyDescent="0.3">
      <c r="D149" s="7"/>
      <c r="E149" s="7"/>
      <c r="F149" s="7"/>
    </row>
    <row r="154" spans="1:6" x14ac:dyDescent="0.3">
      <c r="A154" t="s">
        <v>1536</v>
      </c>
    </row>
    <row r="155" spans="1:6" x14ac:dyDescent="0.3">
      <c r="B155" t="s">
        <v>1555</v>
      </c>
      <c r="C155">
        <v>6</v>
      </c>
      <c r="D155" t="s">
        <v>1616</v>
      </c>
    </row>
    <row r="156" spans="1:6" x14ac:dyDescent="0.3">
      <c r="B156" t="s">
        <v>1556</v>
      </c>
      <c r="C156">
        <v>6</v>
      </c>
      <c r="D156" t="s">
        <v>1616</v>
      </c>
    </row>
    <row r="157" spans="1:6" x14ac:dyDescent="0.3">
      <c r="B157" t="s">
        <v>1573</v>
      </c>
      <c r="C157">
        <v>6</v>
      </c>
      <c r="D157" t="s">
        <v>1617</v>
      </c>
    </row>
    <row r="158" spans="1:6" x14ac:dyDescent="0.3">
      <c r="B158" t="s">
        <v>1574</v>
      </c>
      <c r="C158">
        <v>6</v>
      </c>
      <c r="D158" t="s">
        <v>1617</v>
      </c>
    </row>
    <row r="159" spans="1:6" x14ac:dyDescent="0.3">
      <c r="B159" t="s">
        <v>1575</v>
      </c>
      <c r="C159">
        <v>6</v>
      </c>
      <c r="D159" t="s">
        <v>1617</v>
      </c>
    </row>
    <row r="160" spans="1:6" x14ac:dyDescent="0.3">
      <c r="B160" t="s">
        <v>1576</v>
      </c>
      <c r="C160">
        <v>6</v>
      </c>
      <c r="D160" t="s">
        <v>1617</v>
      </c>
    </row>
    <row r="161" spans="2:8" x14ac:dyDescent="0.3">
      <c r="B161" t="s">
        <v>1618</v>
      </c>
      <c r="C161">
        <v>6</v>
      </c>
      <c r="D161" t="s">
        <v>1543</v>
      </c>
      <c r="H161" t="s">
        <v>1544</v>
      </c>
    </row>
    <row r="162" spans="2:8" x14ac:dyDescent="0.3">
      <c r="C162" s="14">
        <v>24</v>
      </c>
      <c r="D162" s="14" t="s">
        <v>1537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3" tint="0.39997558519241921"/>
    <pageSetUpPr fitToPage="1"/>
  </sheetPr>
  <dimension ref="A1:O48"/>
  <sheetViews>
    <sheetView workbookViewId="0"/>
  </sheetViews>
  <sheetFormatPr defaultRowHeight="14.4" x14ac:dyDescent="0.3"/>
  <cols>
    <col min="2" max="2" width="17" customWidth="1"/>
    <col min="3" max="3" width="13" customWidth="1"/>
  </cols>
  <sheetData>
    <row r="1" spans="1:15" ht="15" x14ac:dyDescent="0.25">
      <c r="B1" t="str">
        <f ca="1">UPPER(RIGHT(CELL("filename",A1),LEN(CELL("filename",A1))-FIND("]",CELL("filename",A1))))</f>
        <v>GROUPED COMPONENTS</v>
      </c>
    </row>
    <row r="2" spans="1:15" s="301" customFormat="1" ht="15" x14ac:dyDescent="0.25">
      <c r="A2" s="167" t="s">
        <v>3454</v>
      </c>
    </row>
    <row r="3" spans="1:15" s="301" customFormat="1" ht="18.75" x14ac:dyDescent="0.3">
      <c r="A3" s="164" t="s">
        <v>3432</v>
      </c>
    </row>
    <row r="4" spans="1:15" s="301" customFormat="1" ht="15" x14ac:dyDescent="0.25"/>
    <row r="5" spans="1:15" ht="15" x14ac:dyDescent="0.25">
      <c r="A5" t="s">
        <v>1511</v>
      </c>
      <c r="C5">
        <f>6</f>
        <v>6</v>
      </c>
      <c r="E5" t="s">
        <v>1510</v>
      </c>
      <c r="G5">
        <f>SUM(G6:G11)</f>
        <v>84</v>
      </c>
      <c r="I5" t="s">
        <v>1516</v>
      </c>
      <c r="K5">
        <f>SUM(K6:K8)</f>
        <v>54</v>
      </c>
      <c r="M5" t="s">
        <v>1509</v>
      </c>
      <c r="O5">
        <f>SUM(O6:O12)</f>
        <v>90</v>
      </c>
    </row>
    <row r="6" spans="1:15" ht="15" x14ac:dyDescent="0.25">
      <c r="B6" s="39" t="s">
        <v>1495</v>
      </c>
      <c r="C6" s="39">
        <v>6</v>
      </c>
      <c r="F6" s="39" t="s">
        <v>1631</v>
      </c>
      <c r="G6" s="39">
        <v>6</v>
      </c>
      <c r="J6" s="39" t="s">
        <v>1582</v>
      </c>
      <c r="K6" s="39">
        <v>18</v>
      </c>
      <c r="N6" s="39" t="s">
        <v>1580</v>
      </c>
      <c r="O6" s="39">
        <v>6</v>
      </c>
    </row>
    <row r="7" spans="1:15" ht="15" x14ac:dyDescent="0.25">
      <c r="F7" s="39" t="s">
        <v>1632</v>
      </c>
      <c r="G7" s="39">
        <v>6</v>
      </c>
      <c r="J7" s="39" t="s">
        <v>1593</v>
      </c>
      <c r="K7" s="39">
        <v>18</v>
      </c>
      <c r="N7" s="39" t="s">
        <v>1629</v>
      </c>
      <c r="O7" s="39">
        <v>6</v>
      </c>
    </row>
    <row r="8" spans="1:15" ht="15" x14ac:dyDescent="0.25">
      <c r="A8" t="s">
        <v>503</v>
      </c>
      <c r="C8">
        <f>SUM(C9:C10)</f>
        <v>7</v>
      </c>
      <c r="F8" s="39" t="s">
        <v>1587</v>
      </c>
      <c r="G8" s="39">
        <v>18</v>
      </c>
      <c r="J8" s="39" t="s">
        <v>1599</v>
      </c>
      <c r="K8" s="39">
        <v>18</v>
      </c>
      <c r="N8" s="39" t="s">
        <v>1630</v>
      </c>
      <c r="O8" s="39">
        <v>6</v>
      </c>
    </row>
    <row r="9" spans="1:15" ht="15" x14ac:dyDescent="0.25">
      <c r="B9" s="39" t="s">
        <v>1494</v>
      </c>
      <c r="C9" s="39">
        <v>6</v>
      </c>
      <c r="F9" s="39" t="s">
        <v>1588</v>
      </c>
      <c r="G9" s="39">
        <v>18</v>
      </c>
      <c r="N9" s="39" t="s">
        <v>1589</v>
      </c>
      <c r="O9" s="39">
        <v>18</v>
      </c>
    </row>
    <row r="10" spans="1:15" ht="15" x14ac:dyDescent="0.25">
      <c r="B10" s="39" t="s">
        <v>1634</v>
      </c>
      <c r="C10" s="39">
        <v>1</v>
      </c>
      <c r="F10" s="39" t="s">
        <v>1592</v>
      </c>
      <c r="G10" s="39">
        <v>18</v>
      </c>
      <c r="N10" s="39" t="s">
        <v>1594</v>
      </c>
      <c r="O10" s="39">
        <v>18</v>
      </c>
    </row>
    <row r="11" spans="1:15" ht="15" x14ac:dyDescent="0.25">
      <c r="F11" s="39" t="s">
        <v>1598</v>
      </c>
      <c r="G11" s="39">
        <v>18</v>
      </c>
      <c r="N11" s="39" t="s">
        <v>1600</v>
      </c>
      <c r="O11" s="39">
        <v>18</v>
      </c>
    </row>
    <row r="12" spans="1:15" ht="15" x14ac:dyDescent="0.25">
      <c r="A12" s="14" t="s">
        <v>1517</v>
      </c>
      <c r="C12">
        <f>SUM(C13:C14)</f>
        <v>7</v>
      </c>
      <c r="N12" s="39" t="s">
        <v>1602</v>
      </c>
      <c r="O12" s="39">
        <v>18</v>
      </c>
    </row>
    <row r="13" spans="1:15" ht="15" x14ac:dyDescent="0.25">
      <c r="B13" s="39" t="s">
        <v>1581</v>
      </c>
      <c r="C13" s="39">
        <v>6</v>
      </c>
      <c r="E13" t="s">
        <v>1522</v>
      </c>
      <c r="G13">
        <f>SUM(G14:G18)</f>
        <v>60</v>
      </c>
    </row>
    <row r="14" spans="1:15" ht="15" x14ac:dyDescent="0.25">
      <c r="B14" s="39" t="s">
        <v>1493</v>
      </c>
      <c r="C14" s="39">
        <v>1</v>
      </c>
      <c r="F14" s="39" t="s">
        <v>1539</v>
      </c>
      <c r="G14" s="39">
        <v>6</v>
      </c>
      <c r="M14" t="s">
        <v>1532</v>
      </c>
      <c r="O14">
        <f>SUM(O15:O17)</f>
        <v>18</v>
      </c>
    </row>
    <row r="15" spans="1:15" ht="15" x14ac:dyDescent="0.25">
      <c r="F15" s="39" t="s">
        <v>1540</v>
      </c>
      <c r="G15" s="39">
        <v>6</v>
      </c>
      <c r="N15" s="39" t="s">
        <v>1481</v>
      </c>
      <c r="O15" s="39">
        <v>6</v>
      </c>
    </row>
    <row r="16" spans="1:15" ht="15" x14ac:dyDescent="0.25">
      <c r="A16" s="14" t="s">
        <v>2093</v>
      </c>
      <c r="C16">
        <f>C17</f>
        <v>18</v>
      </c>
      <c r="F16" s="39" t="s">
        <v>1606</v>
      </c>
      <c r="G16" s="39">
        <v>18</v>
      </c>
      <c r="N16" s="39" t="s">
        <v>1549</v>
      </c>
      <c r="O16" s="39">
        <v>6</v>
      </c>
    </row>
    <row r="17" spans="1:15" ht="15" x14ac:dyDescent="0.25">
      <c r="B17" s="39" t="s">
        <v>1584</v>
      </c>
      <c r="C17" s="39">
        <v>18</v>
      </c>
      <c r="F17" s="39" t="s">
        <v>1608</v>
      </c>
      <c r="G17" s="39">
        <v>18</v>
      </c>
      <c r="N17" s="39" t="s">
        <v>1550</v>
      </c>
      <c r="O17" s="39">
        <v>6</v>
      </c>
    </row>
    <row r="18" spans="1:15" ht="15" x14ac:dyDescent="0.25">
      <c r="F18" s="39" t="s">
        <v>1623</v>
      </c>
      <c r="G18" s="39">
        <v>12</v>
      </c>
    </row>
    <row r="19" spans="1:15" ht="15" x14ac:dyDescent="0.25">
      <c r="A19" s="14" t="s">
        <v>1620</v>
      </c>
      <c r="C19">
        <f>SUM(C20:C21)</f>
        <v>12</v>
      </c>
      <c r="M19" t="s">
        <v>1543</v>
      </c>
    </row>
    <row r="20" spans="1:15" ht="15" x14ac:dyDescent="0.25">
      <c r="B20" s="39" t="s">
        <v>1545</v>
      </c>
      <c r="C20" s="39">
        <v>6</v>
      </c>
      <c r="N20" s="39" t="s">
        <v>1618</v>
      </c>
      <c r="O20" s="39">
        <v>6</v>
      </c>
    </row>
    <row r="21" spans="1:15" ht="15" x14ac:dyDescent="0.25">
      <c r="B21" s="39" t="s">
        <v>1546</v>
      </c>
      <c r="C21" s="39">
        <v>6</v>
      </c>
      <c r="E21" t="s">
        <v>2211</v>
      </c>
    </row>
    <row r="22" spans="1:15" ht="15" x14ac:dyDescent="0.25">
      <c r="F22" s="39" t="s">
        <v>1504</v>
      </c>
      <c r="G22" s="39">
        <v>24</v>
      </c>
    </row>
    <row r="23" spans="1:15" ht="15" x14ac:dyDescent="0.25">
      <c r="A23" s="14" t="s">
        <v>1621</v>
      </c>
      <c r="C23">
        <f>SUM(C24:C25)</f>
        <v>12</v>
      </c>
    </row>
    <row r="24" spans="1:15" ht="15" x14ac:dyDescent="0.25">
      <c r="B24" s="39" t="s">
        <v>1547</v>
      </c>
      <c r="C24" s="39">
        <v>6</v>
      </c>
    </row>
    <row r="25" spans="1:15" ht="15" x14ac:dyDescent="0.25">
      <c r="B25" s="39" t="s">
        <v>1548</v>
      </c>
      <c r="C25" s="39">
        <v>6</v>
      </c>
    </row>
    <row r="26" spans="1:15" ht="15" x14ac:dyDescent="0.25">
      <c r="I26" t="s">
        <v>1741</v>
      </c>
    </row>
    <row r="27" spans="1:15" ht="15" x14ac:dyDescent="0.25">
      <c r="I27" t="s">
        <v>1578</v>
      </c>
      <c r="K27">
        <f>SUM(K28:K30)</f>
        <v>42</v>
      </c>
    </row>
    <row r="28" spans="1:15" ht="15" x14ac:dyDescent="0.25">
      <c r="A28" t="s">
        <v>1617</v>
      </c>
      <c r="C28">
        <f>SUM(C29:C32)</f>
        <v>24</v>
      </c>
      <c r="E28" t="s">
        <v>1514</v>
      </c>
      <c r="J28" s="39" t="s">
        <v>1551</v>
      </c>
      <c r="K28" s="39">
        <v>18</v>
      </c>
      <c r="M28" t="s">
        <v>1636</v>
      </c>
      <c r="O28">
        <f>O29</f>
        <v>18</v>
      </c>
    </row>
    <row r="29" spans="1:15" ht="15" x14ac:dyDescent="0.25">
      <c r="B29" s="39" t="s">
        <v>1573</v>
      </c>
      <c r="C29" s="39">
        <v>6</v>
      </c>
      <c r="F29" s="39" t="s">
        <v>1633</v>
      </c>
      <c r="G29" s="39">
        <v>12</v>
      </c>
      <c r="J29" s="39" t="s">
        <v>1552</v>
      </c>
      <c r="K29" s="39">
        <v>6</v>
      </c>
      <c r="N29" s="39" t="s">
        <v>1603</v>
      </c>
      <c r="O29" s="39">
        <v>18</v>
      </c>
    </row>
    <row r="30" spans="1:15" ht="15" x14ac:dyDescent="0.25">
      <c r="B30" s="39" t="s">
        <v>1574</v>
      </c>
      <c r="C30" s="39">
        <v>6</v>
      </c>
      <c r="J30" s="39" t="s">
        <v>1585</v>
      </c>
      <c r="K30" s="39">
        <v>18</v>
      </c>
    </row>
    <row r="31" spans="1:15" x14ac:dyDescent="0.3">
      <c r="B31" s="39" t="s">
        <v>1575</v>
      </c>
      <c r="C31" s="39">
        <v>6</v>
      </c>
    </row>
    <row r="32" spans="1:15" x14ac:dyDescent="0.3">
      <c r="B32" s="39" t="s">
        <v>1576</v>
      </c>
      <c r="C32" s="39">
        <v>6</v>
      </c>
      <c r="I32" t="s">
        <v>1637</v>
      </c>
    </row>
    <row r="33" spans="1:15" x14ac:dyDescent="0.3">
      <c r="E33" t="s">
        <v>1635</v>
      </c>
      <c r="G33">
        <f>G34</f>
        <v>12</v>
      </c>
      <c r="J33" s="39" t="s">
        <v>1553</v>
      </c>
      <c r="K33" s="39">
        <v>6</v>
      </c>
      <c r="M33" t="s">
        <v>1614</v>
      </c>
      <c r="O33">
        <f>SUM(O34:O35)</f>
        <v>36</v>
      </c>
    </row>
    <row r="34" spans="1:15" x14ac:dyDescent="0.3">
      <c r="A34" t="s">
        <v>1535</v>
      </c>
      <c r="C34">
        <f>SUM(C35:C38)</f>
        <v>60</v>
      </c>
      <c r="F34" s="39" t="s">
        <v>1619</v>
      </c>
      <c r="G34" s="39">
        <v>12</v>
      </c>
      <c r="J34" s="39" t="s">
        <v>1554</v>
      </c>
      <c r="K34" s="39">
        <v>6</v>
      </c>
      <c r="N34" s="39" t="s">
        <v>1612</v>
      </c>
      <c r="O34" s="39">
        <v>18</v>
      </c>
    </row>
    <row r="35" spans="1:15" x14ac:dyDescent="0.3">
      <c r="B35" s="39" t="s">
        <v>1627</v>
      </c>
      <c r="C35" s="39">
        <v>12</v>
      </c>
      <c r="N35" s="39" t="s">
        <v>1613</v>
      </c>
      <c r="O35" s="39">
        <v>18</v>
      </c>
    </row>
    <row r="36" spans="1:15" x14ac:dyDescent="0.3">
      <c r="B36" s="39" t="s">
        <v>1628</v>
      </c>
      <c r="C36" s="39">
        <v>12</v>
      </c>
      <c r="I36" t="s">
        <v>1616</v>
      </c>
      <c r="K36">
        <f>SUM(K37:K38)</f>
        <v>12</v>
      </c>
    </row>
    <row r="37" spans="1:15" x14ac:dyDescent="0.3">
      <c r="B37" s="39" t="s">
        <v>1590</v>
      </c>
      <c r="C37" s="39">
        <v>18</v>
      </c>
      <c r="J37" s="39" t="s">
        <v>1555</v>
      </c>
      <c r="K37" s="39">
        <v>6</v>
      </c>
    </row>
    <row r="38" spans="1:15" x14ac:dyDescent="0.3">
      <c r="B38" s="39" t="s">
        <v>1591</v>
      </c>
      <c r="C38" s="39">
        <v>18</v>
      </c>
      <c r="J38" s="39" t="s">
        <v>1556</v>
      </c>
      <c r="K38" s="39">
        <v>6</v>
      </c>
    </row>
    <row r="39" spans="1:15" x14ac:dyDescent="0.3">
      <c r="E39" t="s">
        <v>1538</v>
      </c>
    </row>
    <row r="40" spans="1:15" x14ac:dyDescent="0.3">
      <c r="A40" t="s">
        <v>1604</v>
      </c>
      <c r="C40">
        <f>SUM(C41:C43)</f>
        <v>42</v>
      </c>
      <c r="F40" s="39" t="s">
        <v>1586</v>
      </c>
      <c r="G40" s="39">
        <v>18</v>
      </c>
    </row>
    <row r="41" spans="1:15" x14ac:dyDescent="0.3">
      <c r="B41" s="39" t="s">
        <v>1595</v>
      </c>
      <c r="C41" s="39">
        <v>18</v>
      </c>
      <c r="F41" s="39" t="s">
        <v>2740</v>
      </c>
      <c r="G41" s="39">
        <v>1</v>
      </c>
      <c r="I41" t="s">
        <v>1605</v>
      </c>
    </row>
    <row r="42" spans="1:15" x14ac:dyDescent="0.3">
      <c r="B42" s="39" t="s">
        <v>1601</v>
      </c>
      <c r="C42" s="39">
        <v>18</v>
      </c>
      <c r="J42" s="39" t="s">
        <v>1557</v>
      </c>
      <c r="K42" s="39">
        <v>6</v>
      </c>
    </row>
    <row r="43" spans="1:15" x14ac:dyDescent="0.3">
      <c r="B43" s="39" t="s">
        <v>1572</v>
      </c>
      <c r="C43" s="39">
        <v>6</v>
      </c>
      <c r="E43" t="s">
        <v>1512</v>
      </c>
      <c r="G43">
        <v>6</v>
      </c>
    </row>
    <row r="44" spans="1:15" x14ac:dyDescent="0.3">
      <c r="F44" t="s">
        <v>1583</v>
      </c>
      <c r="G44">
        <v>7</v>
      </c>
      <c r="H44" s="14" t="s">
        <v>1954</v>
      </c>
    </row>
    <row r="45" spans="1:15" x14ac:dyDescent="0.3">
      <c r="A45" t="s">
        <v>1607</v>
      </c>
      <c r="C45">
        <f>SUM(C46:C48)</f>
        <v>54</v>
      </c>
      <c r="F45" s="14" t="s">
        <v>1504</v>
      </c>
      <c r="G45" s="14">
        <v>12</v>
      </c>
      <c r="H45" s="14" t="s">
        <v>1638</v>
      </c>
    </row>
    <row r="46" spans="1:15" x14ac:dyDescent="0.3">
      <c r="B46" s="39" t="s">
        <v>1609</v>
      </c>
      <c r="C46" s="39">
        <v>18</v>
      </c>
    </row>
    <row r="47" spans="1:15" x14ac:dyDescent="0.3">
      <c r="B47" s="39" t="s">
        <v>1610</v>
      </c>
      <c r="C47" s="39">
        <v>18</v>
      </c>
    </row>
    <row r="48" spans="1:15" x14ac:dyDescent="0.3">
      <c r="B48" s="39" t="s">
        <v>1611</v>
      </c>
      <c r="C48" s="39">
        <v>18</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3" tint="0.39997558519241921"/>
    <pageSetUpPr fitToPage="1"/>
  </sheetPr>
  <dimension ref="A1:O105"/>
  <sheetViews>
    <sheetView workbookViewId="0"/>
  </sheetViews>
  <sheetFormatPr defaultRowHeight="14.4" x14ac:dyDescent="0.3"/>
  <cols>
    <col min="1" max="1" width="46.33203125" customWidth="1"/>
    <col min="2" max="2" width="17" customWidth="1"/>
    <col min="3" max="3" width="13" customWidth="1"/>
    <col min="4" max="4" width="13.33203125" customWidth="1"/>
    <col min="7" max="7" width="18.33203125" customWidth="1"/>
    <col min="8" max="8" width="33.109375" customWidth="1"/>
    <col min="9" max="9" width="21.44140625" customWidth="1"/>
    <col min="10" max="10" width="21" customWidth="1"/>
    <col min="13" max="13" width="19.109375" customWidth="1"/>
    <col min="14" max="14" width="9.109375" style="284"/>
  </cols>
  <sheetData>
    <row r="1" spans="1:15" s="301" customFormat="1" ht="15" x14ac:dyDescent="0.25">
      <c r="B1" s="301" t="str">
        <f ca="1">UPPER(RIGHT(CELL("filename",A1),LEN(CELL("filename",A1))-FIND("]",CELL("filename",A1))))</f>
        <v>ABB MAINTENANCE</v>
      </c>
      <c r="N1" s="284"/>
    </row>
    <row r="2" spans="1:15" ht="15.75" thickBot="1" x14ac:dyDescent="0.3">
      <c r="A2" s="167" t="s">
        <v>3454</v>
      </c>
    </row>
    <row r="3" spans="1:15" ht="60.75" thickBot="1" x14ac:dyDescent="0.3">
      <c r="A3" s="329" t="s">
        <v>2989</v>
      </c>
      <c r="B3" s="329" t="s">
        <v>2748</v>
      </c>
      <c r="C3" s="329" t="s">
        <v>2995</v>
      </c>
      <c r="D3" s="330" t="s">
        <v>3234</v>
      </c>
      <c r="E3" s="329" t="s">
        <v>2990</v>
      </c>
      <c r="F3" s="329" t="s">
        <v>2991</v>
      </c>
      <c r="G3" s="330" t="s">
        <v>2992</v>
      </c>
      <c r="H3" s="329" t="s">
        <v>2994</v>
      </c>
      <c r="I3" s="329" t="s">
        <v>2993</v>
      </c>
    </row>
    <row r="4" spans="1:15" ht="15.75" thickBot="1" x14ac:dyDescent="0.3">
      <c r="A4" s="271" t="s">
        <v>2813</v>
      </c>
      <c r="B4" s="272"/>
      <c r="C4" s="272"/>
      <c r="D4" s="272"/>
      <c r="E4" s="272"/>
      <c r="F4" s="272"/>
      <c r="G4" s="272"/>
      <c r="H4" s="272"/>
      <c r="I4" s="272"/>
      <c r="J4" s="30"/>
      <c r="N4" s="285"/>
      <c r="O4" s="39"/>
    </row>
    <row r="5" spans="1:15" ht="30.75" thickBot="1" x14ac:dyDescent="0.3">
      <c r="A5" s="273" t="s">
        <v>2814</v>
      </c>
      <c r="B5" s="274" t="s">
        <v>2815</v>
      </c>
      <c r="C5" s="274" t="s">
        <v>2816</v>
      </c>
      <c r="D5" s="274">
        <v>1</v>
      </c>
      <c r="E5" s="274" t="s">
        <v>2817</v>
      </c>
      <c r="F5" s="274">
        <v>9</v>
      </c>
      <c r="G5" s="274" t="s">
        <v>2818</v>
      </c>
      <c r="H5" s="274" t="s">
        <v>2819</v>
      </c>
      <c r="I5" s="274" t="s">
        <v>2820</v>
      </c>
      <c r="J5" s="281"/>
      <c r="K5" s="282"/>
      <c r="L5" s="280"/>
      <c r="M5" s="280"/>
      <c r="N5" s="285"/>
      <c r="O5" s="39"/>
    </row>
    <row r="6" spans="1:15" ht="30.75" thickBot="1" x14ac:dyDescent="0.3">
      <c r="A6" s="273" t="s">
        <v>2821</v>
      </c>
      <c r="B6" s="274" t="s">
        <v>2822</v>
      </c>
      <c r="C6" s="274" t="s">
        <v>2823</v>
      </c>
      <c r="D6" s="277" t="s">
        <v>2984</v>
      </c>
      <c r="E6" s="274" t="s">
        <v>2824</v>
      </c>
      <c r="F6" s="278" t="s">
        <v>2825</v>
      </c>
      <c r="G6" s="274" t="s">
        <v>2818</v>
      </c>
      <c r="H6" s="274" t="s">
        <v>2826</v>
      </c>
      <c r="I6" s="274" t="s">
        <v>2827</v>
      </c>
      <c r="J6" s="281"/>
      <c r="K6" s="282"/>
      <c r="L6" s="281"/>
      <c r="M6" s="281"/>
      <c r="N6" s="285"/>
      <c r="O6" s="39"/>
    </row>
    <row r="7" spans="1:15" ht="15.75" thickBot="1" x14ac:dyDescent="0.3">
      <c r="A7" s="273" t="s">
        <v>2828</v>
      </c>
      <c r="B7" s="274" t="s">
        <v>2829</v>
      </c>
      <c r="C7" s="274" t="s">
        <v>2830</v>
      </c>
      <c r="D7" s="277" t="s">
        <v>2984</v>
      </c>
      <c r="E7" s="274" t="s">
        <v>2831</v>
      </c>
      <c r="F7" s="278" t="s">
        <v>2825</v>
      </c>
      <c r="G7" s="274" t="s">
        <v>2818</v>
      </c>
      <c r="H7" s="274" t="s">
        <v>2832</v>
      </c>
      <c r="I7" s="274" t="s">
        <v>2833</v>
      </c>
      <c r="J7" s="281"/>
      <c r="K7" s="282"/>
      <c r="L7" s="281"/>
      <c r="M7" s="281"/>
      <c r="N7" s="285"/>
      <c r="O7" s="39"/>
    </row>
    <row r="8" spans="1:15" ht="15" thickBot="1" x14ac:dyDescent="0.35">
      <c r="A8" s="273" t="s">
        <v>2987</v>
      </c>
      <c r="B8" s="274" t="s">
        <v>2834</v>
      </c>
      <c r="C8" s="274" t="s">
        <v>2835</v>
      </c>
      <c r="D8" s="277" t="s">
        <v>2984</v>
      </c>
      <c r="E8" s="274" t="s">
        <v>2836</v>
      </c>
      <c r="F8" s="278" t="s">
        <v>2837</v>
      </c>
      <c r="G8" s="274" t="s">
        <v>2818</v>
      </c>
      <c r="H8" s="274"/>
      <c r="I8" s="274" t="s">
        <v>2833</v>
      </c>
      <c r="J8" s="281"/>
      <c r="K8" s="282"/>
      <c r="L8" s="281"/>
      <c r="M8" s="281"/>
      <c r="N8" s="285"/>
      <c r="O8" s="39"/>
    </row>
    <row r="9" spans="1:15" ht="30.75" thickBot="1" x14ac:dyDescent="0.3">
      <c r="A9" s="273" t="s">
        <v>2838</v>
      </c>
      <c r="B9" s="274" t="s">
        <v>2839</v>
      </c>
      <c r="C9" s="274" t="s">
        <v>2840</v>
      </c>
      <c r="D9" s="277" t="s">
        <v>2984</v>
      </c>
      <c r="E9" s="274" t="s">
        <v>2836</v>
      </c>
      <c r="F9" s="274">
        <v>1</v>
      </c>
      <c r="G9" s="274" t="s">
        <v>2818</v>
      </c>
      <c r="H9" s="274" t="s">
        <v>2841</v>
      </c>
      <c r="I9" s="274" t="s">
        <v>2833</v>
      </c>
      <c r="J9" s="281"/>
      <c r="K9" s="281"/>
      <c r="L9" s="281"/>
      <c r="M9" s="283"/>
      <c r="N9" s="285"/>
      <c r="O9" s="39"/>
    </row>
    <row r="10" spans="1:15" ht="15.75" thickBot="1" x14ac:dyDescent="0.3">
      <c r="A10" s="273" t="s">
        <v>2842</v>
      </c>
      <c r="B10" s="274" t="s">
        <v>1522</v>
      </c>
      <c r="C10" s="274" t="s">
        <v>2843</v>
      </c>
      <c r="D10" s="277" t="s">
        <v>2984</v>
      </c>
      <c r="E10" s="274" t="s">
        <v>2836</v>
      </c>
      <c r="F10" s="274">
        <v>3</v>
      </c>
      <c r="G10" s="274" t="s">
        <v>2818</v>
      </c>
      <c r="H10" s="274" t="s">
        <v>2844</v>
      </c>
      <c r="I10" s="274" t="s">
        <v>2833</v>
      </c>
      <c r="J10" s="281"/>
      <c r="K10" s="281"/>
      <c r="L10" s="281"/>
      <c r="M10" s="281"/>
      <c r="N10" s="285"/>
      <c r="O10" s="39"/>
    </row>
    <row r="11" spans="1:15" ht="30.75" thickBot="1" x14ac:dyDescent="0.3">
      <c r="A11" s="273"/>
      <c r="B11" s="274"/>
      <c r="C11" s="274"/>
      <c r="D11" s="274"/>
      <c r="E11" s="274" t="s">
        <v>2845</v>
      </c>
      <c r="F11" s="274">
        <v>3</v>
      </c>
      <c r="G11" s="274" t="s">
        <v>2818</v>
      </c>
      <c r="H11" s="274" t="s">
        <v>2844</v>
      </c>
      <c r="I11" s="274" t="s">
        <v>2846</v>
      </c>
      <c r="J11" s="281"/>
      <c r="K11" s="281"/>
      <c r="L11" s="281"/>
      <c r="M11" s="281"/>
    </row>
    <row r="12" spans="1:15" ht="15.75" thickBot="1" x14ac:dyDescent="0.3">
      <c r="A12" s="273" t="s">
        <v>2847</v>
      </c>
      <c r="B12" s="274" t="s">
        <v>1522</v>
      </c>
      <c r="C12" s="274" t="s">
        <v>2843</v>
      </c>
      <c r="D12" s="277" t="s">
        <v>2984</v>
      </c>
      <c r="E12" s="274" t="s">
        <v>2836</v>
      </c>
      <c r="F12" s="274">
        <v>3</v>
      </c>
      <c r="G12" s="274" t="s">
        <v>2818</v>
      </c>
      <c r="H12" s="274" t="s">
        <v>2844</v>
      </c>
      <c r="I12" s="274" t="s">
        <v>2833</v>
      </c>
      <c r="J12" s="281"/>
      <c r="K12" s="281"/>
      <c r="L12" s="281"/>
      <c r="M12" s="281"/>
    </row>
    <row r="13" spans="1:15" ht="30.75" thickBot="1" x14ac:dyDescent="0.3">
      <c r="A13" s="273"/>
      <c r="B13" s="274"/>
      <c r="C13" s="274"/>
      <c r="D13" s="274">
        <v>3</v>
      </c>
      <c r="E13" s="274" t="s">
        <v>2848</v>
      </c>
      <c r="F13" s="274">
        <v>3</v>
      </c>
      <c r="G13" s="274" t="s">
        <v>2818</v>
      </c>
      <c r="H13" s="274" t="s">
        <v>2844</v>
      </c>
      <c r="I13" s="274" t="s">
        <v>2846</v>
      </c>
      <c r="J13" s="281"/>
      <c r="K13" s="281"/>
      <c r="L13" s="281"/>
      <c r="M13" s="281"/>
      <c r="N13" s="285"/>
      <c r="O13" s="39"/>
    </row>
    <row r="14" spans="1:15" ht="45.75" thickBot="1" x14ac:dyDescent="0.3">
      <c r="A14" s="273" t="s">
        <v>2849</v>
      </c>
      <c r="B14" s="274" t="s">
        <v>2850</v>
      </c>
      <c r="C14" s="274" t="s">
        <v>2851</v>
      </c>
      <c r="D14" s="277" t="s">
        <v>2984</v>
      </c>
      <c r="E14" s="274" t="s">
        <v>2836</v>
      </c>
      <c r="F14" s="274">
        <v>1</v>
      </c>
      <c r="G14" s="274" t="s">
        <v>2818</v>
      </c>
      <c r="H14" s="274" t="s">
        <v>2852</v>
      </c>
      <c r="I14" s="274" t="s">
        <v>2833</v>
      </c>
      <c r="J14" s="281"/>
      <c r="K14" s="281"/>
      <c r="L14" s="281"/>
      <c r="M14" s="281"/>
      <c r="N14" s="285"/>
      <c r="O14" s="39"/>
    </row>
    <row r="15" spans="1:15" ht="15.75" thickBot="1" x14ac:dyDescent="0.3">
      <c r="A15" s="275" t="s">
        <v>2853</v>
      </c>
      <c r="B15" s="276"/>
      <c r="C15" s="276"/>
      <c r="D15" s="276"/>
      <c r="E15" s="276"/>
      <c r="F15" s="276"/>
      <c r="G15" s="276"/>
      <c r="H15" s="276"/>
      <c r="I15" s="276"/>
      <c r="J15" s="281"/>
      <c r="K15" s="281"/>
      <c r="L15" s="281"/>
      <c r="M15" s="281"/>
    </row>
    <row r="16" spans="1:15" ht="30.75" thickBot="1" x14ac:dyDescent="0.3">
      <c r="A16" s="273" t="s">
        <v>2854</v>
      </c>
      <c r="B16" s="274" t="s">
        <v>2855</v>
      </c>
      <c r="C16" s="274" t="s">
        <v>2856</v>
      </c>
      <c r="D16" s="277" t="s">
        <v>2984</v>
      </c>
      <c r="E16" s="274" t="s">
        <v>2857</v>
      </c>
      <c r="F16" s="274">
        <v>3</v>
      </c>
      <c r="G16" s="274" t="s">
        <v>2818</v>
      </c>
      <c r="H16" s="274" t="s">
        <v>2832</v>
      </c>
      <c r="I16" s="274" t="s">
        <v>2833</v>
      </c>
      <c r="J16" s="281"/>
      <c r="K16" s="281"/>
      <c r="L16" s="281"/>
      <c r="M16" s="281"/>
    </row>
    <row r="17" spans="1:15" ht="15.75" thickBot="1" x14ac:dyDescent="0.3">
      <c r="A17" s="273" t="s">
        <v>2858</v>
      </c>
      <c r="B17" s="274" t="s">
        <v>1522</v>
      </c>
      <c r="C17" s="274" t="s">
        <v>2843</v>
      </c>
      <c r="D17" s="277" t="s">
        <v>2984</v>
      </c>
      <c r="E17" s="274" t="s">
        <v>2836</v>
      </c>
      <c r="F17" s="274">
        <v>3</v>
      </c>
      <c r="G17" s="274" t="s">
        <v>2818</v>
      </c>
      <c r="H17" s="274" t="s">
        <v>2844</v>
      </c>
      <c r="I17" s="274" t="s">
        <v>2833</v>
      </c>
      <c r="J17" s="281"/>
      <c r="K17" s="281"/>
      <c r="L17" s="281"/>
      <c r="M17" s="281"/>
      <c r="N17" s="285"/>
      <c r="O17" s="39"/>
    </row>
    <row r="18" spans="1:15" ht="30.75" thickBot="1" x14ac:dyDescent="0.3">
      <c r="A18" s="273"/>
      <c r="B18" s="274"/>
      <c r="C18" s="274"/>
      <c r="D18" s="274">
        <v>3</v>
      </c>
      <c r="E18" s="274" t="s">
        <v>2848</v>
      </c>
      <c r="F18" s="274">
        <v>3</v>
      </c>
      <c r="G18" s="274" t="s">
        <v>2818</v>
      </c>
      <c r="H18" s="274" t="s">
        <v>2844</v>
      </c>
      <c r="I18" s="274" t="s">
        <v>2846</v>
      </c>
      <c r="J18" s="281"/>
      <c r="K18" s="281"/>
      <c r="L18" s="281"/>
      <c r="M18" s="281"/>
    </row>
    <row r="19" spans="1:15" ht="15" thickBot="1" x14ac:dyDescent="0.35">
      <c r="A19" s="273" t="s">
        <v>2859</v>
      </c>
      <c r="B19" s="274" t="s">
        <v>1533</v>
      </c>
      <c r="C19" s="274" t="s">
        <v>2860</v>
      </c>
      <c r="D19" s="277" t="s">
        <v>2984</v>
      </c>
      <c r="E19" s="274" t="s">
        <v>2836</v>
      </c>
      <c r="F19" s="278" t="s">
        <v>2837</v>
      </c>
      <c r="G19" s="274" t="s">
        <v>2818</v>
      </c>
      <c r="H19" s="274" t="s">
        <v>2861</v>
      </c>
      <c r="I19" s="274" t="s">
        <v>2833</v>
      </c>
      <c r="J19" s="281"/>
      <c r="K19" s="281"/>
      <c r="L19" s="281"/>
      <c r="M19" s="281"/>
    </row>
    <row r="20" spans="1:15" ht="15" thickBot="1" x14ac:dyDescent="0.35">
      <c r="A20" s="273" t="s">
        <v>2863</v>
      </c>
      <c r="B20" s="274" t="s">
        <v>2864</v>
      </c>
      <c r="C20" s="274" t="s">
        <v>2865</v>
      </c>
      <c r="D20" s="277" t="s">
        <v>2984</v>
      </c>
      <c r="E20" s="274" t="s">
        <v>2836</v>
      </c>
      <c r="F20" s="278" t="s">
        <v>2866</v>
      </c>
      <c r="G20" s="274" t="s">
        <v>2818</v>
      </c>
      <c r="H20" s="274"/>
      <c r="I20" s="274" t="s">
        <v>2833</v>
      </c>
      <c r="J20" s="281"/>
      <c r="K20" s="281"/>
      <c r="L20" s="281"/>
      <c r="M20" s="281"/>
    </row>
    <row r="21" spans="1:15" ht="15" thickBot="1" x14ac:dyDescent="0.35">
      <c r="A21" s="273"/>
      <c r="B21" s="274"/>
      <c r="C21" s="274"/>
      <c r="D21" s="274">
        <v>3</v>
      </c>
      <c r="E21" s="274" t="s">
        <v>2867</v>
      </c>
      <c r="F21" s="274">
        <v>1</v>
      </c>
      <c r="G21" s="274" t="s">
        <v>2818</v>
      </c>
      <c r="H21" s="274" t="s">
        <v>2868</v>
      </c>
      <c r="I21" s="274" t="s">
        <v>2869</v>
      </c>
      <c r="J21" s="281"/>
      <c r="K21" s="281"/>
      <c r="L21" s="281"/>
      <c r="M21" s="281"/>
    </row>
    <row r="22" spans="1:15" ht="15" thickBot="1" x14ac:dyDescent="0.35">
      <c r="A22" s="273"/>
      <c r="B22" s="274"/>
      <c r="C22" s="274"/>
      <c r="D22" s="274">
        <v>5</v>
      </c>
      <c r="E22" s="274" t="s">
        <v>2867</v>
      </c>
      <c r="F22" s="274">
        <v>2</v>
      </c>
      <c r="G22" s="274" t="s">
        <v>2818</v>
      </c>
      <c r="H22" s="274" t="s">
        <v>2870</v>
      </c>
      <c r="I22" s="274" t="s">
        <v>2871</v>
      </c>
      <c r="J22" s="281"/>
      <c r="K22" s="281"/>
      <c r="L22" s="281"/>
      <c r="M22" s="281"/>
    </row>
    <row r="23" spans="1:15" ht="15" thickBot="1" x14ac:dyDescent="0.35">
      <c r="A23" s="273" t="s">
        <v>2872</v>
      </c>
      <c r="B23" s="274" t="s">
        <v>2873</v>
      </c>
      <c r="C23" s="274" t="s">
        <v>2865</v>
      </c>
      <c r="D23" s="277" t="s">
        <v>2984</v>
      </c>
      <c r="E23" s="274" t="s">
        <v>2836</v>
      </c>
      <c r="F23" s="278" t="s">
        <v>2866</v>
      </c>
      <c r="G23" s="274" t="s">
        <v>2818</v>
      </c>
      <c r="H23" s="274"/>
      <c r="I23" s="274" t="s">
        <v>2833</v>
      </c>
      <c r="J23" s="281"/>
      <c r="K23" s="281"/>
      <c r="L23" s="281"/>
      <c r="M23" s="281"/>
    </row>
    <row r="24" spans="1:15" ht="15" thickBot="1" x14ac:dyDescent="0.35">
      <c r="A24" s="273"/>
      <c r="B24" s="274"/>
      <c r="C24" s="274"/>
      <c r="D24" s="274">
        <v>3</v>
      </c>
      <c r="E24" s="274" t="s">
        <v>2867</v>
      </c>
      <c r="F24" s="274">
        <v>1</v>
      </c>
      <c r="G24" s="274" t="s">
        <v>2818</v>
      </c>
      <c r="H24" s="274" t="s">
        <v>2868</v>
      </c>
      <c r="I24" s="274" t="s">
        <v>2869</v>
      </c>
      <c r="J24" s="281"/>
      <c r="K24" s="281"/>
      <c r="L24" s="281"/>
      <c r="M24" s="281"/>
    </row>
    <row r="25" spans="1:15" ht="15" thickBot="1" x14ac:dyDescent="0.35">
      <c r="A25" s="273"/>
      <c r="B25" s="274"/>
      <c r="C25" s="274"/>
      <c r="D25" s="274">
        <v>5</v>
      </c>
      <c r="E25" s="274" t="s">
        <v>2867</v>
      </c>
      <c r="F25" s="274">
        <v>2</v>
      </c>
      <c r="G25" s="274" t="s">
        <v>2818</v>
      </c>
      <c r="H25" s="274" t="s">
        <v>2870</v>
      </c>
      <c r="I25" s="274" t="s">
        <v>2871</v>
      </c>
      <c r="J25" s="281"/>
      <c r="K25" s="281"/>
      <c r="L25" s="281"/>
      <c r="M25" s="281"/>
    </row>
    <row r="26" spans="1:15" ht="29.4" thickBot="1" x14ac:dyDescent="0.35">
      <c r="A26" s="273" t="s">
        <v>2874</v>
      </c>
      <c r="B26" s="274" t="s">
        <v>2875</v>
      </c>
      <c r="C26" s="274" t="s">
        <v>2876</v>
      </c>
      <c r="D26" s="277" t="s">
        <v>2984</v>
      </c>
      <c r="E26" s="274" t="s">
        <v>2836</v>
      </c>
      <c r="F26" s="274">
        <v>1</v>
      </c>
      <c r="G26" s="274" t="s">
        <v>2818</v>
      </c>
      <c r="H26" s="274" t="s">
        <v>2877</v>
      </c>
      <c r="I26" s="274" t="s">
        <v>2833</v>
      </c>
      <c r="J26" s="281"/>
      <c r="K26" s="281"/>
      <c r="L26" s="281"/>
      <c r="M26" s="281"/>
      <c r="N26" s="285"/>
      <c r="O26" s="39"/>
    </row>
    <row r="27" spans="1:15" ht="29.4" thickBot="1" x14ac:dyDescent="0.35">
      <c r="A27" s="273" t="s">
        <v>2878</v>
      </c>
      <c r="B27" s="274" t="s">
        <v>2879</v>
      </c>
      <c r="C27" s="274" t="s">
        <v>2880</v>
      </c>
      <c r="D27" s="277" t="s">
        <v>2984</v>
      </c>
      <c r="E27" s="274" t="s">
        <v>2857</v>
      </c>
      <c r="F27" s="274">
        <v>1</v>
      </c>
      <c r="G27" s="274" t="s">
        <v>2818</v>
      </c>
      <c r="H27" s="274" t="s">
        <v>2881</v>
      </c>
      <c r="I27" s="274" t="s">
        <v>2862</v>
      </c>
      <c r="J27" s="281"/>
      <c r="K27" s="281"/>
      <c r="L27" s="281"/>
      <c r="M27" s="281"/>
    </row>
    <row r="28" spans="1:15" ht="15" thickBot="1" x14ac:dyDescent="0.35">
      <c r="A28" s="275" t="s">
        <v>2882</v>
      </c>
      <c r="B28" s="276"/>
      <c r="C28" s="276"/>
      <c r="D28" s="276"/>
      <c r="E28" s="276"/>
      <c r="F28" s="276"/>
      <c r="G28" s="276"/>
      <c r="H28" s="276"/>
      <c r="I28" s="276"/>
      <c r="J28" s="281"/>
      <c r="K28" s="281"/>
      <c r="L28" s="281"/>
      <c r="M28" s="281"/>
    </row>
    <row r="29" spans="1:15" ht="29.4" thickBot="1" x14ac:dyDescent="0.35">
      <c r="A29" s="273" t="s">
        <v>2883</v>
      </c>
      <c r="B29" s="274" t="s">
        <v>2884</v>
      </c>
      <c r="C29" s="274" t="s">
        <v>2856</v>
      </c>
      <c r="D29" s="277" t="s">
        <v>2984</v>
      </c>
      <c r="E29" s="274" t="s">
        <v>2836</v>
      </c>
      <c r="F29" s="278" t="s">
        <v>2837</v>
      </c>
      <c r="G29" s="274" t="s">
        <v>2818</v>
      </c>
      <c r="H29" s="274"/>
      <c r="I29" s="274" t="s">
        <v>2833</v>
      </c>
      <c r="J29" s="281"/>
      <c r="K29" s="281"/>
      <c r="L29" s="281"/>
      <c r="M29" s="281"/>
    </row>
    <row r="30" spans="1:15" ht="29.4" thickBot="1" x14ac:dyDescent="0.35">
      <c r="A30" s="273" t="s">
        <v>2885</v>
      </c>
      <c r="B30" s="274" t="s">
        <v>2886</v>
      </c>
      <c r="C30" s="274" t="s">
        <v>2860</v>
      </c>
      <c r="D30" s="277" t="s">
        <v>2984</v>
      </c>
      <c r="E30" s="274" t="s">
        <v>2836</v>
      </c>
      <c r="F30" s="278" t="s">
        <v>2837</v>
      </c>
      <c r="G30" s="274" t="s">
        <v>2818</v>
      </c>
      <c r="H30" s="274" t="s">
        <v>2887</v>
      </c>
      <c r="I30" s="274" t="s">
        <v>2833</v>
      </c>
      <c r="J30" s="281"/>
      <c r="K30" s="281"/>
      <c r="L30" s="281"/>
      <c r="M30" s="281"/>
      <c r="N30" s="285"/>
      <c r="O30" s="39"/>
    </row>
    <row r="31" spans="1:15" ht="43.8" thickBot="1" x14ac:dyDescent="0.35">
      <c r="A31" s="273" t="s">
        <v>2888</v>
      </c>
      <c r="B31" s="274" t="s">
        <v>2889</v>
      </c>
      <c r="C31" s="274" t="s">
        <v>2835</v>
      </c>
      <c r="D31" s="277" t="s">
        <v>2984</v>
      </c>
      <c r="E31" s="274" t="s">
        <v>2836</v>
      </c>
      <c r="F31" s="278" t="s">
        <v>2837</v>
      </c>
      <c r="G31" s="274" t="s">
        <v>2818</v>
      </c>
      <c r="H31" s="274"/>
      <c r="I31" s="274" t="s">
        <v>2833</v>
      </c>
      <c r="J31" s="281"/>
      <c r="K31" s="281"/>
      <c r="L31" s="281"/>
      <c r="M31" s="281"/>
      <c r="N31" s="285"/>
      <c r="O31" s="39"/>
    </row>
    <row r="32" spans="1:15" ht="15" thickBot="1" x14ac:dyDescent="0.35">
      <c r="A32" s="275" t="s">
        <v>2890</v>
      </c>
      <c r="B32" s="276"/>
      <c r="C32" s="276"/>
      <c r="D32" s="276"/>
      <c r="E32" s="276"/>
      <c r="F32" s="276"/>
      <c r="G32" s="276"/>
      <c r="H32" s="276"/>
      <c r="I32" s="276"/>
      <c r="J32" s="281"/>
      <c r="K32" s="281"/>
      <c r="L32" s="281"/>
      <c r="M32" s="281"/>
    </row>
    <row r="33" spans="1:13" ht="15" thickBot="1" x14ac:dyDescent="0.35">
      <c r="A33" s="273" t="s">
        <v>2891</v>
      </c>
      <c r="B33" s="274" t="s">
        <v>2892</v>
      </c>
      <c r="C33" s="274" t="s">
        <v>2893</v>
      </c>
      <c r="D33" s="274">
        <v>1</v>
      </c>
      <c r="E33" s="274" t="s">
        <v>2831</v>
      </c>
      <c r="F33" s="274">
        <v>3</v>
      </c>
      <c r="G33" s="274" t="s">
        <v>2818</v>
      </c>
      <c r="H33" s="274" t="s">
        <v>2844</v>
      </c>
      <c r="I33" s="274" t="s">
        <v>2833</v>
      </c>
      <c r="J33" s="281"/>
      <c r="K33" s="281"/>
      <c r="L33" s="281"/>
      <c r="M33" s="281"/>
    </row>
    <row r="34" spans="1:13" ht="29.4" thickBot="1" x14ac:dyDescent="0.35">
      <c r="A34" s="273"/>
      <c r="B34" s="274"/>
      <c r="C34" s="274"/>
      <c r="D34" s="274">
        <v>3</v>
      </c>
      <c r="E34" s="274" t="s">
        <v>2831</v>
      </c>
      <c r="F34" s="274">
        <v>5</v>
      </c>
      <c r="G34" s="274" t="s">
        <v>2818</v>
      </c>
      <c r="H34" s="274" t="s">
        <v>2844</v>
      </c>
      <c r="I34" s="274" t="s">
        <v>2846</v>
      </c>
      <c r="J34" s="281"/>
      <c r="K34" s="281"/>
      <c r="L34" s="281"/>
      <c r="M34" s="281"/>
    </row>
    <row r="35" spans="1:13" ht="15" thickBot="1" x14ac:dyDescent="0.35">
      <c r="A35" s="273" t="s">
        <v>2894</v>
      </c>
      <c r="B35" s="274" t="s">
        <v>2892</v>
      </c>
      <c r="C35" s="274" t="s">
        <v>2895</v>
      </c>
      <c r="D35" s="274">
        <v>1</v>
      </c>
      <c r="E35" s="274" t="s">
        <v>2831</v>
      </c>
      <c r="F35" s="274">
        <v>3</v>
      </c>
      <c r="G35" s="274" t="s">
        <v>2818</v>
      </c>
      <c r="H35" s="274" t="s">
        <v>2844</v>
      </c>
      <c r="I35" s="274" t="s">
        <v>2833</v>
      </c>
      <c r="J35" s="281"/>
      <c r="K35" s="281"/>
      <c r="L35" s="281"/>
      <c r="M35" s="281"/>
    </row>
    <row r="36" spans="1:13" ht="29.4" thickBot="1" x14ac:dyDescent="0.35">
      <c r="A36" s="273"/>
      <c r="B36" s="274"/>
      <c r="C36" s="274"/>
      <c r="D36" s="274">
        <v>3</v>
      </c>
      <c r="E36" s="274" t="s">
        <v>2831</v>
      </c>
      <c r="F36" s="274">
        <v>5</v>
      </c>
      <c r="G36" s="274" t="s">
        <v>2818</v>
      </c>
      <c r="H36" s="274" t="s">
        <v>2844</v>
      </c>
      <c r="I36" s="274" t="s">
        <v>2846</v>
      </c>
      <c r="J36" s="281"/>
      <c r="K36" s="281"/>
      <c r="L36" s="281"/>
      <c r="M36" s="281"/>
    </row>
    <row r="37" spans="1:13" ht="29.4" thickBot="1" x14ac:dyDescent="0.35">
      <c r="A37" s="273" t="s">
        <v>2896</v>
      </c>
      <c r="B37" s="274" t="s">
        <v>2897</v>
      </c>
      <c r="C37" s="274" t="s">
        <v>2898</v>
      </c>
      <c r="D37" s="277" t="s">
        <v>2984</v>
      </c>
      <c r="E37" s="274" t="s">
        <v>2824</v>
      </c>
      <c r="F37" s="274">
        <v>1</v>
      </c>
      <c r="G37" s="274" t="s">
        <v>2818</v>
      </c>
      <c r="H37" s="274" t="s">
        <v>2899</v>
      </c>
      <c r="I37" s="274" t="s">
        <v>2833</v>
      </c>
      <c r="J37" s="281"/>
      <c r="K37" s="281"/>
      <c r="L37" s="281"/>
      <c r="M37" s="281"/>
    </row>
    <row r="38" spans="1:13" ht="29.4" thickBot="1" x14ac:dyDescent="0.35">
      <c r="A38" s="273" t="s">
        <v>2900</v>
      </c>
      <c r="B38" s="274" t="s">
        <v>2897</v>
      </c>
      <c r="C38" s="274" t="s">
        <v>2898</v>
      </c>
      <c r="D38" s="277" t="s">
        <v>2984</v>
      </c>
      <c r="E38" s="274" t="s">
        <v>2824</v>
      </c>
      <c r="F38" s="274">
        <v>1</v>
      </c>
      <c r="G38" s="274" t="s">
        <v>2818</v>
      </c>
      <c r="H38" s="274" t="s">
        <v>2899</v>
      </c>
      <c r="I38" s="274" t="s">
        <v>2833</v>
      </c>
      <c r="J38" s="281"/>
      <c r="K38" s="281"/>
      <c r="L38" s="281"/>
      <c r="M38" s="281"/>
    </row>
    <row r="39" spans="1:13" ht="15" thickBot="1" x14ac:dyDescent="0.35">
      <c r="A39" s="273" t="s">
        <v>2901</v>
      </c>
      <c r="B39" s="274" t="s">
        <v>2902</v>
      </c>
      <c r="C39" s="274" t="s">
        <v>2903</v>
      </c>
      <c r="D39" s="277" t="s">
        <v>2984</v>
      </c>
      <c r="E39" s="274" t="s">
        <v>2831</v>
      </c>
      <c r="F39" s="274">
        <v>1</v>
      </c>
      <c r="G39" s="274" t="s">
        <v>2818</v>
      </c>
      <c r="H39" s="274" t="s">
        <v>2904</v>
      </c>
      <c r="I39" s="274" t="s">
        <v>2833</v>
      </c>
      <c r="J39" s="281"/>
      <c r="K39" s="281"/>
      <c r="L39" s="281"/>
      <c r="M39" s="281"/>
    </row>
    <row r="40" spans="1:13" ht="29.4" thickBot="1" x14ac:dyDescent="0.35">
      <c r="A40" s="273" t="s">
        <v>2905</v>
      </c>
      <c r="B40" s="274" t="s">
        <v>2906</v>
      </c>
      <c r="C40" s="274" t="s">
        <v>2907</v>
      </c>
      <c r="D40" s="277" t="s">
        <v>2984</v>
      </c>
      <c r="E40" s="274" t="s">
        <v>2857</v>
      </c>
      <c r="F40" s="274">
        <v>1</v>
      </c>
      <c r="G40" s="274" t="s">
        <v>2818</v>
      </c>
      <c r="H40" s="274" t="s">
        <v>2904</v>
      </c>
      <c r="I40" s="274" t="s">
        <v>2833</v>
      </c>
      <c r="J40" s="281"/>
      <c r="K40" s="281"/>
      <c r="L40" s="281"/>
      <c r="M40" s="281"/>
    </row>
    <row r="41" spans="1:13" ht="29.4" thickBot="1" x14ac:dyDescent="0.35">
      <c r="A41" s="273" t="s">
        <v>2908</v>
      </c>
      <c r="B41" s="274" t="s">
        <v>2909</v>
      </c>
      <c r="C41" s="274" t="s">
        <v>2910</v>
      </c>
      <c r="D41" s="277" t="s">
        <v>2984</v>
      </c>
      <c r="E41" s="274" t="s">
        <v>2857</v>
      </c>
      <c r="F41" s="274">
        <v>1</v>
      </c>
      <c r="G41" s="274" t="s">
        <v>2818</v>
      </c>
      <c r="H41" s="274" t="s">
        <v>2911</v>
      </c>
      <c r="I41" s="274" t="s">
        <v>2833</v>
      </c>
      <c r="J41" s="281"/>
      <c r="K41" s="281"/>
      <c r="L41" s="281"/>
      <c r="M41" s="281"/>
    </row>
    <row r="42" spans="1:13" ht="15" thickBot="1" x14ac:dyDescent="0.35">
      <c r="A42" s="273" t="s">
        <v>2912</v>
      </c>
      <c r="B42" s="274" t="s">
        <v>1559</v>
      </c>
      <c r="C42" s="274" t="s">
        <v>2913</v>
      </c>
      <c r="D42" s="274">
        <v>2</v>
      </c>
      <c r="E42" s="274" t="s">
        <v>2824</v>
      </c>
      <c r="F42" s="274">
        <v>1</v>
      </c>
      <c r="G42" s="274" t="s">
        <v>2818</v>
      </c>
      <c r="H42" s="274" t="s">
        <v>2914</v>
      </c>
      <c r="I42" s="274" t="s">
        <v>2833</v>
      </c>
      <c r="J42" s="281"/>
      <c r="K42" s="281"/>
      <c r="L42" s="281"/>
      <c r="M42" s="281"/>
    </row>
    <row r="43" spans="1:13" ht="15" thickBot="1" x14ac:dyDescent="0.35">
      <c r="A43" s="273" t="s">
        <v>2915</v>
      </c>
      <c r="B43" s="274" t="s">
        <v>1559</v>
      </c>
      <c r="C43" s="274" t="s">
        <v>2916</v>
      </c>
      <c r="D43" s="274">
        <v>2</v>
      </c>
      <c r="E43" s="274" t="s">
        <v>2824</v>
      </c>
      <c r="F43" s="274">
        <v>1</v>
      </c>
      <c r="G43" s="274" t="s">
        <v>2818</v>
      </c>
      <c r="H43" s="274" t="s">
        <v>2914</v>
      </c>
      <c r="I43" s="274" t="s">
        <v>2833</v>
      </c>
      <c r="J43" s="281"/>
      <c r="K43" s="281"/>
      <c r="L43" s="281"/>
      <c r="M43" s="281"/>
    </row>
    <row r="44" spans="1:13" ht="29.4" thickBot="1" x14ac:dyDescent="0.35">
      <c r="A44" s="273" t="s">
        <v>2917</v>
      </c>
      <c r="B44" s="274" t="s">
        <v>2918</v>
      </c>
      <c r="C44" s="274" t="s">
        <v>2919</v>
      </c>
      <c r="D44" s="277" t="s">
        <v>2984</v>
      </c>
      <c r="E44" s="274" t="s">
        <v>2836</v>
      </c>
      <c r="F44" s="274">
        <v>1</v>
      </c>
      <c r="G44" s="274" t="s">
        <v>2818</v>
      </c>
      <c r="H44" s="274" t="s">
        <v>2920</v>
      </c>
      <c r="I44" s="274" t="s">
        <v>2833</v>
      </c>
      <c r="J44" s="281"/>
      <c r="K44" s="281"/>
      <c r="L44" s="281"/>
      <c r="M44" s="281"/>
    </row>
    <row r="45" spans="1:13" ht="29.4" thickBot="1" x14ac:dyDescent="0.35">
      <c r="A45" s="273" t="s">
        <v>2921</v>
      </c>
      <c r="B45" s="274" t="s">
        <v>2918</v>
      </c>
      <c r="C45" s="274" t="s">
        <v>2919</v>
      </c>
      <c r="D45" s="277" t="s">
        <v>2984</v>
      </c>
      <c r="E45" s="274" t="s">
        <v>2836</v>
      </c>
      <c r="F45" s="274">
        <v>1</v>
      </c>
      <c r="G45" s="274" t="s">
        <v>2818</v>
      </c>
      <c r="H45" s="274" t="s">
        <v>2920</v>
      </c>
      <c r="I45" s="274" t="s">
        <v>2833</v>
      </c>
      <c r="J45" s="281"/>
      <c r="K45" s="281"/>
      <c r="L45" s="281"/>
      <c r="M45" s="281"/>
    </row>
    <row r="46" spans="1:13" ht="29.4" thickBot="1" x14ac:dyDescent="0.35">
      <c r="A46" s="273" t="s">
        <v>2922</v>
      </c>
      <c r="B46" s="274" t="s">
        <v>2923</v>
      </c>
      <c r="C46" s="274" t="s">
        <v>2924</v>
      </c>
      <c r="D46" s="277" t="s">
        <v>2984</v>
      </c>
      <c r="E46" s="274" t="s">
        <v>2836</v>
      </c>
      <c r="F46" s="278" t="s">
        <v>2837</v>
      </c>
      <c r="G46" s="274" t="s">
        <v>2818</v>
      </c>
      <c r="H46" s="274" t="s">
        <v>2925</v>
      </c>
      <c r="I46" s="274" t="s">
        <v>2833</v>
      </c>
      <c r="J46" s="281"/>
      <c r="K46" s="281"/>
      <c r="L46" s="281"/>
      <c r="M46" s="281"/>
    </row>
    <row r="47" spans="1:13" ht="15" thickBot="1" x14ac:dyDescent="0.35">
      <c r="A47" s="273" t="s">
        <v>2926</v>
      </c>
      <c r="B47" s="274" t="s">
        <v>2927</v>
      </c>
      <c r="C47" s="274" t="s">
        <v>2928</v>
      </c>
      <c r="D47" s="277" t="s">
        <v>2984</v>
      </c>
      <c r="E47" s="274" t="s">
        <v>2836</v>
      </c>
      <c r="F47" s="278" t="s">
        <v>2837</v>
      </c>
      <c r="G47" s="274" t="s">
        <v>2818</v>
      </c>
      <c r="H47" s="274"/>
      <c r="I47" s="274" t="s">
        <v>2833</v>
      </c>
      <c r="J47" s="281"/>
      <c r="K47" s="281"/>
      <c r="L47" s="281"/>
      <c r="M47" s="281"/>
    </row>
    <row r="48" spans="1:13" ht="29.4" thickBot="1" x14ac:dyDescent="0.35">
      <c r="A48" s="273"/>
      <c r="B48" s="274"/>
      <c r="C48" s="274"/>
      <c r="D48" s="274">
        <v>3</v>
      </c>
      <c r="E48" s="274" t="s">
        <v>2867</v>
      </c>
      <c r="F48" s="274">
        <v>1</v>
      </c>
      <c r="G48" s="274" t="s">
        <v>2818</v>
      </c>
      <c r="H48" s="274" t="s">
        <v>2929</v>
      </c>
      <c r="I48" s="274" t="s">
        <v>2930</v>
      </c>
      <c r="J48" s="281"/>
      <c r="K48" s="281"/>
      <c r="L48" s="281"/>
      <c r="M48" s="281"/>
    </row>
    <row r="49" spans="1:13" ht="15" thickBot="1" x14ac:dyDescent="0.35">
      <c r="A49" s="273"/>
      <c r="B49" s="274"/>
      <c r="C49" s="274"/>
      <c r="D49" s="274">
        <v>5</v>
      </c>
      <c r="E49" s="274" t="s">
        <v>2867</v>
      </c>
      <c r="F49" s="274">
        <v>4</v>
      </c>
      <c r="G49" s="274" t="s">
        <v>2818</v>
      </c>
      <c r="H49" s="274" t="s">
        <v>2931</v>
      </c>
      <c r="I49" s="274" t="s">
        <v>2871</v>
      </c>
      <c r="J49" s="281"/>
      <c r="K49" s="281"/>
      <c r="L49" s="281"/>
      <c r="M49" s="281"/>
    </row>
    <row r="50" spans="1:13" ht="29.4" thickBot="1" x14ac:dyDescent="0.35">
      <c r="A50" s="273" t="s">
        <v>2932</v>
      </c>
      <c r="B50" s="274" t="s">
        <v>2933</v>
      </c>
      <c r="C50" s="274" t="s">
        <v>2934</v>
      </c>
      <c r="D50" s="277" t="s">
        <v>2984</v>
      </c>
      <c r="E50" s="274" t="s">
        <v>2836</v>
      </c>
      <c r="F50" s="274">
        <v>1</v>
      </c>
      <c r="G50" s="274" t="s">
        <v>2818</v>
      </c>
      <c r="H50" s="274" t="s">
        <v>2877</v>
      </c>
      <c r="I50" s="274" t="s">
        <v>2833</v>
      </c>
      <c r="J50" s="281"/>
      <c r="K50" s="281"/>
      <c r="L50" s="281"/>
      <c r="M50" s="281"/>
    </row>
    <row r="51" spans="1:13" ht="29.4" thickBot="1" x14ac:dyDescent="0.35">
      <c r="A51" s="273" t="s">
        <v>2935</v>
      </c>
      <c r="B51" s="274" t="s">
        <v>2936</v>
      </c>
      <c r="C51" s="274" t="s">
        <v>2937</v>
      </c>
      <c r="D51" s="277" t="s">
        <v>2984</v>
      </c>
      <c r="E51" s="274" t="s">
        <v>2836</v>
      </c>
      <c r="F51" s="274">
        <v>1</v>
      </c>
      <c r="G51" s="274" t="s">
        <v>2818</v>
      </c>
      <c r="H51" s="274" t="s">
        <v>2938</v>
      </c>
      <c r="I51" s="274" t="s">
        <v>2833</v>
      </c>
      <c r="J51" s="281"/>
      <c r="K51" s="281"/>
      <c r="L51" s="281"/>
      <c r="M51" s="281"/>
    </row>
    <row r="52" spans="1:13" ht="15" thickBot="1" x14ac:dyDescent="0.35">
      <c r="A52" s="273"/>
      <c r="B52" s="274"/>
      <c r="C52" s="274"/>
      <c r="D52" s="274"/>
      <c r="E52" s="274"/>
      <c r="F52" s="274"/>
      <c r="G52" s="274"/>
      <c r="H52" s="274"/>
      <c r="I52" s="274"/>
      <c r="J52" s="281"/>
      <c r="K52" s="281"/>
      <c r="L52" s="281"/>
      <c r="M52" s="281"/>
    </row>
    <row r="53" spans="1:13" ht="15" thickBot="1" x14ac:dyDescent="0.35">
      <c r="A53" s="275" t="s">
        <v>2939</v>
      </c>
      <c r="B53" s="276"/>
      <c r="C53" s="276"/>
      <c r="D53" s="276"/>
      <c r="E53" s="276"/>
      <c r="F53" s="276"/>
      <c r="G53" s="276"/>
      <c r="H53" s="276"/>
      <c r="I53" s="276"/>
      <c r="J53" s="281"/>
      <c r="K53" s="281"/>
      <c r="L53" s="281"/>
      <c r="M53" s="281"/>
    </row>
    <row r="54" spans="1:13" ht="15" thickBot="1" x14ac:dyDescent="0.35">
      <c r="A54" s="273" t="s">
        <v>2940</v>
      </c>
      <c r="B54" s="274" t="s">
        <v>1512</v>
      </c>
      <c r="C54" s="274" t="s">
        <v>2941</v>
      </c>
      <c r="D54" s="279" t="s">
        <v>2985</v>
      </c>
      <c r="E54" s="274" t="s">
        <v>2857</v>
      </c>
      <c r="F54" s="274">
        <v>2</v>
      </c>
      <c r="G54" s="274" t="s">
        <v>2942</v>
      </c>
      <c r="H54" s="274" t="s">
        <v>2943</v>
      </c>
      <c r="I54" s="274" t="s">
        <v>2944</v>
      </c>
      <c r="J54" s="281"/>
      <c r="K54" s="281"/>
      <c r="L54" s="281"/>
      <c r="M54" s="281"/>
    </row>
    <row r="55" spans="1:13" ht="15" thickBot="1" x14ac:dyDescent="0.35">
      <c r="A55" s="273"/>
      <c r="B55" s="274"/>
      <c r="C55" s="274"/>
      <c r="D55" s="279" t="s">
        <v>2986</v>
      </c>
      <c r="E55" s="274" t="s">
        <v>2857</v>
      </c>
      <c r="F55" s="274">
        <v>2</v>
      </c>
      <c r="G55" s="274" t="s">
        <v>2942</v>
      </c>
      <c r="H55" s="274" t="s">
        <v>2943</v>
      </c>
      <c r="I55" s="274" t="s">
        <v>2944</v>
      </c>
      <c r="J55" s="281"/>
      <c r="K55" s="281"/>
      <c r="L55" s="281"/>
      <c r="M55" s="281"/>
    </row>
    <row r="56" spans="1:13" ht="15" thickBot="1" x14ac:dyDescent="0.35">
      <c r="A56" s="273"/>
      <c r="B56" s="274"/>
      <c r="C56" s="274"/>
      <c r="D56" s="274">
        <v>1</v>
      </c>
      <c r="E56" s="274" t="s">
        <v>2945</v>
      </c>
      <c r="F56" s="274">
        <v>5</v>
      </c>
      <c r="G56" s="274" t="s">
        <v>2818</v>
      </c>
      <c r="H56" s="274" t="s">
        <v>2943</v>
      </c>
      <c r="I56" s="274" t="s">
        <v>2946</v>
      </c>
      <c r="J56" s="281"/>
      <c r="K56" s="281"/>
      <c r="L56" s="281"/>
      <c r="M56" s="281"/>
    </row>
    <row r="57" spans="1:13" ht="43.8" thickBot="1" x14ac:dyDescent="0.35">
      <c r="A57" s="273"/>
      <c r="B57" s="274"/>
      <c r="C57" s="274"/>
      <c r="D57" s="274">
        <v>1</v>
      </c>
      <c r="E57" s="274" t="s">
        <v>2947</v>
      </c>
      <c r="F57" s="274">
        <v>5</v>
      </c>
      <c r="G57" s="274" t="s">
        <v>2818</v>
      </c>
      <c r="H57" s="274" t="s">
        <v>2943</v>
      </c>
      <c r="I57" s="274" t="s">
        <v>2948</v>
      </c>
      <c r="J57" s="281"/>
      <c r="K57" s="281"/>
      <c r="L57" s="281"/>
      <c r="M57" s="281"/>
    </row>
    <row r="58" spans="1:13" ht="15" thickBot="1" x14ac:dyDescent="0.35">
      <c r="A58" s="273"/>
      <c r="B58" s="274"/>
      <c r="C58" s="274"/>
      <c r="D58" s="274">
        <v>1</v>
      </c>
      <c r="E58" s="274" t="s">
        <v>2949</v>
      </c>
      <c r="F58" s="274">
        <v>10</v>
      </c>
      <c r="G58" s="274" t="s">
        <v>2818</v>
      </c>
      <c r="H58" s="274" t="s">
        <v>2943</v>
      </c>
      <c r="I58" s="274" t="s">
        <v>2950</v>
      </c>
      <c r="J58" s="281"/>
      <c r="K58" s="281"/>
      <c r="L58" s="281"/>
      <c r="M58" s="281"/>
    </row>
    <row r="59" spans="1:13" ht="15" thickBot="1" x14ac:dyDescent="0.35">
      <c r="A59" s="273" t="s">
        <v>2951</v>
      </c>
      <c r="B59" s="274" t="s">
        <v>2952</v>
      </c>
      <c r="C59" s="274" t="s">
        <v>2924</v>
      </c>
      <c r="D59" s="277" t="s">
        <v>2984</v>
      </c>
      <c r="E59" s="274" t="s">
        <v>2831</v>
      </c>
      <c r="F59" s="274">
        <v>1</v>
      </c>
      <c r="G59" s="274" t="s">
        <v>2818</v>
      </c>
      <c r="H59" s="274" t="s">
        <v>2953</v>
      </c>
      <c r="I59" s="274" t="s">
        <v>2833</v>
      </c>
      <c r="J59" s="281"/>
      <c r="K59" s="281"/>
      <c r="L59" s="281"/>
      <c r="M59" s="281"/>
    </row>
    <row r="60" spans="1:13" ht="29.4" thickBot="1" x14ac:dyDescent="0.35">
      <c r="A60" s="273" t="s">
        <v>2954</v>
      </c>
      <c r="B60" s="274" t="s">
        <v>2955</v>
      </c>
      <c r="C60" s="274" t="s">
        <v>2924</v>
      </c>
      <c r="D60" s="277" t="s">
        <v>2984</v>
      </c>
      <c r="E60" s="274" t="s">
        <v>2831</v>
      </c>
      <c r="F60" s="274">
        <v>1</v>
      </c>
      <c r="G60" s="274" t="s">
        <v>2818</v>
      </c>
      <c r="H60" s="274" t="s">
        <v>2953</v>
      </c>
      <c r="I60" s="274" t="s">
        <v>2833</v>
      </c>
      <c r="J60" s="281"/>
      <c r="K60" s="281"/>
      <c r="L60" s="281"/>
      <c r="M60" s="281"/>
    </row>
    <row r="61" spans="1:13" ht="29.4" thickBot="1" x14ac:dyDescent="0.35">
      <c r="A61" s="273" t="s">
        <v>2956</v>
      </c>
      <c r="B61" s="274" t="s">
        <v>2957</v>
      </c>
      <c r="C61" s="274" t="s">
        <v>2958</v>
      </c>
      <c r="D61" s="278" t="s">
        <v>2959</v>
      </c>
      <c r="E61" s="274" t="s">
        <v>2857</v>
      </c>
      <c r="F61" s="274">
        <v>4</v>
      </c>
      <c r="G61" s="274" t="s">
        <v>2818</v>
      </c>
      <c r="H61" s="274" t="s">
        <v>2960</v>
      </c>
      <c r="I61" s="274" t="s">
        <v>2833</v>
      </c>
      <c r="J61" s="281"/>
      <c r="K61" s="281"/>
      <c r="L61" s="281"/>
      <c r="M61" s="281"/>
    </row>
    <row r="62" spans="1:13" ht="15" thickBot="1" x14ac:dyDescent="0.35">
      <c r="A62" s="273"/>
      <c r="B62" s="274"/>
      <c r="C62" s="274"/>
      <c r="D62" s="278" t="s">
        <v>1504</v>
      </c>
      <c r="E62" s="274" t="s">
        <v>2867</v>
      </c>
      <c r="F62" s="274">
        <v>6</v>
      </c>
      <c r="G62" s="274" t="s">
        <v>2818</v>
      </c>
      <c r="H62" s="274" t="s">
        <v>2960</v>
      </c>
      <c r="I62" s="274" t="s">
        <v>2961</v>
      </c>
      <c r="J62" s="281"/>
      <c r="K62" s="281"/>
      <c r="L62" s="281"/>
      <c r="M62" s="281"/>
    </row>
    <row r="63" spans="1:13" ht="29.4" thickBot="1" x14ac:dyDescent="0.35">
      <c r="A63" s="273"/>
      <c r="B63" s="274"/>
      <c r="C63" s="274"/>
      <c r="D63" s="278" t="s">
        <v>2962</v>
      </c>
      <c r="E63" s="274" t="s">
        <v>2857</v>
      </c>
      <c r="F63" s="274">
        <v>1</v>
      </c>
      <c r="G63" s="274" t="s">
        <v>2942</v>
      </c>
      <c r="H63" s="274" t="s">
        <v>2960</v>
      </c>
      <c r="I63" s="274" t="s">
        <v>2963</v>
      </c>
      <c r="J63" s="281"/>
      <c r="K63" s="281"/>
      <c r="L63" s="281"/>
      <c r="M63" s="281"/>
    </row>
    <row r="64" spans="1:13" ht="29.4" thickBot="1" x14ac:dyDescent="0.35">
      <c r="A64" s="273"/>
      <c r="B64" s="274"/>
      <c r="C64" s="274"/>
      <c r="D64" s="278" t="s">
        <v>2964</v>
      </c>
      <c r="E64" s="274" t="s">
        <v>2965</v>
      </c>
      <c r="F64" s="274">
        <v>24</v>
      </c>
      <c r="G64" s="274" t="s">
        <v>2818</v>
      </c>
      <c r="H64" s="274" t="s">
        <v>2960</v>
      </c>
      <c r="I64" s="274" t="s">
        <v>2966</v>
      </c>
      <c r="J64" s="281"/>
      <c r="K64" s="281"/>
      <c r="L64" s="281"/>
      <c r="M64" s="281"/>
    </row>
    <row r="65" spans="1:13" ht="15" thickBot="1" x14ac:dyDescent="0.35">
      <c r="A65" s="273"/>
      <c r="B65" s="274"/>
      <c r="C65" s="274"/>
      <c r="D65" s="278" t="s">
        <v>2967</v>
      </c>
      <c r="E65" s="274" t="s">
        <v>2965</v>
      </c>
      <c r="F65" s="274">
        <v>24</v>
      </c>
      <c r="G65" s="274" t="s">
        <v>2818</v>
      </c>
      <c r="H65" s="274" t="s">
        <v>2960</v>
      </c>
      <c r="I65" s="274" t="s">
        <v>2968</v>
      </c>
      <c r="J65" s="281"/>
      <c r="K65" s="281"/>
      <c r="L65" s="281"/>
      <c r="M65" s="281"/>
    </row>
    <row r="66" spans="1:13" ht="29.4" thickBot="1" x14ac:dyDescent="0.35">
      <c r="A66" s="273" t="s">
        <v>2969</v>
      </c>
      <c r="B66" s="274" t="s">
        <v>2970</v>
      </c>
      <c r="C66" s="274" t="s">
        <v>2928</v>
      </c>
      <c r="D66" s="277" t="s">
        <v>2984</v>
      </c>
      <c r="E66" s="274" t="s">
        <v>2836</v>
      </c>
      <c r="F66" s="278" t="s">
        <v>2837</v>
      </c>
      <c r="G66" s="274" t="s">
        <v>2818</v>
      </c>
      <c r="H66" s="274" t="s">
        <v>2971</v>
      </c>
      <c r="I66" s="274" t="s">
        <v>2833</v>
      </c>
      <c r="J66" s="281"/>
      <c r="K66" s="281"/>
      <c r="L66" s="281"/>
      <c r="M66" s="281"/>
    </row>
    <row r="67" spans="1:13" ht="15" thickBot="1" x14ac:dyDescent="0.35">
      <c r="A67" s="273"/>
      <c r="B67" s="274"/>
      <c r="C67" s="274"/>
      <c r="D67" s="274">
        <v>3</v>
      </c>
      <c r="E67" s="274" t="s">
        <v>2867</v>
      </c>
      <c r="F67" s="274">
        <v>1</v>
      </c>
      <c r="G67" s="274" t="s">
        <v>2818</v>
      </c>
      <c r="H67" s="274" t="s">
        <v>2971</v>
      </c>
      <c r="I67" s="274" t="s">
        <v>2871</v>
      </c>
      <c r="J67" s="281"/>
      <c r="K67" s="281"/>
      <c r="L67" s="281"/>
      <c r="M67" s="281"/>
    </row>
    <row r="68" spans="1:13" ht="15" thickBot="1" x14ac:dyDescent="0.35">
      <c r="A68" s="273"/>
      <c r="B68" s="274"/>
      <c r="C68" s="274"/>
      <c r="D68" s="274">
        <v>5</v>
      </c>
      <c r="E68" s="274" t="s">
        <v>2867</v>
      </c>
      <c r="F68" s="274">
        <v>4</v>
      </c>
      <c r="G68" s="274" t="s">
        <v>2818</v>
      </c>
      <c r="H68" s="274" t="s">
        <v>2972</v>
      </c>
      <c r="I68" s="274" t="s">
        <v>2973</v>
      </c>
      <c r="J68" s="281"/>
      <c r="K68" s="281"/>
      <c r="L68" s="281"/>
      <c r="M68" s="281"/>
    </row>
    <row r="69" spans="1:13" ht="15" thickBot="1" x14ac:dyDescent="0.35">
      <c r="A69" s="275" t="s">
        <v>2974</v>
      </c>
      <c r="B69" s="276"/>
      <c r="C69" s="276"/>
      <c r="D69" s="276"/>
      <c r="E69" s="276"/>
      <c r="F69" s="276"/>
      <c r="G69" s="276"/>
      <c r="H69" s="276"/>
      <c r="I69" s="276"/>
      <c r="J69" s="281"/>
      <c r="K69" s="281"/>
      <c r="L69" s="281"/>
      <c r="M69" s="281"/>
    </row>
    <row r="70" spans="1:13" ht="29.4" thickBot="1" x14ac:dyDescent="0.35">
      <c r="A70" s="273" t="s">
        <v>2975</v>
      </c>
      <c r="B70" s="274" t="s">
        <v>2897</v>
      </c>
      <c r="C70" s="274" t="s">
        <v>2898</v>
      </c>
      <c r="D70" s="277" t="s">
        <v>2984</v>
      </c>
      <c r="E70" s="274" t="s">
        <v>2831</v>
      </c>
      <c r="F70" s="274">
        <v>3</v>
      </c>
      <c r="G70" s="274" t="s">
        <v>2976</v>
      </c>
      <c r="H70" s="274" t="s">
        <v>2844</v>
      </c>
      <c r="I70" s="274" t="s">
        <v>2833</v>
      </c>
      <c r="J70" s="281"/>
      <c r="K70" s="281"/>
      <c r="L70" s="281"/>
      <c r="M70" s="281"/>
    </row>
    <row r="71" spans="1:13" ht="29.4" thickBot="1" x14ac:dyDescent="0.35">
      <c r="A71" s="273"/>
      <c r="B71" s="274"/>
      <c r="C71" s="274"/>
      <c r="D71" s="274">
        <v>3</v>
      </c>
      <c r="E71" s="274" t="s">
        <v>2831</v>
      </c>
      <c r="F71" s="274">
        <v>5</v>
      </c>
      <c r="G71" s="274" t="s">
        <v>2976</v>
      </c>
      <c r="H71" s="274" t="s">
        <v>2844</v>
      </c>
      <c r="I71" s="274" t="s">
        <v>2846</v>
      </c>
      <c r="J71" s="281"/>
      <c r="K71" s="281"/>
      <c r="L71" s="281"/>
      <c r="M71" s="281"/>
    </row>
    <row r="72" spans="1:13" ht="29.4" thickBot="1" x14ac:dyDescent="0.35">
      <c r="A72" s="273" t="s">
        <v>2977</v>
      </c>
      <c r="B72" s="274" t="s">
        <v>2978</v>
      </c>
      <c r="C72" s="274" t="s">
        <v>2910</v>
      </c>
      <c r="D72" s="277" t="s">
        <v>2984</v>
      </c>
      <c r="E72" s="274" t="s">
        <v>2857</v>
      </c>
      <c r="F72" s="274">
        <v>1</v>
      </c>
      <c r="G72" s="274" t="s">
        <v>2976</v>
      </c>
      <c r="H72" s="274" t="s">
        <v>2979</v>
      </c>
      <c r="I72" s="274" t="s">
        <v>2833</v>
      </c>
      <c r="J72" s="281"/>
      <c r="K72" s="281"/>
      <c r="L72" s="281"/>
      <c r="M72" s="281"/>
    </row>
    <row r="73" spans="1:13" ht="43.8" thickBot="1" x14ac:dyDescent="0.35">
      <c r="A73" s="273" t="s">
        <v>2980</v>
      </c>
      <c r="B73" s="274" t="s">
        <v>2981</v>
      </c>
      <c r="C73" s="274" t="s">
        <v>2982</v>
      </c>
      <c r="D73" s="277" t="s">
        <v>2984</v>
      </c>
      <c r="E73" s="274" t="s">
        <v>2836</v>
      </c>
      <c r="F73" s="278" t="s">
        <v>2837</v>
      </c>
      <c r="G73" s="274" t="s">
        <v>2976</v>
      </c>
      <c r="H73" s="274" t="s">
        <v>2983</v>
      </c>
      <c r="I73" s="274" t="s">
        <v>2833</v>
      </c>
      <c r="J73" s="281"/>
      <c r="K73" s="281"/>
      <c r="L73" s="281"/>
      <c r="M73" s="281"/>
    </row>
    <row r="74" spans="1:13" ht="15" thickBot="1" x14ac:dyDescent="0.35">
      <c r="A74" s="275"/>
      <c r="B74" s="275"/>
      <c r="C74" s="275"/>
      <c r="D74" s="275"/>
      <c r="E74" s="275"/>
      <c r="F74" s="275"/>
      <c r="G74" s="275"/>
      <c r="H74" s="275"/>
      <c r="I74" s="275"/>
    </row>
    <row r="75" spans="1:13" ht="29.4" thickBot="1" x14ac:dyDescent="0.35">
      <c r="A75" s="286" t="s">
        <v>2996</v>
      </c>
      <c r="B75" s="287"/>
      <c r="C75" s="287" t="s">
        <v>2997</v>
      </c>
      <c r="D75" s="288"/>
      <c r="E75" s="287"/>
      <c r="F75" s="287"/>
      <c r="G75" s="287" t="s">
        <v>2998</v>
      </c>
      <c r="H75" s="287"/>
      <c r="I75" s="287"/>
    </row>
    <row r="76" spans="1:13" ht="29.4" thickBot="1" x14ac:dyDescent="0.35">
      <c r="A76" s="273"/>
      <c r="B76" s="274"/>
      <c r="C76" s="274"/>
      <c r="D76" s="289" t="s">
        <v>3035</v>
      </c>
      <c r="E76" s="274" t="s">
        <v>1101</v>
      </c>
      <c r="F76" s="274">
        <v>1</v>
      </c>
      <c r="G76" s="274" t="s">
        <v>2942</v>
      </c>
      <c r="H76" s="274" t="s">
        <v>2999</v>
      </c>
      <c r="I76" s="274" t="s">
        <v>3000</v>
      </c>
    </row>
    <row r="77" spans="1:13" ht="29.4" thickBot="1" x14ac:dyDescent="0.35">
      <c r="A77" s="273"/>
      <c r="B77" s="274"/>
      <c r="C77" s="274"/>
      <c r="D77" s="279" t="s">
        <v>2985</v>
      </c>
      <c r="E77" s="274" t="s">
        <v>3001</v>
      </c>
      <c r="F77" s="274">
        <v>2</v>
      </c>
      <c r="G77" s="274" t="s">
        <v>2942</v>
      </c>
      <c r="H77" s="274" t="s">
        <v>3002</v>
      </c>
      <c r="I77" s="274" t="s">
        <v>3003</v>
      </c>
    </row>
    <row r="78" spans="1:13" ht="15" thickBot="1" x14ac:dyDescent="0.35">
      <c r="A78" s="273"/>
      <c r="B78" s="274"/>
      <c r="C78" s="274"/>
      <c r="D78" s="279" t="s">
        <v>2986</v>
      </c>
      <c r="E78" s="274" t="s">
        <v>3001</v>
      </c>
      <c r="F78" s="274">
        <v>3</v>
      </c>
      <c r="G78" s="274" t="s">
        <v>2942</v>
      </c>
      <c r="H78" s="274" t="s">
        <v>3004</v>
      </c>
      <c r="I78" s="274" t="s">
        <v>3005</v>
      </c>
    </row>
    <row r="79" spans="1:13" ht="15" thickBot="1" x14ac:dyDescent="0.35">
      <c r="A79" s="273"/>
      <c r="B79" s="274"/>
      <c r="C79" s="274"/>
      <c r="D79" s="279" t="s">
        <v>2986</v>
      </c>
      <c r="E79" s="274" t="s">
        <v>3001</v>
      </c>
      <c r="F79" s="274">
        <v>3</v>
      </c>
      <c r="G79" s="274" t="s">
        <v>2942</v>
      </c>
      <c r="H79" s="274" t="s">
        <v>3006</v>
      </c>
      <c r="I79" s="274" t="s">
        <v>3007</v>
      </c>
    </row>
    <row r="80" spans="1:13" ht="15" thickBot="1" x14ac:dyDescent="0.35">
      <c r="A80" s="273"/>
      <c r="B80" s="274"/>
      <c r="C80" s="274"/>
      <c r="D80" s="279" t="s">
        <v>2986</v>
      </c>
      <c r="E80" s="274" t="s">
        <v>3001</v>
      </c>
      <c r="F80" s="274">
        <v>1</v>
      </c>
      <c r="G80" s="274" t="s">
        <v>2942</v>
      </c>
      <c r="H80" s="274" t="s">
        <v>3008</v>
      </c>
      <c r="I80" s="274" t="s">
        <v>3009</v>
      </c>
    </row>
    <row r="81" spans="1:9" ht="15" thickBot="1" x14ac:dyDescent="0.35">
      <c r="A81" s="273"/>
      <c r="B81" s="274"/>
      <c r="C81" s="274"/>
      <c r="D81" s="278">
        <v>1</v>
      </c>
      <c r="E81" s="274" t="s">
        <v>3001</v>
      </c>
      <c r="F81" s="274">
        <v>4</v>
      </c>
      <c r="G81" s="274" t="s">
        <v>2942</v>
      </c>
      <c r="H81" s="274" t="s">
        <v>3010</v>
      </c>
      <c r="I81" s="274" t="s">
        <v>3011</v>
      </c>
    </row>
    <row r="82" spans="1:9" ht="15" thickBot="1" x14ac:dyDescent="0.35">
      <c r="A82" s="273"/>
      <c r="B82" s="274"/>
      <c r="C82" s="274"/>
      <c r="D82" s="278">
        <v>1</v>
      </c>
      <c r="E82" s="274" t="s">
        <v>3001</v>
      </c>
      <c r="F82" s="274">
        <v>3</v>
      </c>
      <c r="G82" s="274" t="s">
        <v>2942</v>
      </c>
      <c r="H82" s="274" t="s">
        <v>3012</v>
      </c>
      <c r="I82" s="274" t="s">
        <v>3013</v>
      </c>
    </row>
    <row r="83" spans="1:9" ht="15" thickBot="1" x14ac:dyDescent="0.35">
      <c r="A83" s="273"/>
      <c r="B83" s="274"/>
      <c r="C83" s="274"/>
      <c r="D83" s="278">
        <v>1</v>
      </c>
      <c r="E83" s="274" t="s">
        <v>3001</v>
      </c>
      <c r="F83" s="274">
        <v>4</v>
      </c>
      <c r="G83" s="274" t="s">
        <v>2942</v>
      </c>
      <c r="H83" s="274" t="s">
        <v>3014</v>
      </c>
      <c r="I83" s="274" t="s">
        <v>3015</v>
      </c>
    </row>
    <row r="84" spans="1:9" ht="15" thickBot="1" x14ac:dyDescent="0.35">
      <c r="A84" s="273"/>
      <c r="B84" s="274"/>
      <c r="C84" s="274"/>
      <c r="D84" s="278">
        <v>3</v>
      </c>
      <c r="E84" s="274" t="s">
        <v>3001</v>
      </c>
      <c r="F84" s="274">
        <v>5</v>
      </c>
      <c r="G84" s="274" t="s">
        <v>2942</v>
      </c>
      <c r="H84" s="274" t="s">
        <v>3016</v>
      </c>
      <c r="I84" s="274" t="s">
        <v>3017</v>
      </c>
    </row>
    <row r="85" spans="1:9" ht="15" thickBot="1" x14ac:dyDescent="0.35">
      <c r="A85" s="273"/>
      <c r="B85" s="274"/>
      <c r="C85" s="274"/>
      <c r="D85" s="278">
        <v>3</v>
      </c>
      <c r="E85" s="274" t="s">
        <v>3001</v>
      </c>
      <c r="F85" s="274">
        <v>5</v>
      </c>
      <c r="G85" s="274" t="s">
        <v>2942</v>
      </c>
      <c r="H85" s="274" t="s">
        <v>3018</v>
      </c>
      <c r="I85" s="274" t="s">
        <v>3019</v>
      </c>
    </row>
    <row r="86" spans="1:9" ht="15" thickBot="1" x14ac:dyDescent="0.35">
      <c r="A86" s="273"/>
      <c r="B86" s="274"/>
      <c r="C86" s="274"/>
      <c r="D86" s="278">
        <v>1</v>
      </c>
      <c r="E86" s="274" t="s">
        <v>3001</v>
      </c>
      <c r="F86" s="274">
        <v>5</v>
      </c>
      <c r="G86" s="274" t="s">
        <v>2942</v>
      </c>
      <c r="H86" s="274" t="s">
        <v>3020</v>
      </c>
      <c r="I86" s="274" t="s">
        <v>3021</v>
      </c>
    </row>
    <row r="87" spans="1:9" ht="15" thickBot="1" x14ac:dyDescent="0.35">
      <c r="A87" s="273" t="s">
        <v>3022</v>
      </c>
      <c r="B87" s="274"/>
      <c r="C87" s="274"/>
      <c r="D87" s="279" t="s">
        <v>2985</v>
      </c>
      <c r="E87" s="274" t="s">
        <v>2836</v>
      </c>
      <c r="F87" s="274">
        <v>1</v>
      </c>
      <c r="G87" s="274" t="s">
        <v>2942</v>
      </c>
      <c r="H87" s="274" t="s">
        <v>3023</v>
      </c>
      <c r="I87" s="274" t="s">
        <v>3024</v>
      </c>
    </row>
    <row r="88" spans="1:9" ht="15" thickBot="1" x14ac:dyDescent="0.35">
      <c r="A88" s="273"/>
      <c r="B88" s="274"/>
      <c r="C88" s="274"/>
      <c r="D88" s="278">
        <v>1</v>
      </c>
      <c r="E88" s="274" t="s">
        <v>2836</v>
      </c>
      <c r="F88" s="274">
        <v>1</v>
      </c>
      <c r="G88" s="274" t="s">
        <v>2942</v>
      </c>
      <c r="H88" s="274"/>
      <c r="I88" s="274" t="s">
        <v>3025</v>
      </c>
    </row>
    <row r="89" spans="1:9" ht="15" thickBot="1" x14ac:dyDescent="0.35">
      <c r="A89" s="273"/>
      <c r="B89" s="274"/>
      <c r="C89" s="274"/>
      <c r="D89" s="278">
        <v>1</v>
      </c>
      <c r="E89" s="274" t="s">
        <v>2836</v>
      </c>
      <c r="F89" s="274">
        <v>3</v>
      </c>
      <c r="G89" s="274" t="s">
        <v>2942</v>
      </c>
      <c r="H89" s="274"/>
      <c r="I89" s="274" t="s">
        <v>3026</v>
      </c>
    </row>
    <row r="90" spans="1:9" ht="15" thickBot="1" x14ac:dyDescent="0.35">
      <c r="A90" s="273"/>
      <c r="B90" s="274"/>
      <c r="C90" s="274"/>
      <c r="D90" s="278">
        <v>1</v>
      </c>
      <c r="E90" s="274" t="s">
        <v>2836</v>
      </c>
      <c r="F90" s="274">
        <v>3</v>
      </c>
      <c r="G90" s="274" t="s">
        <v>2942</v>
      </c>
      <c r="H90" s="274"/>
      <c r="I90" s="274" t="s">
        <v>3027</v>
      </c>
    </row>
    <row r="91" spans="1:9" ht="15" thickBot="1" x14ac:dyDescent="0.35">
      <c r="A91" s="273" t="s">
        <v>3028</v>
      </c>
      <c r="B91" s="274"/>
      <c r="C91" s="274"/>
      <c r="D91" s="279" t="s">
        <v>2985</v>
      </c>
      <c r="E91" s="274" t="s">
        <v>2836</v>
      </c>
      <c r="F91" s="274">
        <v>1</v>
      </c>
      <c r="G91" s="274" t="s">
        <v>2942</v>
      </c>
      <c r="H91" s="274"/>
      <c r="I91" s="274" t="s">
        <v>2833</v>
      </c>
    </row>
    <row r="92" spans="1:9" ht="15" thickBot="1" x14ac:dyDescent="0.35">
      <c r="A92" s="273" t="s">
        <v>3029</v>
      </c>
      <c r="B92" s="274"/>
      <c r="C92" s="274"/>
      <c r="D92" s="279" t="s">
        <v>2985</v>
      </c>
      <c r="E92" s="274" t="s">
        <v>2836</v>
      </c>
      <c r="F92" s="274">
        <v>1</v>
      </c>
      <c r="G92" s="274" t="s">
        <v>2942</v>
      </c>
      <c r="H92" s="274"/>
      <c r="I92" s="274" t="s">
        <v>2833</v>
      </c>
    </row>
    <row r="93" spans="1:9" ht="15" thickBot="1" x14ac:dyDescent="0.35">
      <c r="A93" s="273" t="s">
        <v>3030</v>
      </c>
      <c r="B93" s="274"/>
      <c r="C93" s="274"/>
      <c r="D93" s="278">
        <v>1</v>
      </c>
      <c r="E93" s="274" t="s">
        <v>2836</v>
      </c>
      <c r="F93" s="274">
        <v>1</v>
      </c>
      <c r="G93" s="274" t="s">
        <v>2942</v>
      </c>
      <c r="H93" s="274"/>
      <c r="I93" s="274" t="s">
        <v>2833</v>
      </c>
    </row>
    <row r="94" spans="1:9" ht="15" thickBot="1" x14ac:dyDescent="0.35">
      <c r="A94" s="273" t="s">
        <v>3031</v>
      </c>
      <c r="B94" s="274"/>
      <c r="C94" s="274"/>
      <c r="D94" s="278">
        <v>1</v>
      </c>
      <c r="E94" s="274" t="s">
        <v>2824</v>
      </c>
      <c r="F94" s="274">
        <v>3</v>
      </c>
      <c r="G94" s="274" t="s">
        <v>2942</v>
      </c>
      <c r="H94" s="274"/>
      <c r="I94" s="274" t="s">
        <v>3032</v>
      </c>
    </row>
    <row r="95" spans="1:9" ht="29.4" thickBot="1" x14ac:dyDescent="0.35">
      <c r="A95" s="273" t="s">
        <v>3033</v>
      </c>
      <c r="B95" s="274"/>
      <c r="C95" s="274"/>
      <c r="D95" s="289" t="s">
        <v>3035</v>
      </c>
      <c r="E95" s="274" t="s">
        <v>2836</v>
      </c>
      <c r="F95" s="278" t="s">
        <v>2837</v>
      </c>
      <c r="G95" s="274" t="s">
        <v>2942</v>
      </c>
      <c r="H95" s="274"/>
      <c r="I95" s="274" t="s">
        <v>3034</v>
      </c>
    </row>
    <row r="98" spans="1:3" x14ac:dyDescent="0.3">
      <c r="A98" s="317" t="s">
        <v>2696</v>
      </c>
    </row>
    <row r="99" spans="1:3" x14ac:dyDescent="0.3">
      <c r="A99" s="319" t="s">
        <v>3235</v>
      </c>
      <c r="B99" s="319" t="s">
        <v>3236</v>
      </c>
      <c r="C99" s="318" t="s">
        <v>3237</v>
      </c>
    </row>
    <row r="100" spans="1:3" x14ac:dyDescent="0.3">
      <c r="A100" s="319" t="s">
        <v>3238</v>
      </c>
      <c r="B100" s="319" t="s">
        <v>3239</v>
      </c>
      <c r="C100" s="318" t="s">
        <v>3240</v>
      </c>
    </row>
    <row r="101" spans="1:3" ht="28.8" x14ac:dyDescent="0.3">
      <c r="A101" s="319" t="s">
        <v>3241</v>
      </c>
      <c r="B101" s="319" t="s">
        <v>3242</v>
      </c>
      <c r="C101" s="318" t="s">
        <v>3243</v>
      </c>
    </row>
    <row r="102" spans="1:3" x14ac:dyDescent="0.3">
      <c r="A102" s="319" t="s">
        <v>3244</v>
      </c>
      <c r="B102" s="319" t="s">
        <v>3245</v>
      </c>
      <c r="C102" s="318" t="s">
        <v>3246</v>
      </c>
    </row>
    <row r="103" spans="1:3" x14ac:dyDescent="0.3">
      <c r="A103" s="319" t="s">
        <v>1101</v>
      </c>
      <c r="B103" s="319" t="s">
        <v>3247</v>
      </c>
      <c r="C103" s="318" t="s">
        <v>3248</v>
      </c>
    </row>
    <row r="104" spans="1:3" x14ac:dyDescent="0.3">
      <c r="A104" s="319" t="s">
        <v>2836</v>
      </c>
      <c r="B104" s="319" t="s">
        <v>3249</v>
      </c>
      <c r="C104" s="318" t="s">
        <v>3250</v>
      </c>
    </row>
    <row r="105" spans="1:3" x14ac:dyDescent="0.3">
      <c r="A105" s="319" t="s">
        <v>2824</v>
      </c>
      <c r="B105" s="319" t="s">
        <v>3251</v>
      </c>
      <c r="C105" s="318" t="s">
        <v>3252</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F59"/>
  <sheetViews>
    <sheetView workbookViewId="0"/>
  </sheetViews>
  <sheetFormatPr defaultRowHeight="14.4" x14ac:dyDescent="0.3"/>
  <cols>
    <col min="1" max="1" width="21" customWidth="1"/>
    <col min="2" max="2" width="14.44140625" customWidth="1"/>
    <col min="4" max="4" width="14.6640625" customWidth="1"/>
  </cols>
  <sheetData>
    <row r="1" spans="1:6" s="301" customFormat="1" ht="15" x14ac:dyDescent="0.25">
      <c r="B1" s="301" t="str">
        <f ca="1">UPPER(RIGHT(CELL("filename",A1),LEN(CELL("filename",A1))-FIND("]",CELL("filename",A1))))</f>
        <v>BYRON BAY TREES</v>
      </c>
    </row>
    <row r="2" spans="1:6" s="301" customFormat="1" ht="15" x14ac:dyDescent="0.25">
      <c r="A2" s="167" t="s">
        <v>3454</v>
      </c>
    </row>
    <row r="3" spans="1:6" ht="18.75" x14ac:dyDescent="0.3">
      <c r="A3" s="164" t="s">
        <v>2212</v>
      </c>
    </row>
    <row r="5" spans="1:6" ht="15" x14ac:dyDescent="0.25">
      <c r="A5" s="157" t="s">
        <v>1992</v>
      </c>
      <c r="B5" s="157"/>
      <c r="C5" s="157"/>
      <c r="D5" s="157"/>
      <c r="E5" s="157"/>
      <c r="F5" s="157"/>
    </row>
    <row r="6" spans="1:6" ht="15" x14ac:dyDescent="0.25">
      <c r="A6" t="s">
        <v>3515</v>
      </c>
    </row>
    <row r="7" spans="1:6" ht="15" x14ac:dyDescent="0.25">
      <c r="A7" t="s">
        <v>3516</v>
      </c>
    </row>
    <row r="8" spans="1:6" ht="15" x14ac:dyDescent="0.25">
      <c r="A8" t="s">
        <v>2098</v>
      </c>
    </row>
    <row r="9" spans="1:6" ht="15" x14ac:dyDescent="0.25">
      <c r="A9" t="s">
        <v>2099</v>
      </c>
    </row>
    <row r="13" spans="1:6" ht="30" x14ac:dyDescent="0.25">
      <c r="A13" t="s">
        <v>2038</v>
      </c>
      <c r="C13" t="s">
        <v>1736</v>
      </c>
      <c r="D13" s="70" t="s">
        <v>2033</v>
      </c>
      <c r="E13" t="s">
        <v>2028</v>
      </c>
    </row>
    <row r="14" spans="1:6" ht="15" x14ac:dyDescent="0.25">
      <c r="A14">
        <v>4407</v>
      </c>
      <c r="B14" s="5">
        <v>41676</v>
      </c>
      <c r="C14">
        <v>5.5</v>
      </c>
      <c r="D14" s="90">
        <v>532.4</v>
      </c>
    </row>
    <row r="15" spans="1:6" ht="15" x14ac:dyDescent="0.25">
      <c r="A15">
        <v>4385</v>
      </c>
      <c r="B15" s="5">
        <v>41669</v>
      </c>
      <c r="C15">
        <v>5</v>
      </c>
      <c r="D15" s="90">
        <v>484</v>
      </c>
      <c r="E15" t="s">
        <v>2030</v>
      </c>
    </row>
    <row r="16" spans="1:6" ht="15" x14ac:dyDescent="0.25">
      <c r="A16">
        <v>4370</v>
      </c>
      <c r="B16" s="5">
        <v>41669</v>
      </c>
      <c r="C16">
        <v>124.5</v>
      </c>
      <c r="D16" s="90">
        <v>10555.6</v>
      </c>
      <c r="E16" t="s">
        <v>2029</v>
      </c>
    </row>
    <row r="17" spans="1:5" ht="15" x14ac:dyDescent="0.25">
      <c r="A17">
        <v>4361</v>
      </c>
      <c r="B17" s="5">
        <v>41627</v>
      </c>
      <c r="C17">
        <v>20.5</v>
      </c>
      <c r="D17" s="90">
        <v>1852.4</v>
      </c>
    </row>
    <row r="18" spans="1:5" ht="15" x14ac:dyDescent="0.25">
      <c r="A18">
        <v>4355</v>
      </c>
      <c r="B18" s="5">
        <v>41648</v>
      </c>
      <c r="C18">
        <v>106</v>
      </c>
      <c r="D18" s="90">
        <v>8727.4</v>
      </c>
    </row>
    <row r="19" spans="1:5" ht="15" x14ac:dyDescent="0.25">
      <c r="A19">
        <v>4324</v>
      </c>
      <c r="B19" s="5">
        <v>41606</v>
      </c>
      <c r="C19">
        <v>5</v>
      </c>
      <c r="D19" s="90">
        <v>484</v>
      </c>
      <c r="E19" t="s">
        <v>2030</v>
      </c>
    </row>
    <row r="20" spans="1:5" ht="15" x14ac:dyDescent="0.25">
      <c r="A20">
        <v>4263</v>
      </c>
      <c r="B20" s="5">
        <v>41605</v>
      </c>
      <c r="C20" s="6">
        <v>196.75</v>
      </c>
      <c r="D20" s="90">
        <v>16709.55</v>
      </c>
    </row>
    <row r="21" spans="1:5" ht="15" x14ac:dyDescent="0.25">
      <c r="A21">
        <v>4236</v>
      </c>
      <c r="B21" s="5">
        <v>41571</v>
      </c>
      <c r="C21" s="6">
        <v>68.25</v>
      </c>
      <c r="D21" s="90">
        <v>5855.85</v>
      </c>
    </row>
    <row r="22" spans="1:5" ht="15" x14ac:dyDescent="0.25">
      <c r="A22">
        <v>4219</v>
      </c>
      <c r="B22" s="5">
        <v>41543</v>
      </c>
      <c r="C22" s="6">
        <v>14.5</v>
      </c>
      <c r="D22" s="90">
        <v>1276</v>
      </c>
      <c r="E22" t="s">
        <v>2031</v>
      </c>
    </row>
    <row r="23" spans="1:5" ht="15" x14ac:dyDescent="0.25">
      <c r="A23">
        <v>4185</v>
      </c>
      <c r="B23" s="5">
        <v>41508</v>
      </c>
      <c r="C23" s="6">
        <v>4</v>
      </c>
      <c r="D23" s="90">
        <v>352</v>
      </c>
      <c r="E23" t="s">
        <v>2032</v>
      </c>
    </row>
    <row r="24" spans="1:5" ht="15" x14ac:dyDescent="0.25">
      <c r="A24">
        <v>4121</v>
      </c>
      <c r="B24" s="5">
        <v>41465</v>
      </c>
      <c r="C24" s="6">
        <v>24</v>
      </c>
      <c r="D24" s="90">
        <v>1883.2</v>
      </c>
      <c r="E24" t="s">
        <v>2034</v>
      </c>
    </row>
    <row r="25" spans="1:5" ht="15" x14ac:dyDescent="0.25">
      <c r="A25">
        <v>4091</v>
      </c>
      <c r="B25" s="5">
        <v>41438</v>
      </c>
      <c r="C25" s="6">
        <v>32</v>
      </c>
      <c r="D25" s="90">
        <v>2855.6</v>
      </c>
      <c r="E25" t="s">
        <v>2035</v>
      </c>
    </row>
    <row r="26" spans="1:5" ht="15" x14ac:dyDescent="0.25">
      <c r="A26">
        <v>4080</v>
      </c>
      <c r="B26" s="5">
        <v>41431</v>
      </c>
      <c r="C26" s="6">
        <v>44.75</v>
      </c>
      <c r="D26" s="90">
        <v>6329.68</v>
      </c>
    </row>
    <row r="27" spans="1:5" ht="15" x14ac:dyDescent="0.25">
      <c r="A27">
        <v>4047</v>
      </c>
      <c r="B27" s="5">
        <v>41415</v>
      </c>
      <c r="C27" s="6">
        <v>18</v>
      </c>
      <c r="D27" s="90">
        <v>1584</v>
      </c>
    </row>
    <row r="28" spans="1:5" ht="15" x14ac:dyDescent="0.25">
      <c r="A28">
        <v>4040</v>
      </c>
      <c r="B28" s="5">
        <v>41415</v>
      </c>
      <c r="C28" s="6">
        <v>14</v>
      </c>
      <c r="D28" s="90">
        <v>1232</v>
      </c>
    </row>
    <row r="29" spans="1:5" ht="15" x14ac:dyDescent="0.25">
      <c r="A29">
        <v>4016</v>
      </c>
      <c r="B29" s="5">
        <v>41403</v>
      </c>
      <c r="C29" s="6">
        <v>7.5</v>
      </c>
      <c r="D29" s="90">
        <v>726</v>
      </c>
      <c r="E29" t="s">
        <v>2032</v>
      </c>
    </row>
    <row r="30" spans="1:5" x14ac:dyDescent="0.3">
      <c r="A30">
        <v>3020</v>
      </c>
      <c r="B30" s="5">
        <v>41359</v>
      </c>
      <c r="C30" s="6">
        <v>19.5</v>
      </c>
      <c r="D30" s="90">
        <v>1716</v>
      </c>
      <c r="E30" t="s">
        <v>2036</v>
      </c>
    </row>
    <row r="31" spans="1:5" x14ac:dyDescent="0.3">
      <c r="A31">
        <v>2980</v>
      </c>
      <c r="B31" s="5">
        <v>41310</v>
      </c>
      <c r="C31" s="6">
        <v>42.25</v>
      </c>
      <c r="D31" s="90">
        <v>3394.05</v>
      </c>
    </row>
    <row r="33" spans="1:6" x14ac:dyDescent="0.3">
      <c r="A33" s="108" t="s">
        <v>2039</v>
      </c>
      <c r="B33" s="108"/>
      <c r="C33" s="108">
        <f>SUM(C15:C31)</f>
        <v>746.5</v>
      </c>
      <c r="D33" s="302">
        <f>SUM(D15:D31)/1.1</f>
        <v>60015.754545454532</v>
      </c>
      <c r="E33" s="108" t="s">
        <v>2037</v>
      </c>
    </row>
    <row r="35" spans="1:6" s="301" customFormat="1" x14ac:dyDescent="0.3">
      <c r="A35" s="301" t="s">
        <v>3156</v>
      </c>
      <c r="D35" s="90">
        <f>SUM(D14:D24)+343.2</f>
        <v>49055.599999999991</v>
      </c>
      <c r="F35" s="301" t="s">
        <v>3157</v>
      </c>
    </row>
    <row r="36" spans="1:6" s="301" customFormat="1" x14ac:dyDescent="0.3">
      <c r="A36" s="301" t="s">
        <v>3152</v>
      </c>
      <c r="D36" s="90">
        <f>D35*12/7</f>
        <v>84095.314285714281</v>
      </c>
      <c r="E36" s="301" t="s">
        <v>1757</v>
      </c>
      <c r="F36" s="301" t="s">
        <v>3153</v>
      </c>
    </row>
    <row r="37" spans="1:6" s="301" customFormat="1" x14ac:dyDescent="0.3">
      <c r="D37" s="33">
        <v>3000</v>
      </c>
      <c r="E37" s="301" t="s">
        <v>1757</v>
      </c>
      <c r="F37" s="301" t="s">
        <v>3154</v>
      </c>
    </row>
    <row r="38" spans="1:6" s="301" customFormat="1" x14ac:dyDescent="0.3">
      <c r="A38" s="89" t="s">
        <v>3155</v>
      </c>
      <c r="B38" s="89"/>
      <c r="C38" s="89"/>
      <c r="D38" s="303">
        <f>D36+D37</f>
        <v>87095.314285714281</v>
      </c>
      <c r="E38" s="89" t="s">
        <v>1757</v>
      </c>
      <c r="F38" s="301" t="s">
        <v>3158</v>
      </c>
    </row>
    <row r="39" spans="1:6" x14ac:dyDescent="0.3">
      <c r="A39" s="301"/>
      <c r="B39" s="301"/>
      <c r="C39" s="99"/>
      <c r="D39" s="301"/>
      <c r="E39" s="301"/>
    </row>
    <row r="40" spans="1:6" s="301" customFormat="1" x14ac:dyDescent="0.3">
      <c r="A40"/>
      <c r="B40"/>
      <c r="C40"/>
      <c r="D40"/>
      <c r="E40"/>
    </row>
    <row r="41" spans="1:6" x14ac:dyDescent="0.3">
      <c r="B41" s="33"/>
    </row>
    <row r="42" spans="1:6" x14ac:dyDescent="0.3">
      <c r="A42" t="s">
        <v>2044</v>
      </c>
      <c r="D42" t="s">
        <v>2043</v>
      </c>
    </row>
    <row r="43" spans="1:6" x14ac:dyDescent="0.3">
      <c r="A43">
        <v>2346</v>
      </c>
      <c r="B43" s="5">
        <v>40773</v>
      </c>
      <c r="D43" s="90">
        <v>5822.85</v>
      </c>
    </row>
    <row r="44" spans="1:6" x14ac:dyDescent="0.3">
      <c r="A44">
        <v>2385</v>
      </c>
      <c r="B44" s="5">
        <v>40814</v>
      </c>
      <c r="D44" s="90">
        <v>11572</v>
      </c>
    </row>
    <row r="45" spans="1:6" x14ac:dyDescent="0.3">
      <c r="A45">
        <v>2431</v>
      </c>
      <c r="B45" s="5">
        <v>40834</v>
      </c>
      <c r="D45" s="90">
        <v>8046.5</v>
      </c>
      <c r="E45" t="s">
        <v>2041</v>
      </c>
    </row>
    <row r="46" spans="1:6" x14ac:dyDescent="0.3">
      <c r="A46">
        <v>2472</v>
      </c>
      <c r="B46" s="5">
        <v>40885</v>
      </c>
      <c r="D46" s="90">
        <v>726</v>
      </c>
    </row>
    <row r="47" spans="1:6" x14ac:dyDescent="0.3">
      <c r="A47">
        <v>2502</v>
      </c>
      <c r="B47" s="5">
        <v>40892</v>
      </c>
      <c r="D47" s="90">
        <v>4228.3999999999996</v>
      </c>
    </row>
    <row r="48" spans="1:6" x14ac:dyDescent="0.3">
      <c r="A48">
        <v>2518</v>
      </c>
      <c r="B48" s="5">
        <v>40927</v>
      </c>
      <c r="D48" s="90">
        <v>528</v>
      </c>
      <c r="E48" t="s">
        <v>2040</v>
      </c>
    </row>
    <row r="49" spans="1:5" x14ac:dyDescent="0.3">
      <c r="A49">
        <v>2548</v>
      </c>
      <c r="B49" s="5">
        <v>40953</v>
      </c>
      <c r="D49" s="90">
        <v>2329.8000000000002</v>
      </c>
    </row>
    <row r="50" spans="1:5" x14ac:dyDescent="0.3">
      <c r="A50">
        <v>2576</v>
      </c>
      <c r="B50" s="5">
        <v>40974</v>
      </c>
      <c r="D50" s="90">
        <v>528</v>
      </c>
      <c r="E50" t="s">
        <v>2040</v>
      </c>
    </row>
    <row r="51" spans="1:5" x14ac:dyDescent="0.3">
      <c r="A51">
        <v>2590</v>
      </c>
      <c r="B51" s="5">
        <v>40981</v>
      </c>
      <c r="D51" s="90">
        <v>616</v>
      </c>
    </row>
    <row r="52" spans="1:5" x14ac:dyDescent="0.3">
      <c r="A52">
        <v>2623</v>
      </c>
      <c r="B52" s="5">
        <v>41011</v>
      </c>
      <c r="D52" s="90">
        <v>748</v>
      </c>
      <c r="E52" t="s">
        <v>2042</v>
      </c>
    </row>
    <row r="53" spans="1:5" x14ac:dyDescent="0.3">
      <c r="A53">
        <v>2636</v>
      </c>
      <c r="B53" s="5">
        <v>41018</v>
      </c>
      <c r="D53" s="90">
        <v>792</v>
      </c>
    </row>
    <row r="54" spans="1:5" x14ac:dyDescent="0.3">
      <c r="A54">
        <v>2651</v>
      </c>
      <c r="B54" s="5">
        <v>41030</v>
      </c>
      <c r="D54" s="90">
        <v>4004</v>
      </c>
    </row>
    <row r="55" spans="1:5" x14ac:dyDescent="0.3">
      <c r="A55">
        <v>2672</v>
      </c>
      <c r="B55" s="5">
        <v>41051</v>
      </c>
      <c r="D55" s="90">
        <v>1408</v>
      </c>
    </row>
    <row r="56" spans="1:5" x14ac:dyDescent="0.3">
      <c r="A56">
        <v>2717</v>
      </c>
      <c r="B56" s="5">
        <v>41079</v>
      </c>
      <c r="D56" s="90">
        <v>1540</v>
      </c>
    </row>
    <row r="57" spans="1:5" x14ac:dyDescent="0.3">
      <c r="A57">
        <v>2758</v>
      </c>
      <c r="B57" s="5">
        <v>41109</v>
      </c>
      <c r="D57" s="90">
        <v>7700</v>
      </c>
    </row>
    <row r="59" spans="1:5" x14ac:dyDescent="0.3">
      <c r="A59" s="10" t="s">
        <v>2039</v>
      </c>
      <c r="B59" s="10"/>
      <c r="C59" s="10"/>
      <c r="D59" s="80">
        <f>SUM(D43:D57)/1.1</f>
        <v>45990.5</v>
      </c>
      <c r="E59" s="10" t="s">
        <v>2037</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8C800"/>
    <pageSetUpPr fitToPage="1"/>
  </sheetPr>
  <dimension ref="A1:I60"/>
  <sheetViews>
    <sheetView workbookViewId="0"/>
  </sheetViews>
  <sheetFormatPr defaultRowHeight="14.4" x14ac:dyDescent="0.3"/>
  <cols>
    <col min="1" max="1" width="28.6640625" customWidth="1"/>
    <col min="2" max="2" width="37.109375" customWidth="1"/>
    <col min="3" max="3" width="59.88671875" customWidth="1"/>
    <col min="4" max="4" width="53.88671875" customWidth="1"/>
  </cols>
  <sheetData>
    <row r="1" spans="1:9" ht="15" x14ac:dyDescent="0.25">
      <c r="A1" t="s">
        <v>1642</v>
      </c>
      <c r="B1" t="s">
        <v>2321</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D6" si="0">D55</f>
        <v>18425.291237377693</v>
      </c>
      <c r="E3" s="33">
        <f>E55</f>
        <v>3505.3538192307692</v>
      </c>
      <c r="F3" s="33">
        <f t="shared" ref="F3:I3" si="1">F55</f>
        <v>3592.9876647115384</v>
      </c>
      <c r="G3" s="33">
        <f t="shared" si="1"/>
        <v>3682.812356329327</v>
      </c>
      <c r="H3" s="33">
        <f t="shared" si="1"/>
        <v>3774.8826652375596</v>
      </c>
      <c r="I3" s="33">
        <f t="shared" si="1"/>
        <v>3869.2547318684983</v>
      </c>
    </row>
    <row r="4" spans="1:9" ht="15" x14ac:dyDescent="0.25">
      <c r="A4" t="s">
        <v>1643</v>
      </c>
      <c r="B4" s="33"/>
      <c r="C4" s="33"/>
      <c r="D4" s="33">
        <f t="shared" si="0"/>
        <v>0</v>
      </c>
      <c r="E4" s="33">
        <f t="shared" ref="E4:I4" si="2">E56</f>
        <v>0</v>
      </c>
      <c r="F4" s="33">
        <f t="shared" si="2"/>
        <v>0</v>
      </c>
      <c r="G4" s="33">
        <f t="shared" si="2"/>
        <v>0</v>
      </c>
      <c r="H4" s="33">
        <f t="shared" si="2"/>
        <v>0</v>
      </c>
      <c r="I4" s="33">
        <f t="shared" si="2"/>
        <v>0</v>
      </c>
    </row>
    <row r="5" spans="1:9" ht="15" x14ac:dyDescent="0.25">
      <c r="A5" t="s">
        <v>1649</v>
      </c>
      <c r="B5" s="33"/>
      <c r="C5" s="33"/>
      <c r="D5" s="33">
        <f t="shared" si="0"/>
        <v>118185.39287671875</v>
      </c>
      <c r="E5" s="33">
        <f t="shared" ref="E5:I5" si="3">E57</f>
        <v>22484.399999999998</v>
      </c>
      <c r="F5" s="33">
        <f t="shared" si="3"/>
        <v>23046.51</v>
      </c>
      <c r="G5" s="33">
        <f t="shared" si="3"/>
        <v>23622.672749999998</v>
      </c>
      <c r="H5" s="33">
        <f t="shared" si="3"/>
        <v>24213.239568749996</v>
      </c>
      <c r="I5" s="33">
        <f t="shared" si="3"/>
        <v>24818.570557968742</v>
      </c>
    </row>
    <row r="6" spans="1:9" ht="15" x14ac:dyDescent="0.25">
      <c r="A6" t="s">
        <v>1650</v>
      </c>
      <c r="B6" s="33"/>
      <c r="C6" s="33"/>
      <c r="D6" s="33">
        <f t="shared" si="0"/>
        <v>0</v>
      </c>
      <c r="E6" s="33">
        <f t="shared" ref="E6:I6" si="4">E58</f>
        <v>0</v>
      </c>
      <c r="F6" s="33">
        <f t="shared" si="4"/>
        <v>0</v>
      </c>
      <c r="G6" s="33">
        <f t="shared" si="4"/>
        <v>0</v>
      </c>
      <c r="H6" s="33">
        <f t="shared" si="4"/>
        <v>0</v>
      </c>
      <c r="I6" s="33">
        <f t="shared" si="4"/>
        <v>0</v>
      </c>
    </row>
    <row r="9" spans="1:9" ht="15" x14ac:dyDescent="0.25">
      <c r="A9" t="s">
        <v>1497</v>
      </c>
      <c r="B9" t="s">
        <v>1499</v>
      </c>
    </row>
    <row r="10" spans="1:9" ht="15" x14ac:dyDescent="0.25">
      <c r="A10" t="s">
        <v>1500</v>
      </c>
      <c r="B10" s="14" t="s">
        <v>3104</v>
      </c>
    </row>
    <row r="12" spans="1:9" ht="15" x14ac:dyDescent="0.25">
      <c r="A12" s="157" t="s">
        <v>1992</v>
      </c>
      <c r="B12" s="157"/>
      <c r="C12" s="157"/>
    </row>
    <row r="13" spans="1:9" ht="15" x14ac:dyDescent="0.25">
      <c r="A13" t="s">
        <v>2322</v>
      </c>
      <c r="B13" s="39"/>
      <c r="C13" s="39"/>
    </row>
    <row r="14" spans="1:9" ht="15" x14ac:dyDescent="0.25">
      <c r="A14" t="s">
        <v>3493</v>
      </c>
      <c r="B14" s="39"/>
      <c r="C14" s="39"/>
    </row>
    <row r="15" spans="1:9" ht="15" x14ac:dyDescent="0.25">
      <c r="A15" t="s">
        <v>3081</v>
      </c>
      <c r="B15" s="39"/>
      <c r="C15" s="39"/>
    </row>
    <row r="16" spans="1:9" ht="15" x14ac:dyDescent="0.25">
      <c r="A16" t="s">
        <v>2323</v>
      </c>
      <c r="B16" s="39"/>
      <c r="C16" s="39"/>
    </row>
    <row r="17" spans="1:3" ht="15" x14ac:dyDescent="0.25">
      <c r="A17" t="s">
        <v>3492</v>
      </c>
      <c r="B17" s="39"/>
      <c r="C17" s="39"/>
    </row>
    <row r="18" spans="1:3" ht="15" x14ac:dyDescent="0.25">
      <c r="B18" s="14" t="s">
        <v>2351</v>
      </c>
      <c r="C18" s="39"/>
    </row>
    <row r="19" spans="1:3" ht="15" x14ac:dyDescent="0.25">
      <c r="B19" s="14" t="s">
        <v>2352</v>
      </c>
      <c r="C19" s="39"/>
    </row>
    <row r="20" spans="1:3" ht="15" x14ac:dyDescent="0.25">
      <c r="B20" s="14" t="s">
        <v>2325</v>
      </c>
      <c r="C20" s="39"/>
    </row>
    <row r="21" spans="1:3" ht="15" x14ac:dyDescent="0.25">
      <c r="B21" s="14" t="s">
        <v>1790</v>
      </c>
      <c r="C21" s="39"/>
    </row>
    <row r="22" spans="1:3" ht="15" x14ac:dyDescent="0.25">
      <c r="B22" s="14" t="s">
        <v>2326</v>
      </c>
      <c r="C22" s="39"/>
    </row>
    <row r="23" spans="1:3" ht="15" x14ac:dyDescent="0.25">
      <c r="B23" s="14" t="s">
        <v>2353</v>
      </c>
      <c r="C23" s="39"/>
    </row>
    <row r="24" spans="1:3" ht="15" x14ac:dyDescent="0.25">
      <c r="A24" t="s">
        <v>2327</v>
      </c>
      <c r="B24" s="14"/>
      <c r="C24" s="39"/>
    </row>
    <row r="25" spans="1:3" ht="15" x14ac:dyDescent="0.25">
      <c r="A25" t="s">
        <v>3082</v>
      </c>
      <c r="B25" s="14"/>
      <c r="C25" s="39"/>
    </row>
    <row r="26" spans="1:3" ht="15" x14ac:dyDescent="0.25">
      <c r="A26" t="s">
        <v>3306</v>
      </c>
      <c r="B26" s="14"/>
      <c r="C26" s="39"/>
    </row>
    <row r="27" spans="1:3" ht="15" x14ac:dyDescent="0.25">
      <c r="A27" t="s">
        <v>3307</v>
      </c>
      <c r="B27" s="14"/>
      <c r="C27" s="39"/>
    </row>
    <row r="28" spans="1:3" ht="15" x14ac:dyDescent="0.25">
      <c r="B28" s="14"/>
      <c r="C28" s="39"/>
    </row>
    <row r="29" spans="1:3" ht="15" x14ac:dyDescent="0.25">
      <c r="A29" t="s">
        <v>2324</v>
      </c>
      <c r="B29" s="14"/>
      <c r="C29" s="39"/>
    </row>
    <row r="32" spans="1:3" x14ac:dyDescent="0.3">
      <c r="A32" t="s">
        <v>1682</v>
      </c>
    </row>
    <row r="33" spans="1:9" x14ac:dyDescent="0.3">
      <c r="B33" s="39" t="s">
        <v>1923</v>
      </c>
      <c r="C33" s="39">
        <v>6</v>
      </c>
    </row>
    <row r="34" spans="1:9" x14ac:dyDescent="0.3">
      <c r="A34" s="12" t="s">
        <v>1640</v>
      </c>
      <c r="B34" s="12"/>
      <c r="C34" s="12">
        <f>C33</f>
        <v>6</v>
      </c>
    </row>
    <row r="35" spans="1:9" x14ac:dyDescent="0.3">
      <c r="B35" s="39"/>
      <c r="C35" s="39"/>
    </row>
    <row r="36" spans="1:9" x14ac:dyDescent="0.3">
      <c r="B36" s="14"/>
      <c r="C36" s="39"/>
    </row>
    <row r="37" spans="1:9" x14ac:dyDescent="0.3">
      <c r="B37" s="14"/>
      <c r="C37" s="39"/>
      <c r="E37" s="30" t="str">
        <f>Summary!C4</f>
        <v>2015/16</v>
      </c>
      <c r="F37" s="30" t="str">
        <f>Summary!D4</f>
        <v>2016/17</v>
      </c>
      <c r="G37" s="30" t="str">
        <f>Summary!E4</f>
        <v>2017/18</v>
      </c>
      <c r="H37" s="30" t="str">
        <f>Summary!F4</f>
        <v>2018/19</v>
      </c>
      <c r="I37" s="30" t="str">
        <f>Summary!G4</f>
        <v>2019/20</v>
      </c>
    </row>
    <row r="38" spans="1:9" x14ac:dyDescent="0.3">
      <c r="A38" s="68" t="s">
        <v>1377</v>
      </c>
      <c r="B38" s="68" t="s">
        <v>47</v>
      </c>
      <c r="C38" s="45"/>
      <c r="D38" s="45"/>
      <c r="E38" s="68">
        <v>12</v>
      </c>
      <c r="F38" s="68">
        <v>12</v>
      </c>
      <c r="G38" s="68">
        <v>12</v>
      </c>
      <c r="H38" s="68">
        <v>12</v>
      </c>
      <c r="I38" s="68">
        <v>12</v>
      </c>
    </row>
    <row r="39" spans="1:9" x14ac:dyDescent="0.3">
      <c r="A39" s="8" t="s">
        <v>1646</v>
      </c>
      <c r="C39" s="39"/>
    </row>
    <row r="40" spans="1:9" x14ac:dyDescent="0.3">
      <c r="A40" s="14" t="s">
        <v>1658</v>
      </c>
      <c r="B40" s="67">
        <f>APATechnicianHours/C34 + '0000 (1)'!B34/12/C34</f>
        <v>0.26282051282051277</v>
      </c>
      <c r="C40" s="14" t="s">
        <v>3308</v>
      </c>
    </row>
    <row r="41" spans="1:9" x14ac:dyDescent="0.3">
      <c r="A41" s="14" t="s">
        <v>1997</v>
      </c>
      <c r="B41" s="67">
        <f>1/C34</f>
        <v>0.16666666666666666</v>
      </c>
      <c r="C41" s="14" t="s">
        <v>2000</v>
      </c>
    </row>
    <row r="42" spans="1:9" x14ac:dyDescent="0.3">
      <c r="A42" s="14" t="s">
        <v>1643</v>
      </c>
      <c r="B42" s="41">
        <v>0</v>
      </c>
      <c r="C42" s="14" t="s">
        <v>3085</v>
      </c>
    </row>
    <row r="43" spans="1:9" x14ac:dyDescent="0.3">
      <c r="A43" s="14"/>
      <c r="B43" s="41"/>
      <c r="C43" s="14"/>
    </row>
    <row r="44" spans="1:9" x14ac:dyDescent="0.3">
      <c r="A44" s="14"/>
      <c r="B44" s="57"/>
      <c r="C44" s="14"/>
    </row>
    <row r="45" spans="1:9" x14ac:dyDescent="0.3">
      <c r="A45" s="42" t="s">
        <v>1647</v>
      </c>
      <c r="B45" s="7"/>
      <c r="C45" s="14"/>
    </row>
    <row r="46" spans="1:9" x14ac:dyDescent="0.3">
      <c r="A46" s="14" t="s">
        <v>1656</v>
      </c>
      <c r="B46" s="7"/>
      <c r="C46" s="14"/>
    </row>
    <row r="47" spans="1:9" x14ac:dyDescent="0.3">
      <c r="A47" s="14" t="s">
        <v>1651</v>
      </c>
      <c r="B47" s="41"/>
      <c r="C47" s="14"/>
    </row>
    <row r="48" spans="1:9" x14ac:dyDescent="0.3">
      <c r="A48" s="14" t="s">
        <v>1649</v>
      </c>
      <c r="B48" s="40">
        <f>B51</f>
        <v>304.66666666666669</v>
      </c>
      <c r="C48" s="14" t="s">
        <v>3083</v>
      </c>
    </row>
    <row r="49" spans="1:9" x14ac:dyDescent="0.3">
      <c r="A49" s="14" t="s">
        <v>1650</v>
      </c>
      <c r="B49" s="41">
        <v>0</v>
      </c>
      <c r="C49" s="14"/>
    </row>
    <row r="50" spans="1:9" x14ac:dyDescent="0.3">
      <c r="A50" s="14"/>
      <c r="B50" s="41"/>
      <c r="C50" s="14"/>
    </row>
    <row r="51" spans="1:9" x14ac:dyDescent="0.3">
      <c r="A51" s="14" t="s">
        <v>2328</v>
      </c>
      <c r="B51" s="55">
        <f>3*'0000 (1)'!B40*'0000 (1)'!C15/C34</f>
        <v>304.66666666666669</v>
      </c>
      <c r="C51" s="14" t="s">
        <v>3084</v>
      </c>
    </row>
    <row r="52" spans="1:9" x14ac:dyDescent="0.3">
      <c r="A52" s="14"/>
      <c r="B52" s="41"/>
      <c r="C52" s="14"/>
    </row>
    <row r="53" spans="1:9" x14ac:dyDescent="0.3">
      <c r="A53" s="14"/>
      <c r="B53" s="41"/>
      <c r="C53" s="14"/>
    </row>
    <row r="54" spans="1:9" x14ac:dyDescent="0.3">
      <c r="A54" s="14"/>
      <c r="B54" s="46" t="s">
        <v>2712</v>
      </c>
      <c r="C54" s="46" t="s">
        <v>2718</v>
      </c>
      <c r="D54" s="30" t="s">
        <v>1655</v>
      </c>
      <c r="E54" s="30" t="str">
        <f>Summary!C4</f>
        <v>2015/16</v>
      </c>
      <c r="F54" s="30" t="str">
        <f>Summary!D4</f>
        <v>2016/17</v>
      </c>
      <c r="G54" s="30" t="str">
        <f>Summary!E4</f>
        <v>2017/18</v>
      </c>
      <c r="H54" s="30" t="str">
        <f>Summary!F4</f>
        <v>2018/19</v>
      </c>
      <c r="I54" s="30" t="str">
        <f>Summary!G4</f>
        <v>2019/20</v>
      </c>
    </row>
    <row r="55" spans="1:9" x14ac:dyDescent="0.3">
      <c r="A55" s="14" t="s">
        <v>1648</v>
      </c>
      <c r="B55" s="40">
        <f>B40*HourlyRateAPAMaintenanceStaff+B41*HourlyRateAPAOMSupervisor</f>
        <v>47.498019230769231</v>
      </c>
      <c r="C55" s="40">
        <f>B55*$C$34</f>
        <v>284.98811538461541</v>
      </c>
      <c r="D55" s="40">
        <f>SUM(E55:I55)</f>
        <v>18425.291237377693</v>
      </c>
      <c r="E55" s="40">
        <f>$C55*E$38*'Modelling Assumptions'!E$101</f>
        <v>3505.3538192307692</v>
      </c>
      <c r="F55" s="40">
        <f>$C55*F$38*'Modelling Assumptions'!F$101</f>
        <v>3592.9876647115384</v>
      </c>
      <c r="G55" s="40">
        <f>$C55*G$38*'Modelling Assumptions'!G$101</f>
        <v>3682.812356329327</v>
      </c>
      <c r="H55" s="40">
        <f>$C55*H$38*'Modelling Assumptions'!H$101</f>
        <v>3774.8826652375596</v>
      </c>
      <c r="I55" s="40">
        <f>$C55*I$38*'Modelling Assumptions'!I$101</f>
        <v>3869.2547318684983</v>
      </c>
    </row>
    <row r="56" spans="1:9" x14ac:dyDescent="0.3">
      <c r="A56" s="14" t="s">
        <v>1643</v>
      </c>
      <c r="B56" s="40">
        <f>B42</f>
        <v>0</v>
      </c>
      <c r="C56" s="40">
        <f>B56*$C$34</f>
        <v>0</v>
      </c>
      <c r="D56" s="40">
        <f t="shared" ref="D56:D58" si="5">SUM(E56:I56)</f>
        <v>0</v>
      </c>
      <c r="E56" s="40">
        <f>$C56*E$38*'Modelling Assumptions'!E$102</f>
        <v>0</v>
      </c>
      <c r="F56" s="40">
        <f>$C56*F$38*'Modelling Assumptions'!F$102</f>
        <v>0</v>
      </c>
      <c r="G56" s="40">
        <f>$C56*G$38*'Modelling Assumptions'!G$102</f>
        <v>0</v>
      </c>
      <c r="H56" s="40">
        <f>$C56*H$38*'Modelling Assumptions'!H$102</f>
        <v>0</v>
      </c>
      <c r="I56" s="40">
        <f>$C56*I$38*'Modelling Assumptions'!I$102</f>
        <v>0</v>
      </c>
    </row>
    <row r="57" spans="1:9" x14ac:dyDescent="0.3">
      <c r="A57" s="14" t="s">
        <v>1649</v>
      </c>
      <c r="B57" s="40">
        <f>B48</f>
        <v>304.66666666666669</v>
      </c>
      <c r="C57" s="40">
        <f>B57*$C$34</f>
        <v>1828</v>
      </c>
      <c r="D57" s="40">
        <f t="shared" si="5"/>
        <v>118185.39287671875</v>
      </c>
      <c r="E57" s="40">
        <f>$C57*E$38*'Modelling Assumptions'!E$101</f>
        <v>22484.399999999998</v>
      </c>
      <c r="F57" s="40">
        <f>$C57*F$38*'Modelling Assumptions'!F$101</f>
        <v>23046.51</v>
      </c>
      <c r="G57" s="40">
        <f>$C57*G$38*'Modelling Assumptions'!G$101</f>
        <v>23622.672749999998</v>
      </c>
      <c r="H57" s="40">
        <f>$C57*H$38*'Modelling Assumptions'!H$101</f>
        <v>24213.239568749996</v>
      </c>
      <c r="I57" s="40">
        <f>$C57*I$38*'Modelling Assumptions'!I$101</f>
        <v>24818.570557968742</v>
      </c>
    </row>
    <row r="58" spans="1:9" x14ac:dyDescent="0.3">
      <c r="A58" s="14" t="s">
        <v>1650</v>
      </c>
      <c r="B58" s="40">
        <f>B49</f>
        <v>0</v>
      </c>
      <c r="C58" s="40">
        <f>B58*$C$34</f>
        <v>0</v>
      </c>
      <c r="D58" s="40">
        <f t="shared" si="5"/>
        <v>0</v>
      </c>
      <c r="E58" s="40">
        <f>$C58*E$38*'Modelling Assumptions'!E$102</f>
        <v>0</v>
      </c>
      <c r="F58" s="40">
        <f>$C58*F$38*'Modelling Assumptions'!F$102</f>
        <v>0</v>
      </c>
      <c r="G58" s="40">
        <f>$C58*G$38*'Modelling Assumptions'!G$102</f>
        <v>0</v>
      </c>
      <c r="H58" s="40">
        <f>$C58*H$38*'Modelling Assumptions'!H$102</f>
        <v>0</v>
      </c>
      <c r="I58" s="40">
        <f>$C58*I$38*'Modelling Assumptions'!I$102</f>
        <v>0</v>
      </c>
    </row>
    <row r="59" spans="1:9" x14ac:dyDescent="0.3">
      <c r="B59" s="39"/>
      <c r="C59" s="39"/>
    </row>
    <row r="60" spans="1:9" x14ac:dyDescent="0.3">
      <c r="B60" s="39"/>
      <c r="C60" s="39"/>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C167"/>
  <sheetViews>
    <sheetView workbookViewId="0"/>
  </sheetViews>
  <sheetFormatPr defaultRowHeight="14.4" x14ac:dyDescent="0.3"/>
  <cols>
    <col min="1" max="1" width="18.6640625" customWidth="1"/>
    <col min="2" max="4" width="14.44140625" customWidth="1"/>
    <col min="5" max="5" width="14.6640625" customWidth="1"/>
    <col min="6" max="7" width="11.5546875" bestFit="1" customWidth="1"/>
    <col min="8" max="8" width="14.109375" customWidth="1"/>
    <col min="9" max="10" width="13.109375" customWidth="1"/>
    <col min="11" max="12" width="13.44140625" customWidth="1"/>
    <col min="13" max="13" width="13.6640625" customWidth="1"/>
    <col min="14" max="14" width="13.44140625" customWidth="1"/>
    <col min="15" max="15" width="13.109375" customWidth="1"/>
    <col min="16" max="16" width="13" customWidth="1"/>
    <col min="17" max="17" width="13.44140625" customWidth="1"/>
    <col min="18" max="18" width="13.44140625" bestFit="1" customWidth="1"/>
  </cols>
  <sheetData>
    <row r="1" spans="1:8" ht="15" x14ac:dyDescent="0.25">
      <c r="B1" t="str">
        <f ca="1">UPPER(RIGHT(CELL("filename",A1),LEN(CELL("filename",A1))-FIND("]",CELL("filename",A1))))</f>
        <v>ELECTRICITY INVOICES</v>
      </c>
    </row>
    <row r="2" spans="1:8" ht="15" x14ac:dyDescent="0.25">
      <c r="A2" s="167" t="s">
        <v>3454</v>
      </c>
    </row>
    <row r="3" spans="1:8" ht="15" x14ac:dyDescent="0.25">
      <c r="A3" s="10" t="s">
        <v>2735</v>
      </c>
      <c r="B3" s="10"/>
      <c r="C3" s="10"/>
      <c r="D3" s="10"/>
      <c r="E3" s="10"/>
      <c r="F3" s="10"/>
      <c r="G3" s="10"/>
      <c r="H3" s="10"/>
    </row>
    <row r="5" spans="1:8" s="301" customFormat="1" ht="15" x14ac:dyDescent="0.25">
      <c r="A5" s="301" t="s">
        <v>3424</v>
      </c>
    </row>
    <row r="6" spans="1:8" s="301" customFormat="1" ht="15" x14ac:dyDescent="0.25">
      <c r="A6" s="301" t="s">
        <v>3425</v>
      </c>
    </row>
    <row r="7" spans="1:8" ht="15" x14ac:dyDescent="0.25">
      <c r="A7" t="s">
        <v>3426</v>
      </c>
    </row>
    <row r="8" spans="1:8" ht="15" x14ac:dyDescent="0.25">
      <c r="A8" t="s">
        <v>3427</v>
      </c>
    </row>
    <row r="9" spans="1:8" ht="15" x14ac:dyDescent="0.25">
      <c r="A9" t="s">
        <v>3428</v>
      </c>
    </row>
    <row r="10" spans="1:8" ht="15" x14ac:dyDescent="0.25">
      <c r="A10" t="s">
        <v>3429</v>
      </c>
    </row>
    <row r="30" spans="1:1" s="301" customFormat="1" ht="15" x14ac:dyDescent="0.25">
      <c r="A30" s="301" t="s">
        <v>3430</v>
      </c>
    </row>
    <row r="31" spans="1:1" s="301" customFormat="1" ht="15" x14ac:dyDescent="0.25">
      <c r="A31" s="301" t="s">
        <v>3431</v>
      </c>
    </row>
    <row r="34" spans="1:29" x14ac:dyDescent="0.3">
      <c r="A34" s="10" t="s">
        <v>2676</v>
      </c>
      <c r="B34" s="10"/>
      <c r="C34" s="10"/>
      <c r="D34" s="10"/>
      <c r="E34" s="10"/>
      <c r="F34" s="10"/>
      <c r="G34" s="10"/>
      <c r="H34" s="10"/>
    </row>
    <row r="35" spans="1:29" x14ac:dyDescent="0.3">
      <c r="E35" t="s">
        <v>327</v>
      </c>
    </row>
    <row r="36" spans="1:29" x14ac:dyDescent="0.3">
      <c r="A36" t="s">
        <v>538</v>
      </c>
      <c r="E36" s="5">
        <v>40725</v>
      </c>
      <c r="F36" s="5">
        <v>40756</v>
      </c>
      <c r="G36" s="5">
        <v>40787</v>
      </c>
      <c r="H36" s="5">
        <v>40817</v>
      </c>
      <c r="I36" s="5">
        <v>40848</v>
      </c>
      <c r="J36" s="5">
        <v>40878</v>
      </c>
      <c r="K36" s="5">
        <v>40909</v>
      </c>
      <c r="L36" s="5">
        <v>40940</v>
      </c>
      <c r="M36" s="5">
        <v>40969</v>
      </c>
      <c r="N36" s="5">
        <v>41000</v>
      </c>
      <c r="O36" s="5">
        <v>41030</v>
      </c>
      <c r="P36" s="5">
        <v>41061</v>
      </c>
    </row>
    <row r="37" spans="1:29" x14ac:dyDescent="0.3">
      <c r="A37" t="s">
        <v>2396</v>
      </c>
      <c r="E37">
        <v>11831</v>
      </c>
      <c r="F37">
        <v>19842</v>
      </c>
      <c r="G37">
        <v>18694</v>
      </c>
      <c r="H37">
        <v>23321</v>
      </c>
      <c r="I37">
        <v>26738</v>
      </c>
      <c r="J37">
        <v>21356</v>
      </c>
      <c r="K37">
        <v>20106</v>
      </c>
      <c r="L37">
        <v>22651</v>
      </c>
      <c r="M37">
        <v>24466</v>
      </c>
      <c r="N37">
        <v>14251</v>
      </c>
      <c r="O37">
        <v>22859</v>
      </c>
      <c r="P37">
        <v>19671</v>
      </c>
    </row>
    <row r="38" spans="1:29" x14ac:dyDescent="0.3">
      <c r="A38" t="s">
        <v>2398</v>
      </c>
      <c r="E38">
        <v>25586</v>
      </c>
      <c r="F38">
        <v>40634</v>
      </c>
      <c r="G38">
        <v>37513</v>
      </c>
      <c r="H38">
        <v>47437</v>
      </c>
      <c r="I38">
        <v>54005</v>
      </c>
      <c r="J38">
        <v>43650</v>
      </c>
      <c r="K38">
        <v>41382</v>
      </c>
      <c r="L38">
        <v>46793</v>
      </c>
      <c r="M38">
        <v>51780</v>
      </c>
      <c r="N38">
        <v>29522</v>
      </c>
      <c r="O38">
        <v>47771</v>
      </c>
      <c r="P38">
        <v>40860</v>
      </c>
    </row>
    <row r="39" spans="1:29" x14ac:dyDescent="0.3">
      <c r="A39" t="s">
        <v>2397</v>
      </c>
      <c r="E39">
        <v>52222</v>
      </c>
      <c r="F39">
        <v>77888</v>
      </c>
      <c r="G39">
        <v>70658</v>
      </c>
      <c r="H39">
        <v>104517</v>
      </c>
      <c r="I39">
        <v>98233</v>
      </c>
      <c r="J39">
        <v>96137</v>
      </c>
      <c r="K39">
        <v>85035</v>
      </c>
      <c r="L39">
        <v>84952</v>
      </c>
      <c r="M39">
        <v>93851</v>
      </c>
      <c r="N39">
        <v>82181</v>
      </c>
      <c r="O39">
        <v>84019</v>
      </c>
      <c r="P39">
        <v>84930</v>
      </c>
    </row>
    <row r="41" spans="1:29" x14ac:dyDescent="0.3">
      <c r="A41" t="s">
        <v>2403</v>
      </c>
      <c r="E41">
        <v>207</v>
      </c>
      <c r="F41">
        <v>287</v>
      </c>
      <c r="G41">
        <v>287</v>
      </c>
      <c r="H41">
        <v>337</v>
      </c>
      <c r="I41">
        <v>388</v>
      </c>
      <c r="J41">
        <v>339</v>
      </c>
      <c r="K41">
        <v>392</v>
      </c>
      <c r="L41">
        <v>378</v>
      </c>
      <c r="M41">
        <v>390</v>
      </c>
      <c r="N41">
        <v>260</v>
      </c>
      <c r="O41">
        <v>312</v>
      </c>
      <c r="P41">
        <v>272</v>
      </c>
    </row>
    <row r="42" spans="1:29" x14ac:dyDescent="0.3">
      <c r="A42" t="s">
        <v>2404</v>
      </c>
      <c r="E42">
        <v>234</v>
      </c>
      <c r="F42">
        <v>331</v>
      </c>
      <c r="G42">
        <v>307</v>
      </c>
      <c r="H42">
        <v>364</v>
      </c>
      <c r="I42">
        <v>497</v>
      </c>
      <c r="J42">
        <v>351</v>
      </c>
      <c r="K42">
        <v>403</v>
      </c>
      <c r="L42">
        <v>409</v>
      </c>
      <c r="M42">
        <v>422</v>
      </c>
      <c r="N42">
        <v>286</v>
      </c>
      <c r="O42">
        <v>323</v>
      </c>
      <c r="P42">
        <v>311</v>
      </c>
    </row>
    <row r="43" spans="1:29" x14ac:dyDescent="0.3">
      <c r="A43" t="s">
        <v>2402</v>
      </c>
      <c r="E43">
        <v>235</v>
      </c>
      <c r="F43">
        <v>335</v>
      </c>
      <c r="G43">
        <v>323</v>
      </c>
      <c r="H43">
        <v>369</v>
      </c>
      <c r="I43">
        <v>471</v>
      </c>
      <c r="J43">
        <v>373</v>
      </c>
      <c r="K43">
        <v>366</v>
      </c>
      <c r="L43">
        <v>376</v>
      </c>
      <c r="M43">
        <v>420</v>
      </c>
      <c r="N43">
        <v>284</v>
      </c>
      <c r="O43">
        <v>330</v>
      </c>
      <c r="P43">
        <v>309</v>
      </c>
    </row>
    <row r="45" spans="1:29" x14ac:dyDescent="0.3">
      <c r="A45" t="s">
        <v>2399</v>
      </c>
      <c r="E45" s="61">
        <f>SUMPRODUCT($B$75:$B$77,E37:E39)/100</f>
        <v>5741.3168299999998</v>
      </c>
      <c r="F45" s="61">
        <f t="shared" ref="F45:P45" si="0">SUMPRODUCT($B$75:$B$77,F37:F39)/100</f>
        <v>8941.0349200000001</v>
      </c>
      <c r="G45" s="61">
        <f t="shared" si="0"/>
        <v>8219.9331700000002</v>
      </c>
      <c r="H45" s="61">
        <f t="shared" si="0"/>
        <v>11156.47308</v>
      </c>
      <c r="I45" s="61">
        <f t="shared" si="0"/>
        <v>11638.36787</v>
      </c>
      <c r="J45" s="61">
        <f t="shared" si="0"/>
        <v>10255.591480000001</v>
      </c>
      <c r="K45" s="61">
        <f t="shared" si="0"/>
        <v>9394.1715000000004</v>
      </c>
      <c r="L45" s="61">
        <f t="shared" si="0"/>
        <v>10033.89868</v>
      </c>
      <c r="M45" s="61">
        <f t="shared" si="0"/>
        <v>11046.734640000002</v>
      </c>
      <c r="N45" s="61">
        <f t="shared" si="0"/>
        <v>7811.905490000001</v>
      </c>
      <c r="O45" s="61">
        <f t="shared" si="0"/>
        <v>10081.445360000002</v>
      </c>
      <c r="P45" s="61">
        <f t="shared" si="0"/>
        <v>9311.2486499999995</v>
      </c>
      <c r="R45" s="61"/>
      <c r="S45" s="61"/>
      <c r="T45" s="61"/>
      <c r="U45" s="61"/>
      <c r="V45" s="61"/>
      <c r="W45" s="61"/>
      <c r="X45" s="61"/>
      <c r="Y45" s="61"/>
      <c r="Z45" s="61"/>
      <c r="AA45" s="61"/>
      <c r="AB45" s="61"/>
      <c r="AC45" s="61"/>
    </row>
    <row r="46" spans="1:29" x14ac:dyDescent="0.3">
      <c r="A46" t="s">
        <v>2702</v>
      </c>
      <c r="E46" s="61">
        <f>SUMPRODUCT($B$80:$B$82,E37:E39)/100</f>
        <v>3243.2455009999999</v>
      </c>
      <c r="F46" s="61">
        <f t="shared" ref="F46:P46" si="1">SUMPRODUCT($B$80:$B$82,F37:F39)/100</f>
        <v>5058.3949240000002</v>
      </c>
      <c r="G46" s="61">
        <f t="shared" si="1"/>
        <v>4652.5390990000005</v>
      </c>
      <c r="H46" s="61">
        <f t="shared" si="1"/>
        <v>6295.4875259999999</v>
      </c>
      <c r="I46" s="61">
        <f t="shared" si="1"/>
        <v>6591.4193390000009</v>
      </c>
      <c r="J46" s="61">
        <f t="shared" si="1"/>
        <v>5786.9962059999998</v>
      </c>
      <c r="K46" s="61">
        <f t="shared" si="1"/>
        <v>5307.6450000000004</v>
      </c>
      <c r="L46" s="61">
        <f t="shared" si="1"/>
        <v>5682.1429960000005</v>
      </c>
      <c r="M46" s="61">
        <f t="shared" si="1"/>
        <v>6254.9867580000009</v>
      </c>
      <c r="N46" s="61">
        <f t="shared" si="1"/>
        <v>4388.1825530000006</v>
      </c>
      <c r="O46" s="61">
        <f t="shared" si="1"/>
        <v>5712.0371420000001</v>
      </c>
      <c r="P46" s="61">
        <f t="shared" si="1"/>
        <v>5259.3590550000008</v>
      </c>
      <c r="R46" s="61"/>
      <c r="S46" s="61"/>
      <c r="T46" s="61"/>
      <c r="U46" s="61"/>
      <c r="V46" s="61"/>
      <c r="W46" s="61"/>
      <c r="X46" s="61"/>
      <c r="Y46" s="61"/>
      <c r="Z46" s="61"/>
      <c r="AA46" s="61"/>
      <c r="AB46" s="61"/>
      <c r="AC46" s="61"/>
    </row>
    <row r="47" spans="1:29" x14ac:dyDescent="0.3">
      <c r="A47" t="s">
        <v>2703</v>
      </c>
      <c r="E47" s="61">
        <f>SUMPRODUCT($B$83:$B$85,E41:E43)</f>
        <v>7398.4760999999999</v>
      </c>
      <c r="F47" s="61">
        <f t="shared" ref="F47:P47" si="2">SUMPRODUCT($B$83:$B$85,F41:F43)</f>
        <v>10387.3488</v>
      </c>
      <c r="G47" s="61">
        <f t="shared" si="2"/>
        <v>9987.4079999999994</v>
      </c>
      <c r="H47" s="61">
        <f t="shared" si="2"/>
        <v>11744.840899999999</v>
      </c>
      <c r="I47" s="61">
        <f t="shared" si="2"/>
        <v>14845.235700000001</v>
      </c>
      <c r="J47" s="61">
        <f t="shared" si="2"/>
        <v>11594.007600000001</v>
      </c>
      <c r="K47" s="61">
        <f t="shared" si="2"/>
        <v>13140.3657</v>
      </c>
      <c r="L47" s="61">
        <f t="shared" si="2"/>
        <v>13054.906900000002</v>
      </c>
      <c r="M47" s="61">
        <f t="shared" si="2"/>
        <v>13579.1852</v>
      </c>
      <c r="N47" s="61">
        <f t="shared" si="2"/>
        <v>9136.2533999999996</v>
      </c>
      <c r="O47" s="61">
        <f t="shared" si="2"/>
        <v>10624.494499999999</v>
      </c>
      <c r="P47" s="61">
        <f t="shared" si="2"/>
        <v>9775.0470999999998</v>
      </c>
    </row>
    <row r="48" spans="1:29" x14ac:dyDescent="0.3">
      <c r="A48" t="s">
        <v>2419</v>
      </c>
      <c r="E48" s="61">
        <f>SUM($B$88:$B$92)*SUM(E37:E39)/100</f>
        <v>932.51451700000007</v>
      </c>
      <c r="F48" s="61">
        <f t="shared" ref="F48:P48" si="3">SUM($B$88:$B$92)*SUM(F37:F39)/100</f>
        <v>1439.4006919999999</v>
      </c>
      <c r="G48" s="61">
        <f t="shared" si="3"/>
        <v>1319.776595</v>
      </c>
      <c r="H48" s="61">
        <f t="shared" si="3"/>
        <v>1823.3858249999998</v>
      </c>
      <c r="I48" s="61">
        <f t="shared" si="3"/>
        <v>1861.887328</v>
      </c>
      <c r="J48" s="61">
        <f t="shared" si="3"/>
        <v>1676.370629</v>
      </c>
      <c r="K48" s="61">
        <f t="shared" si="3"/>
        <v>1524.278769</v>
      </c>
      <c r="L48" s="61">
        <f t="shared" si="3"/>
        <v>1606.1815880000001</v>
      </c>
      <c r="M48" s="61">
        <f t="shared" si="3"/>
        <v>1769.5190909999999</v>
      </c>
      <c r="N48" s="61">
        <f t="shared" si="3"/>
        <v>1310.2994619999999</v>
      </c>
      <c r="O48" s="61">
        <f t="shared" si="3"/>
        <v>1608.813547</v>
      </c>
      <c r="P48" s="61">
        <f t="shared" si="3"/>
        <v>1513.230783</v>
      </c>
    </row>
    <row r="49" spans="1:19" x14ac:dyDescent="0.3">
      <c r="A49" t="s">
        <v>2420</v>
      </c>
      <c r="E49" s="61">
        <f>$B$94*(DATE(YEAR(E36),MONTH(E36)+1,DAY(E36))-E36)+$B$95</f>
        <v>516.99369999999999</v>
      </c>
      <c r="F49" s="61">
        <f t="shared" ref="F49:P49" si="4">$B$94*(DATE(YEAR(F36),MONTH(F36)+1,DAY(F36))-F36)+$B$95</f>
        <v>516.99369999999999</v>
      </c>
      <c r="G49" s="61">
        <f t="shared" si="4"/>
        <v>503.38100000000003</v>
      </c>
      <c r="H49" s="61">
        <f t="shared" si="4"/>
        <v>516.99369999999999</v>
      </c>
      <c r="I49" s="61">
        <f t="shared" si="4"/>
        <v>503.38100000000003</v>
      </c>
      <c r="J49" s="61">
        <f t="shared" si="4"/>
        <v>516.99369999999999</v>
      </c>
      <c r="K49" s="61">
        <f t="shared" si="4"/>
        <v>516.99369999999999</v>
      </c>
      <c r="L49" s="61">
        <f t="shared" si="4"/>
        <v>489.76830000000001</v>
      </c>
      <c r="M49" s="61">
        <f t="shared" si="4"/>
        <v>516.99369999999999</v>
      </c>
      <c r="N49" s="61">
        <f t="shared" si="4"/>
        <v>503.38100000000003</v>
      </c>
      <c r="O49" s="61">
        <f t="shared" si="4"/>
        <v>516.99369999999999</v>
      </c>
      <c r="P49" s="61">
        <f t="shared" si="4"/>
        <v>503.38100000000003</v>
      </c>
    </row>
    <row r="50" spans="1:19" x14ac:dyDescent="0.3">
      <c r="A50" t="s">
        <v>505</v>
      </c>
      <c r="E50" s="61">
        <f>SUM(E45:E49)</f>
        <v>17832.546648</v>
      </c>
      <c r="F50" s="61">
        <f t="shared" ref="F50:P50" si="5">SUM(F45:F49)</f>
        <v>26343.173035999997</v>
      </c>
      <c r="G50" s="61">
        <f t="shared" si="5"/>
        <v>24683.037864000002</v>
      </c>
      <c r="H50" s="61">
        <f t="shared" si="5"/>
        <v>31537.181031</v>
      </c>
      <c r="I50" s="61">
        <f t="shared" si="5"/>
        <v>35440.291237000005</v>
      </c>
      <c r="J50" s="61">
        <f t="shared" si="5"/>
        <v>29829.959615000003</v>
      </c>
      <c r="K50" s="61">
        <f t="shared" si="5"/>
        <v>29883.454669000002</v>
      </c>
      <c r="L50" s="61">
        <f t="shared" si="5"/>
        <v>30866.898464000002</v>
      </c>
      <c r="M50" s="61">
        <f t="shared" si="5"/>
        <v>33167.419389000002</v>
      </c>
      <c r="N50" s="61">
        <f t="shared" si="5"/>
        <v>23150.021905000001</v>
      </c>
      <c r="O50" s="61">
        <f t="shared" si="5"/>
        <v>28543.784249</v>
      </c>
      <c r="P50" s="61">
        <f t="shared" si="5"/>
        <v>26362.266587999999</v>
      </c>
      <c r="R50" s="99"/>
      <c r="S50" s="101"/>
    </row>
    <row r="51" spans="1:19" x14ac:dyDescent="0.3">
      <c r="R51" s="99"/>
      <c r="S51" s="101"/>
    </row>
    <row r="53" spans="1:19" x14ac:dyDescent="0.3">
      <c r="E53" t="s">
        <v>7</v>
      </c>
      <c r="R53" s="61"/>
    </row>
    <row r="54" spans="1:19" x14ac:dyDescent="0.3">
      <c r="A54" t="s">
        <v>538</v>
      </c>
      <c r="E54" s="5">
        <v>40725</v>
      </c>
      <c r="F54" s="5">
        <v>40756</v>
      </c>
      <c r="G54" s="5">
        <v>40787</v>
      </c>
      <c r="H54" s="5">
        <v>40817</v>
      </c>
      <c r="I54" s="5">
        <v>40848</v>
      </c>
      <c r="J54" s="5">
        <v>41244</v>
      </c>
      <c r="K54" s="5">
        <v>41275</v>
      </c>
      <c r="L54" s="5">
        <v>41306</v>
      </c>
      <c r="M54" s="5">
        <v>41334</v>
      </c>
      <c r="N54" s="5">
        <v>41365</v>
      </c>
      <c r="O54" s="5">
        <v>41395</v>
      </c>
      <c r="P54" s="5">
        <v>41426</v>
      </c>
    </row>
    <row r="55" spans="1:19" x14ac:dyDescent="0.3">
      <c r="A55" t="s">
        <v>2396</v>
      </c>
      <c r="E55">
        <v>11270</v>
      </c>
      <c r="F55">
        <v>19622</v>
      </c>
      <c r="G55">
        <v>18457</v>
      </c>
      <c r="H55">
        <v>22891</v>
      </c>
      <c r="I55">
        <v>26095</v>
      </c>
      <c r="J55">
        <v>21180</v>
      </c>
      <c r="K55">
        <v>19683</v>
      </c>
      <c r="L55">
        <v>22284</v>
      </c>
      <c r="M55">
        <v>23978</v>
      </c>
      <c r="N55">
        <v>14220</v>
      </c>
      <c r="O55">
        <v>22859</v>
      </c>
      <c r="P55">
        <v>19591</v>
      </c>
    </row>
    <row r="56" spans="1:19" x14ac:dyDescent="0.3">
      <c r="A56" t="s">
        <v>2398</v>
      </c>
      <c r="E56">
        <v>24696</v>
      </c>
      <c r="F56">
        <v>39878</v>
      </c>
      <c r="G56">
        <v>36734</v>
      </c>
      <c r="H56">
        <v>46216</v>
      </c>
      <c r="I56">
        <v>52357</v>
      </c>
      <c r="J56">
        <v>42917</v>
      </c>
      <c r="K56">
        <v>40514</v>
      </c>
      <c r="L56">
        <v>45705</v>
      </c>
      <c r="M56">
        <v>50578</v>
      </c>
      <c r="N56">
        <v>29387</v>
      </c>
      <c r="O56">
        <v>47771</v>
      </c>
      <c r="P56">
        <v>40621.760000000002</v>
      </c>
    </row>
    <row r="57" spans="1:19" x14ac:dyDescent="0.3">
      <c r="A57" t="s">
        <v>2397</v>
      </c>
      <c r="E57">
        <v>51152</v>
      </c>
      <c r="F57">
        <v>77538</v>
      </c>
      <c r="G57">
        <v>70721</v>
      </c>
      <c r="H57">
        <v>104215</v>
      </c>
      <c r="I57">
        <v>97858</v>
      </c>
      <c r="J57">
        <v>95322</v>
      </c>
      <c r="K57">
        <v>85781</v>
      </c>
      <c r="L57">
        <v>84587</v>
      </c>
      <c r="M57">
        <v>93086</v>
      </c>
      <c r="N57">
        <v>82162</v>
      </c>
      <c r="O57">
        <v>84019</v>
      </c>
      <c r="P57">
        <v>85065.84</v>
      </c>
    </row>
    <row r="59" spans="1:19" x14ac:dyDescent="0.3">
      <c r="A59" t="s">
        <v>2403</v>
      </c>
      <c r="E59">
        <v>217</v>
      </c>
      <c r="F59">
        <v>293</v>
      </c>
      <c r="G59">
        <v>283</v>
      </c>
      <c r="H59">
        <v>332</v>
      </c>
      <c r="I59">
        <v>391</v>
      </c>
      <c r="J59">
        <v>326</v>
      </c>
      <c r="K59">
        <v>372</v>
      </c>
      <c r="L59">
        <v>378</v>
      </c>
      <c r="M59">
        <v>391</v>
      </c>
      <c r="N59">
        <v>289</v>
      </c>
      <c r="O59">
        <v>312</v>
      </c>
      <c r="P59">
        <v>282</v>
      </c>
    </row>
    <row r="60" spans="1:19" x14ac:dyDescent="0.3">
      <c r="A60" t="s">
        <v>2404</v>
      </c>
      <c r="E60">
        <v>243</v>
      </c>
      <c r="F60">
        <v>299</v>
      </c>
      <c r="G60">
        <v>307</v>
      </c>
      <c r="H60">
        <v>359</v>
      </c>
      <c r="I60">
        <v>462</v>
      </c>
      <c r="J60">
        <v>354</v>
      </c>
      <c r="K60">
        <v>374</v>
      </c>
      <c r="L60">
        <v>396</v>
      </c>
      <c r="M60">
        <v>409</v>
      </c>
      <c r="N60">
        <v>297</v>
      </c>
      <c r="O60">
        <v>323</v>
      </c>
      <c r="P60">
        <v>311</v>
      </c>
    </row>
    <row r="61" spans="1:19" x14ac:dyDescent="0.3">
      <c r="A61" t="s">
        <v>2402</v>
      </c>
      <c r="E61">
        <v>258</v>
      </c>
      <c r="F61">
        <v>364</v>
      </c>
      <c r="G61">
        <v>350</v>
      </c>
      <c r="H61">
        <v>382</v>
      </c>
      <c r="I61">
        <v>453</v>
      </c>
      <c r="J61">
        <v>370</v>
      </c>
      <c r="K61">
        <v>376</v>
      </c>
      <c r="L61">
        <v>378</v>
      </c>
      <c r="M61">
        <v>419</v>
      </c>
      <c r="N61">
        <v>297</v>
      </c>
      <c r="O61">
        <v>330</v>
      </c>
      <c r="P61">
        <v>325</v>
      </c>
      <c r="R61" s="107"/>
    </row>
    <row r="63" spans="1:19" x14ac:dyDescent="0.3">
      <c r="A63" t="s">
        <v>2399</v>
      </c>
      <c r="E63" s="61">
        <f>SUMPRODUCT($C$75:$C$77,E55:E57)/100</f>
        <v>5825.5090680000003</v>
      </c>
      <c r="F63" s="61">
        <f t="shared" ref="F63:I63" si="6">SUMPRODUCT($C$75:$C$77,F55:F57)/100</f>
        <v>9252.392382</v>
      </c>
      <c r="G63" s="61">
        <f t="shared" si="6"/>
        <v>8517.0342089999995</v>
      </c>
      <c r="H63" s="61">
        <f t="shared" si="6"/>
        <v>11515.610715000001</v>
      </c>
      <c r="I63" s="61">
        <f t="shared" si="6"/>
        <v>11961.605742</v>
      </c>
      <c r="J63" s="61">
        <f t="shared" ref="J63:P63" si="7">SUMPRODUCT($C$75:$C$77,J55:J57)/100</f>
        <v>10608.077088000002</v>
      </c>
      <c r="K63" s="61">
        <f t="shared" si="7"/>
        <v>9759.337689</v>
      </c>
      <c r="L63" s="61">
        <f t="shared" si="7"/>
        <v>10354.361403000001</v>
      </c>
      <c r="M63" s="61">
        <f t="shared" si="7"/>
        <v>11372.347793999999</v>
      </c>
      <c r="N63" s="61">
        <f t="shared" si="7"/>
        <v>8157.6777480000001</v>
      </c>
      <c r="O63" s="61">
        <f t="shared" si="7"/>
        <v>10547.163141000001</v>
      </c>
      <c r="P63" s="61">
        <f t="shared" si="7"/>
        <v>9721.8113241599985</v>
      </c>
    </row>
    <row r="64" spans="1:19" x14ac:dyDescent="0.3">
      <c r="A64" t="s">
        <v>2702</v>
      </c>
      <c r="E64" s="61">
        <f>SUMPRODUCT($C$80:$C$82,E55:E57)/100</f>
        <v>3144.3791260000003</v>
      </c>
      <c r="F64" s="61">
        <f t="shared" ref="F64:I64" si="8">SUMPRODUCT($C$80:$C$82,F55:F57)/100</f>
        <v>5002.3078839999998</v>
      </c>
      <c r="G64" s="61">
        <f t="shared" si="8"/>
        <v>4606.1908430000003</v>
      </c>
      <c r="H64" s="61">
        <f t="shared" si="8"/>
        <v>6208.7811750000001</v>
      </c>
      <c r="I64" s="61">
        <f t="shared" si="8"/>
        <v>6472.3431240000009</v>
      </c>
      <c r="J64" s="61">
        <f t="shared" ref="J64:P64" si="9">SUMPRODUCT($C$80:$C$82,J55:J57)/100</f>
        <v>5720.9845009999999</v>
      </c>
      <c r="K64" s="61">
        <f t="shared" si="9"/>
        <v>5267.5101130000012</v>
      </c>
      <c r="L64" s="61">
        <f t="shared" si="9"/>
        <v>5602.9456010000004</v>
      </c>
      <c r="M64" s="61">
        <f t="shared" si="9"/>
        <v>6153.3913880000009</v>
      </c>
      <c r="N64" s="61">
        <f t="shared" si="9"/>
        <v>4379.7847710000005</v>
      </c>
      <c r="O64" s="61">
        <f t="shared" si="9"/>
        <v>5712.0371420000001</v>
      </c>
      <c r="P64" s="61">
        <f t="shared" si="9"/>
        <v>5248.1119585200004</v>
      </c>
    </row>
    <row r="65" spans="1:19" x14ac:dyDescent="0.3">
      <c r="A65" t="s">
        <v>2703</v>
      </c>
      <c r="E65" s="61">
        <f>SUMPRODUCT($C$83:$C$85,E59:E61)</f>
        <v>7761.2415999999994</v>
      </c>
      <c r="F65" s="61">
        <f t="shared" ref="F65:I65" si="10">SUMPRODUCT($C$83:$C$85,F59:F61)</f>
        <v>10097.644</v>
      </c>
      <c r="G65" s="61">
        <f t="shared" si="10"/>
        <v>10019.879000000001</v>
      </c>
      <c r="H65" s="61">
        <f t="shared" si="10"/>
        <v>11639.726499999999</v>
      </c>
      <c r="I65" s="61">
        <f t="shared" si="10"/>
        <v>14305.144900000001</v>
      </c>
      <c r="J65" s="61">
        <f t="shared" ref="J65:P65" si="11">SUMPRODUCT($C$83:$C$85,J59:J61)</f>
        <v>11434.202000000001</v>
      </c>
      <c r="K65" s="61">
        <f t="shared" si="11"/>
        <v>12441.747800000001</v>
      </c>
      <c r="L65" s="61">
        <f t="shared" si="11"/>
        <v>12867.327000000001</v>
      </c>
      <c r="M65" s="61">
        <f t="shared" si="11"/>
        <v>13396.3058</v>
      </c>
      <c r="N65" s="61">
        <f t="shared" si="11"/>
        <v>9778.8940000000021</v>
      </c>
      <c r="O65" s="61">
        <f t="shared" si="11"/>
        <v>10624.494499999999</v>
      </c>
      <c r="P65" s="61">
        <f t="shared" si="11"/>
        <v>9979.2893000000004</v>
      </c>
    </row>
    <row r="66" spans="1:19" x14ac:dyDescent="0.3">
      <c r="A66" t="s">
        <v>2419</v>
      </c>
      <c r="E66" s="61">
        <f>SUM($C$88:$C$92)*SUM(E55:E57)/100</f>
        <v>906.28855399999998</v>
      </c>
      <c r="F66" s="61">
        <f t="shared" ref="F66:I66" si="12">SUM($C$88:$C$92)*SUM(F55:F57)/100</f>
        <v>1425.6063140000001</v>
      </c>
      <c r="G66" s="61">
        <f t="shared" si="12"/>
        <v>1309.8625359999999</v>
      </c>
      <c r="H66" s="61">
        <f t="shared" si="12"/>
        <v>1803.0687659999999</v>
      </c>
      <c r="I66" s="61">
        <f t="shared" si="12"/>
        <v>1834.15293</v>
      </c>
      <c r="J66" s="61">
        <f t="shared" ref="J66:P66" si="13">SUM($C$88:$C$92)*SUM(J55:J57)/100</f>
        <v>1658.4358569999999</v>
      </c>
      <c r="K66" s="61">
        <f t="shared" si="13"/>
        <v>1518.6091339999998</v>
      </c>
      <c r="L66" s="61">
        <f t="shared" si="13"/>
        <v>1587.2481280000002</v>
      </c>
      <c r="M66" s="61">
        <f t="shared" si="13"/>
        <v>1743.979726</v>
      </c>
      <c r="N66" s="61">
        <f t="shared" si="13"/>
        <v>1308.3749069999999</v>
      </c>
      <c r="O66" s="61">
        <f t="shared" si="13"/>
        <v>1608.813547</v>
      </c>
      <c r="P66" s="61">
        <f t="shared" si="13"/>
        <v>1511.3332758000001</v>
      </c>
    </row>
    <row r="67" spans="1:19" x14ac:dyDescent="0.3">
      <c r="A67" t="s">
        <v>2420</v>
      </c>
      <c r="E67" s="61">
        <f>$C$94*(DATE(YEAR(E54),MONTH(E54)+1,DAY(E54))-E54)+$C$95</f>
        <v>611.99369999999999</v>
      </c>
      <c r="F67" s="61">
        <f t="shared" ref="F67:I67" si="14">$C$94*(DATE(YEAR(F54),MONTH(F54)+1,DAY(F54))-F54)+$C$95</f>
        <v>611.99369999999999</v>
      </c>
      <c r="G67" s="61">
        <f t="shared" si="14"/>
        <v>598.38100000000009</v>
      </c>
      <c r="H67" s="61">
        <f t="shared" si="14"/>
        <v>611.99369999999999</v>
      </c>
      <c r="I67" s="61">
        <f t="shared" si="14"/>
        <v>598.38100000000009</v>
      </c>
      <c r="J67" s="61">
        <f t="shared" ref="J67:P67" si="15">$C$94*(DATE(YEAR(J54),MONTH(J54)+1,DAY(J54))-J54)+$C$95</f>
        <v>611.99369999999999</v>
      </c>
      <c r="K67" s="61">
        <f t="shared" si="15"/>
        <v>611.99369999999999</v>
      </c>
      <c r="L67" s="61">
        <f t="shared" si="15"/>
        <v>571.15560000000005</v>
      </c>
      <c r="M67" s="61">
        <f t="shared" si="15"/>
        <v>611.99369999999999</v>
      </c>
      <c r="N67" s="61">
        <f t="shared" si="15"/>
        <v>598.38100000000009</v>
      </c>
      <c r="O67" s="61">
        <f t="shared" si="15"/>
        <v>611.99369999999999</v>
      </c>
      <c r="P67" s="61">
        <f t="shared" si="15"/>
        <v>598.38100000000009</v>
      </c>
    </row>
    <row r="68" spans="1:19" x14ac:dyDescent="0.3">
      <c r="A68" t="s">
        <v>505</v>
      </c>
      <c r="E68" s="61">
        <f t="shared" ref="E68" si="16">SUM(E63:E67)</f>
        <v>18249.412047999998</v>
      </c>
      <c r="F68" s="61">
        <f t="shared" ref="F68" si="17">SUM(F63:F67)</f>
        <v>26389.94428</v>
      </c>
      <c r="G68" s="61">
        <f t="shared" ref="G68" si="18">SUM(G63:G67)</f>
        <v>25051.347588000004</v>
      </c>
      <c r="H68" s="61">
        <f t="shared" ref="H68" si="19">SUM(H63:H67)</f>
        <v>31779.180855999995</v>
      </c>
      <c r="I68" s="61">
        <f t="shared" ref="I68:J68" si="20">SUM(I63:I67)</f>
        <v>35171.627695999996</v>
      </c>
      <c r="J68" s="61">
        <f t="shared" si="20"/>
        <v>30033.693146000001</v>
      </c>
      <c r="K68" s="61">
        <f t="shared" ref="K68:P68" si="21">SUM(K63:K67)</f>
        <v>29599.198435999999</v>
      </c>
      <c r="L68" s="61">
        <f t="shared" si="21"/>
        <v>30983.037732000004</v>
      </c>
      <c r="M68" s="61">
        <f t="shared" si="21"/>
        <v>33278.018408000004</v>
      </c>
      <c r="N68" s="61">
        <f t="shared" si="21"/>
        <v>24223.112426000003</v>
      </c>
      <c r="O68" s="61">
        <f t="shared" si="21"/>
        <v>29104.50203</v>
      </c>
      <c r="P68" s="61">
        <f t="shared" si="21"/>
        <v>27058.926858480001</v>
      </c>
      <c r="R68" s="99"/>
      <c r="S68" s="101"/>
    </row>
    <row r="69" spans="1:19" x14ac:dyDescent="0.3">
      <c r="R69" s="99"/>
    </row>
    <row r="72" spans="1:19" x14ac:dyDescent="0.3">
      <c r="A72" s="10" t="s">
        <v>2677</v>
      </c>
      <c r="B72" s="10"/>
      <c r="C72" s="10"/>
      <c r="D72" s="10"/>
      <c r="E72" s="10"/>
      <c r="F72" s="10"/>
      <c r="G72" s="10"/>
      <c r="H72" s="10"/>
    </row>
    <row r="73" spans="1:19" x14ac:dyDescent="0.3">
      <c r="B73" t="s">
        <v>327</v>
      </c>
      <c r="C73" t="s">
        <v>7</v>
      </c>
    </row>
    <row r="74" spans="1:19" x14ac:dyDescent="0.3">
      <c r="A74" s="8" t="s">
        <v>2399</v>
      </c>
      <c r="B74">
        <v>2014</v>
      </c>
      <c r="C74">
        <v>2014</v>
      </c>
    </row>
    <row r="75" spans="1:19" x14ac:dyDescent="0.3">
      <c r="A75" t="s">
        <v>2396</v>
      </c>
      <c r="B75">
        <v>8.0950000000000006</v>
      </c>
      <c r="C75">
        <v>8.4689999999999994</v>
      </c>
      <c r="D75" t="s">
        <v>2678</v>
      </c>
    </row>
    <row r="76" spans="1:19" x14ac:dyDescent="0.3">
      <c r="A76" t="s">
        <v>2398</v>
      </c>
      <c r="B76">
        <v>8.0950000000000006</v>
      </c>
      <c r="C76">
        <v>8.4689999999999994</v>
      </c>
      <c r="D76" t="s">
        <v>2678</v>
      </c>
    </row>
    <row r="77" spans="1:19" x14ac:dyDescent="0.3">
      <c r="A77" t="s">
        <v>2397</v>
      </c>
      <c r="B77">
        <v>5.194</v>
      </c>
      <c r="C77">
        <v>5.4339000000000004</v>
      </c>
      <c r="D77" t="s">
        <v>2678</v>
      </c>
    </row>
    <row r="79" spans="1:19" x14ac:dyDescent="0.3">
      <c r="A79" s="8" t="s">
        <v>2400</v>
      </c>
    </row>
    <row r="80" spans="1:19" x14ac:dyDescent="0.3">
      <c r="A80" t="s">
        <v>2396</v>
      </c>
      <c r="B80">
        <v>4.7365000000000004</v>
      </c>
      <c r="C80">
        <v>4.7365000000000004</v>
      </c>
      <c r="D80" t="s">
        <v>2678</v>
      </c>
    </row>
    <row r="81" spans="1:4" x14ac:dyDescent="0.3">
      <c r="A81" t="s">
        <v>2398</v>
      </c>
      <c r="B81">
        <v>4.7365000000000004</v>
      </c>
      <c r="C81">
        <v>4.7365000000000004</v>
      </c>
      <c r="D81" t="s">
        <v>2678</v>
      </c>
    </row>
    <row r="82" spans="1:4" x14ac:dyDescent="0.3">
      <c r="A82" t="s">
        <v>2397</v>
      </c>
      <c r="B82">
        <v>2.8168000000000002</v>
      </c>
      <c r="C82">
        <v>2.8168000000000002</v>
      </c>
      <c r="D82" t="s">
        <v>2678</v>
      </c>
    </row>
    <row r="83" spans="1:4" x14ac:dyDescent="0.3">
      <c r="A83" t="s">
        <v>2403</v>
      </c>
      <c r="B83">
        <v>14.9551</v>
      </c>
      <c r="C83">
        <v>14.9551</v>
      </c>
      <c r="D83" t="s">
        <v>2679</v>
      </c>
    </row>
    <row r="84" spans="1:4" x14ac:dyDescent="0.3">
      <c r="A84" t="s">
        <v>2404</v>
      </c>
      <c r="B84">
        <v>14.9551</v>
      </c>
      <c r="C84">
        <v>14.9551</v>
      </c>
      <c r="D84" t="s">
        <v>2679</v>
      </c>
    </row>
    <row r="85" spans="1:4" x14ac:dyDescent="0.3">
      <c r="A85" t="s">
        <v>2402</v>
      </c>
      <c r="B85">
        <v>3.4182000000000001</v>
      </c>
      <c r="C85">
        <v>3.4182000000000001</v>
      </c>
      <c r="D85" t="s">
        <v>2679</v>
      </c>
    </row>
    <row r="87" spans="1:4" x14ac:dyDescent="0.3">
      <c r="A87" s="8" t="s">
        <v>2419</v>
      </c>
    </row>
    <row r="88" spans="1:4" x14ac:dyDescent="0.3">
      <c r="A88" t="s">
        <v>2408</v>
      </c>
      <c r="B88">
        <v>0.14729999999999999</v>
      </c>
      <c r="C88">
        <v>0.14729999999999999</v>
      </c>
      <c r="D88" t="s">
        <v>2678</v>
      </c>
    </row>
    <row r="89" spans="1:4" x14ac:dyDescent="0.3">
      <c r="A89" t="s">
        <v>2406</v>
      </c>
      <c r="B89">
        <v>0.48120000000000002</v>
      </c>
      <c r="C89">
        <v>0.48120000000000002</v>
      </c>
      <c r="D89" t="s">
        <v>2678</v>
      </c>
    </row>
    <row r="90" spans="1:4" x14ac:dyDescent="0.3">
      <c r="A90" t="s">
        <v>2407</v>
      </c>
      <c r="B90">
        <v>0.33500000000000002</v>
      </c>
      <c r="C90">
        <v>0.33500000000000002</v>
      </c>
      <c r="D90" t="s">
        <v>2678</v>
      </c>
    </row>
    <row r="91" spans="1:4" x14ac:dyDescent="0.3">
      <c r="A91" t="s">
        <v>2409</v>
      </c>
      <c r="B91">
        <v>3.78E-2</v>
      </c>
      <c r="C91">
        <v>3.78E-2</v>
      </c>
      <c r="D91" t="s">
        <v>2678</v>
      </c>
    </row>
    <row r="92" spans="1:4" x14ac:dyDescent="0.3">
      <c r="A92" t="s">
        <v>2410</v>
      </c>
      <c r="B92">
        <v>3.9E-2</v>
      </c>
      <c r="C92">
        <v>3.9E-2</v>
      </c>
      <c r="D92" t="s">
        <v>2680</v>
      </c>
    </row>
    <row r="94" spans="1:4" x14ac:dyDescent="0.3">
      <c r="A94" t="s">
        <v>2405</v>
      </c>
      <c r="B94">
        <v>13.6127</v>
      </c>
      <c r="C94">
        <v>13.6127</v>
      </c>
      <c r="D94" t="s">
        <v>2682</v>
      </c>
    </row>
    <row r="95" spans="1:4" x14ac:dyDescent="0.3">
      <c r="A95" t="s">
        <v>2411</v>
      </c>
      <c r="B95">
        <v>95</v>
      </c>
      <c r="C95">
        <v>190</v>
      </c>
      <c r="D95" t="s">
        <v>2681</v>
      </c>
    </row>
    <row r="98" spans="1:16" x14ac:dyDescent="0.3">
      <c r="A98" s="12" t="s">
        <v>2675</v>
      </c>
      <c r="B98" s="12"/>
      <c r="C98" s="12"/>
      <c r="D98" s="12"/>
      <c r="E98" s="12"/>
      <c r="F98" s="12"/>
      <c r="G98" s="12"/>
      <c r="H98" s="12"/>
    </row>
    <row r="99" spans="1:16" x14ac:dyDescent="0.3">
      <c r="E99" t="s">
        <v>327</v>
      </c>
    </row>
    <row r="100" spans="1:16" x14ac:dyDescent="0.3">
      <c r="A100" t="s">
        <v>538</v>
      </c>
      <c r="B100" t="s">
        <v>2412</v>
      </c>
      <c r="C100" t="s">
        <v>2414</v>
      </c>
      <c r="D100" t="s">
        <v>2415</v>
      </c>
      <c r="E100" s="5">
        <v>41091</v>
      </c>
      <c r="F100" s="5">
        <v>41122</v>
      </c>
      <c r="G100" s="5">
        <v>41153</v>
      </c>
      <c r="H100" s="5">
        <v>41183</v>
      </c>
      <c r="I100" s="5">
        <v>41214</v>
      </c>
      <c r="J100" s="5">
        <v>41244</v>
      </c>
      <c r="K100" s="5">
        <v>41275</v>
      </c>
      <c r="L100" s="5">
        <v>41306</v>
      </c>
      <c r="M100" s="5">
        <v>41334</v>
      </c>
      <c r="N100" s="5">
        <v>41365</v>
      </c>
      <c r="O100" s="5">
        <v>41395</v>
      </c>
      <c r="P100" s="5">
        <v>41426</v>
      </c>
    </row>
    <row r="101" spans="1:16" x14ac:dyDescent="0.3">
      <c r="A101" t="s">
        <v>2396</v>
      </c>
      <c r="B101">
        <v>7.7903000000000002</v>
      </c>
      <c r="C101">
        <v>7.7903000000000002</v>
      </c>
      <c r="D101">
        <v>8.0950000000000006</v>
      </c>
      <c r="E101">
        <v>15164</v>
      </c>
      <c r="F101">
        <v>12383</v>
      </c>
      <c r="G101">
        <v>12039</v>
      </c>
      <c r="H101">
        <v>18632</v>
      </c>
      <c r="I101">
        <v>13804</v>
      </c>
      <c r="J101">
        <v>17682</v>
      </c>
      <c r="K101">
        <v>18922</v>
      </c>
      <c r="L101">
        <v>14852</v>
      </c>
      <c r="M101">
        <v>10928</v>
      </c>
      <c r="N101">
        <v>10696</v>
      </c>
      <c r="O101">
        <v>16657</v>
      </c>
      <c r="P101">
        <v>13936</v>
      </c>
    </row>
    <row r="102" spans="1:16" x14ac:dyDescent="0.3">
      <c r="A102" t="s">
        <v>2397</v>
      </c>
      <c r="B102">
        <v>4.9473000000000003</v>
      </c>
      <c r="C102">
        <v>4.9473000000000003</v>
      </c>
      <c r="D102">
        <v>5.194</v>
      </c>
      <c r="E102">
        <v>64022</v>
      </c>
      <c r="F102">
        <v>45959</v>
      </c>
      <c r="G102">
        <v>55520</v>
      </c>
      <c r="H102">
        <v>73084</v>
      </c>
      <c r="I102">
        <v>52552</v>
      </c>
      <c r="J102">
        <v>86280</v>
      </c>
      <c r="K102">
        <v>80219</v>
      </c>
      <c r="L102">
        <v>56243</v>
      </c>
      <c r="M102">
        <v>48422</v>
      </c>
      <c r="N102">
        <v>46118</v>
      </c>
      <c r="O102">
        <v>60387</v>
      </c>
      <c r="P102">
        <v>63133</v>
      </c>
    </row>
    <row r="103" spans="1:16" x14ac:dyDescent="0.3">
      <c r="A103" t="s">
        <v>2398</v>
      </c>
      <c r="B103">
        <v>7.7903000000000002</v>
      </c>
      <c r="C103">
        <v>7.7903000000000002</v>
      </c>
      <c r="D103">
        <v>8.0950000000000006</v>
      </c>
      <c r="E103">
        <v>31865</v>
      </c>
      <c r="F103">
        <v>25997</v>
      </c>
      <c r="G103">
        <v>25936</v>
      </c>
      <c r="H103">
        <v>40517</v>
      </c>
      <c r="I103">
        <v>29482</v>
      </c>
      <c r="J103">
        <v>39998</v>
      </c>
      <c r="K103">
        <v>42649</v>
      </c>
      <c r="L103">
        <v>30752</v>
      </c>
      <c r="M103">
        <v>22531</v>
      </c>
      <c r="N103">
        <v>22381</v>
      </c>
      <c r="O103">
        <v>33481</v>
      </c>
      <c r="P103">
        <v>28680</v>
      </c>
    </row>
    <row r="105" spans="1:16" x14ac:dyDescent="0.3">
      <c r="A105" t="s">
        <v>2397</v>
      </c>
      <c r="B105">
        <v>3.0003000000000002</v>
      </c>
      <c r="C105">
        <v>3.0003000000000002</v>
      </c>
      <c r="D105">
        <v>2.8168000000000002</v>
      </c>
      <c r="E105">
        <v>64022</v>
      </c>
      <c r="F105">
        <v>45959</v>
      </c>
      <c r="G105">
        <v>55520</v>
      </c>
      <c r="H105">
        <v>70215</v>
      </c>
      <c r="I105">
        <v>52619</v>
      </c>
      <c r="J105">
        <v>80013</v>
      </c>
      <c r="K105">
        <v>74008</v>
      </c>
      <c r="L105">
        <v>56268</v>
      </c>
      <c r="M105">
        <v>45886</v>
      </c>
      <c r="N105">
        <v>42224</v>
      </c>
      <c r="O105">
        <v>60387</v>
      </c>
      <c r="P105">
        <v>60898</v>
      </c>
    </row>
    <row r="106" spans="1:16" x14ac:dyDescent="0.3">
      <c r="A106" t="s">
        <v>2402</v>
      </c>
      <c r="B106">
        <v>3.4992000000000001</v>
      </c>
      <c r="C106">
        <v>3.4992000000000001</v>
      </c>
      <c r="D106">
        <v>3.4182000000000001</v>
      </c>
      <c r="E106">
        <v>243.21</v>
      </c>
      <c r="F106">
        <v>248.56</v>
      </c>
      <c r="G106">
        <v>258.39999999999998</v>
      </c>
      <c r="H106">
        <v>343.92</v>
      </c>
      <c r="I106">
        <v>258.8</v>
      </c>
      <c r="J106">
        <v>306.44</v>
      </c>
      <c r="K106">
        <v>306.44</v>
      </c>
      <c r="L106">
        <v>306.10000000000002</v>
      </c>
      <c r="M106">
        <v>244.83</v>
      </c>
      <c r="N106">
        <v>217.45</v>
      </c>
      <c r="O106">
        <v>226.93</v>
      </c>
      <c r="P106">
        <v>205.85</v>
      </c>
    </row>
    <row r="107" spans="1:16" x14ac:dyDescent="0.3">
      <c r="A107" t="s">
        <v>2396</v>
      </c>
      <c r="B107">
        <v>5.0293000000000001</v>
      </c>
      <c r="C107">
        <v>5.0293000000000001</v>
      </c>
      <c r="D107">
        <v>4.7365000000000004</v>
      </c>
      <c r="E107">
        <v>15164</v>
      </c>
      <c r="F107">
        <v>12383</v>
      </c>
      <c r="G107">
        <v>12039</v>
      </c>
      <c r="H107">
        <v>19605</v>
      </c>
      <c r="I107">
        <v>13830</v>
      </c>
      <c r="J107">
        <v>20114</v>
      </c>
      <c r="K107">
        <v>21384</v>
      </c>
      <c r="L107">
        <v>15154</v>
      </c>
      <c r="M107">
        <v>11864</v>
      </c>
      <c r="N107">
        <v>12039</v>
      </c>
      <c r="O107">
        <v>16657</v>
      </c>
      <c r="P107">
        <v>14679</v>
      </c>
    </row>
    <row r="108" spans="1:16" x14ac:dyDescent="0.3">
      <c r="A108" t="s">
        <v>2398</v>
      </c>
      <c r="B108">
        <v>5.0293000000000001</v>
      </c>
      <c r="C108">
        <v>5.0293000000000001</v>
      </c>
      <c r="D108">
        <v>4.7365000000000004</v>
      </c>
      <c r="E108">
        <v>31865</v>
      </c>
      <c r="F108">
        <v>25997</v>
      </c>
      <c r="G108">
        <v>25936</v>
      </c>
      <c r="H108">
        <v>42249</v>
      </c>
      <c r="I108">
        <v>29376</v>
      </c>
      <c r="J108">
        <v>43831</v>
      </c>
      <c r="K108">
        <v>46406</v>
      </c>
      <c r="L108">
        <v>30428</v>
      </c>
      <c r="M108">
        <v>24065</v>
      </c>
      <c r="N108">
        <v>25096</v>
      </c>
      <c r="O108">
        <v>33481</v>
      </c>
      <c r="P108">
        <v>30172</v>
      </c>
    </row>
    <row r="109" spans="1:16" x14ac:dyDescent="0.3">
      <c r="A109" t="s">
        <v>2403</v>
      </c>
      <c r="B109">
        <v>15.309699999999999</v>
      </c>
      <c r="C109">
        <v>15.309699999999999</v>
      </c>
      <c r="D109">
        <v>14.9551</v>
      </c>
      <c r="E109">
        <v>216.33</v>
      </c>
      <c r="F109">
        <v>220.91</v>
      </c>
      <c r="G109">
        <v>222.5</v>
      </c>
      <c r="H109">
        <v>279.61</v>
      </c>
      <c r="I109">
        <v>256.01</v>
      </c>
      <c r="J109">
        <v>363.63</v>
      </c>
      <c r="K109">
        <v>265.60000000000002</v>
      </c>
      <c r="L109">
        <v>290.83</v>
      </c>
      <c r="M109">
        <v>265.60000000000002</v>
      </c>
      <c r="N109">
        <v>216.93</v>
      </c>
      <c r="O109">
        <v>239.24</v>
      </c>
      <c r="P109">
        <v>201.38</v>
      </c>
    </row>
    <row r="110" spans="1:16" x14ac:dyDescent="0.3">
      <c r="A110" t="s">
        <v>2404</v>
      </c>
      <c r="B110">
        <v>15.309699999999999</v>
      </c>
      <c r="C110">
        <v>15.309699999999999</v>
      </c>
      <c r="D110">
        <v>14.9551</v>
      </c>
      <c r="E110">
        <v>244.83</v>
      </c>
      <c r="F110">
        <v>251.6</v>
      </c>
      <c r="G110">
        <v>289.25</v>
      </c>
      <c r="H110">
        <v>380.79</v>
      </c>
      <c r="I110">
        <v>307.67</v>
      </c>
      <c r="J110">
        <v>360.81</v>
      </c>
      <c r="K110">
        <v>317.35000000000002</v>
      </c>
      <c r="L110">
        <v>283.64</v>
      </c>
      <c r="M110">
        <v>282.42</v>
      </c>
      <c r="N110">
        <v>233.66</v>
      </c>
      <c r="O110">
        <v>233.66</v>
      </c>
      <c r="P110">
        <v>230.22</v>
      </c>
    </row>
    <row r="111" spans="1:16" x14ac:dyDescent="0.3">
      <c r="A111" t="s">
        <v>2405</v>
      </c>
      <c r="B111">
        <v>13.9354</v>
      </c>
      <c r="C111">
        <v>13.9354</v>
      </c>
      <c r="D111">
        <v>13.6127</v>
      </c>
      <c r="E111">
        <f t="shared" ref="E111:P111" si="22">DATE(YEAR(E100),MONTH(E100)+1,DAY(E100))-E100</f>
        <v>31</v>
      </c>
      <c r="F111">
        <f t="shared" si="22"/>
        <v>31</v>
      </c>
      <c r="G111">
        <f t="shared" si="22"/>
        <v>30</v>
      </c>
      <c r="H111">
        <f t="shared" si="22"/>
        <v>31</v>
      </c>
      <c r="I111">
        <f t="shared" si="22"/>
        <v>30</v>
      </c>
      <c r="J111">
        <f t="shared" si="22"/>
        <v>31</v>
      </c>
      <c r="K111">
        <f t="shared" si="22"/>
        <v>31</v>
      </c>
      <c r="L111">
        <f t="shared" si="22"/>
        <v>28</v>
      </c>
      <c r="M111">
        <f t="shared" si="22"/>
        <v>31</v>
      </c>
      <c r="N111">
        <f t="shared" si="22"/>
        <v>30</v>
      </c>
      <c r="O111">
        <f t="shared" si="22"/>
        <v>31</v>
      </c>
      <c r="P111">
        <f t="shared" si="22"/>
        <v>30</v>
      </c>
    </row>
    <row r="113" spans="1:19" x14ac:dyDescent="0.3">
      <c r="A113" t="s">
        <v>2408</v>
      </c>
      <c r="B113">
        <v>0.1353</v>
      </c>
      <c r="C113">
        <v>0.18690000000000001</v>
      </c>
      <c r="D113">
        <v>0.14729999999999999</v>
      </c>
      <c r="E113">
        <f>E105+E107+E108</f>
        <v>111051</v>
      </c>
      <c r="F113">
        <f t="shared" ref="F113:I113" si="23">F105+F107+F108</f>
        <v>84339</v>
      </c>
      <c r="G113">
        <f t="shared" si="23"/>
        <v>93495</v>
      </c>
      <c r="H113">
        <f t="shared" si="23"/>
        <v>132069</v>
      </c>
      <c r="I113">
        <f t="shared" si="23"/>
        <v>95825</v>
      </c>
      <c r="J113">
        <f t="shared" ref="J113:K113" si="24">J105+J107+J108</f>
        <v>143958</v>
      </c>
      <c r="K113">
        <f t="shared" si="24"/>
        <v>141798</v>
      </c>
      <c r="L113">
        <f t="shared" ref="L113:M113" si="25">L105+L107+L108</f>
        <v>101850</v>
      </c>
      <c r="M113">
        <f t="shared" si="25"/>
        <v>81815</v>
      </c>
      <c r="N113">
        <f t="shared" ref="N113:O113" si="26">N105+N107+N108</f>
        <v>79359</v>
      </c>
      <c r="O113">
        <f t="shared" si="26"/>
        <v>110525</v>
      </c>
      <c r="P113">
        <f t="shared" ref="P113" si="27">P105+P107+P108</f>
        <v>105749</v>
      </c>
    </row>
    <row r="114" spans="1:19" x14ac:dyDescent="0.3">
      <c r="A114" t="s">
        <v>2406</v>
      </c>
      <c r="B114">
        <v>0.44419999999999998</v>
      </c>
      <c r="C114">
        <v>0.47660000000000002</v>
      </c>
      <c r="D114">
        <v>0.48120000000000002</v>
      </c>
      <c r="E114">
        <f t="shared" ref="E114:P114" si="28">SUM(E101:E103)</f>
        <v>111051</v>
      </c>
      <c r="F114">
        <f t="shared" si="28"/>
        <v>84339</v>
      </c>
      <c r="G114">
        <f t="shared" si="28"/>
        <v>93495</v>
      </c>
      <c r="H114">
        <f t="shared" si="28"/>
        <v>132233</v>
      </c>
      <c r="I114">
        <f t="shared" si="28"/>
        <v>95838</v>
      </c>
      <c r="J114">
        <f t="shared" si="28"/>
        <v>143960</v>
      </c>
      <c r="K114">
        <f t="shared" si="28"/>
        <v>141790</v>
      </c>
      <c r="L114">
        <f t="shared" si="28"/>
        <v>101847</v>
      </c>
      <c r="M114">
        <f t="shared" si="28"/>
        <v>81881</v>
      </c>
      <c r="N114">
        <f t="shared" si="28"/>
        <v>79195</v>
      </c>
      <c r="O114">
        <f t="shared" si="28"/>
        <v>110525</v>
      </c>
      <c r="P114">
        <f t="shared" si="28"/>
        <v>105749</v>
      </c>
    </row>
    <row r="115" spans="1:19" x14ac:dyDescent="0.3">
      <c r="A115" t="s">
        <v>2407</v>
      </c>
      <c r="B115">
        <v>0.5333</v>
      </c>
      <c r="C115">
        <v>0.94789999999999996</v>
      </c>
      <c r="D115">
        <v>0.33500000000000002</v>
      </c>
    </row>
    <row r="116" spans="1:19" x14ac:dyDescent="0.3">
      <c r="A116" t="s">
        <v>2409</v>
      </c>
      <c r="B116">
        <v>4.3400000000000001E-2</v>
      </c>
      <c r="C116">
        <v>4.3400000000000001E-2</v>
      </c>
      <c r="D116">
        <v>3.78E-2</v>
      </c>
    </row>
    <row r="117" spans="1:19" x14ac:dyDescent="0.3">
      <c r="A117" t="s">
        <v>2410</v>
      </c>
      <c r="D117">
        <f>AVERAGE(E117:P117)</f>
        <v>3.8666666666666662E-2</v>
      </c>
      <c r="E117">
        <v>4.2799999999999998E-2</v>
      </c>
      <c r="F117">
        <v>1.21E-2</v>
      </c>
      <c r="G117">
        <v>2.8799999999999999E-2</v>
      </c>
      <c r="H117">
        <v>3.1300000000000001E-2</v>
      </c>
      <c r="I117">
        <v>3.7100000000000001E-2</v>
      </c>
      <c r="J117">
        <v>6.2899999999999998E-2</v>
      </c>
      <c r="K117">
        <v>0.03</v>
      </c>
      <c r="L117">
        <v>8.2900000000000001E-2</v>
      </c>
      <c r="M117">
        <v>3.5700000000000003E-2</v>
      </c>
      <c r="N117">
        <v>3.7999999999999999E-2</v>
      </c>
      <c r="O117">
        <v>3.9300000000000002E-2</v>
      </c>
      <c r="P117">
        <v>2.3099999999999999E-2</v>
      </c>
    </row>
    <row r="118" spans="1:19" x14ac:dyDescent="0.3">
      <c r="A118" t="s">
        <v>2411</v>
      </c>
      <c r="B118">
        <v>95</v>
      </c>
      <c r="C118">
        <v>95</v>
      </c>
      <c r="D118">
        <v>95</v>
      </c>
    </row>
    <row r="119" spans="1:19" x14ac:dyDescent="0.3">
      <c r="A119" t="s">
        <v>2413</v>
      </c>
      <c r="E119">
        <v>22975.61</v>
      </c>
      <c r="F119">
        <v>20007.77</v>
      </c>
      <c r="G119">
        <v>21604.73</v>
      </c>
      <c r="H119">
        <v>29537.29</v>
      </c>
      <c r="I119">
        <v>23007.5</v>
      </c>
      <c r="J119">
        <v>31706.25</v>
      </c>
      <c r="K119">
        <v>30521.58</v>
      </c>
      <c r="L119">
        <v>24943.67</v>
      </c>
      <c r="M119">
        <v>21556.76</v>
      </c>
      <c r="N119">
        <v>18148.560000000001</v>
      </c>
      <c r="O119" s="61">
        <v>23826.28</v>
      </c>
      <c r="P119">
        <v>22155.67</v>
      </c>
    </row>
    <row r="121" spans="1:19" x14ac:dyDescent="0.3">
      <c r="A121" t="s">
        <v>2399</v>
      </c>
      <c r="E121" s="61">
        <f t="shared" ref="E121:J121" si="29">SUMPRODUCT($B101:$B103,E101:E103)/100</f>
        <v>6831.0605930000011</v>
      </c>
      <c r="F121" s="61">
        <f t="shared" si="29"/>
        <v>5263.6467470000007</v>
      </c>
      <c r="G121" s="61">
        <f t="shared" si="29"/>
        <v>5705.1073849999993</v>
      </c>
      <c r="H121" s="61">
        <f t="shared" si="29"/>
        <v>8223.5692789999994</v>
      </c>
      <c r="I121" s="61">
        <f t="shared" si="29"/>
        <v>5972.0143540000008</v>
      </c>
      <c r="J121" s="61">
        <f t="shared" si="29"/>
        <v>8761.9754799999992</v>
      </c>
      <c r="K121" s="61">
        <f t="shared" ref="K121:P121" si="30">SUMPRODUCT($C101:$C103,K101:K103)/100</f>
        <v>8765.2402000000002</v>
      </c>
      <c r="L121" s="61">
        <f t="shared" si="30"/>
        <v>6335.198351</v>
      </c>
      <c r="M121" s="61">
        <f t="shared" si="30"/>
        <v>5002.1380830000007</v>
      </c>
      <c r="N121" s="61">
        <f t="shared" si="30"/>
        <v>4858.3933450000004</v>
      </c>
      <c r="O121" s="61">
        <f t="shared" si="30"/>
        <v>6893.4266650000009</v>
      </c>
      <c r="P121" s="61">
        <f t="shared" si="30"/>
        <v>6443.2931570000001</v>
      </c>
      <c r="R121" s="129"/>
      <c r="S121" s="93"/>
    </row>
    <row r="122" spans="1:19" x14ac:dyDescent="0.3">
      <c r="A122" t="s">
        <v>2400</v>
      </c>
      <c r="E122" s="61">
        <f t="shared" ref="E122:J122" si="31">($B105*E105+$B107*E107+$B108*E108)/100+$B106*E106+$B109*E109+$B110*E110+$B111*E111</f>
        <v>12629.340646999999</v>
      </c>
      <c r="F122" s="61">
        <f t="shared" si="31"/>
        <v>11844.898116</v>
      </c>
      <c r="G122" s="61">
        <f t="shared" si="31"/>
        <v>12732.637490000001</v>
      </c>
      <c r="H122" s="61">
        <f t="shared" si="31"/>
        <v>16963.452011000001</v>
      </c>
      <c r="I122" s="61">
        <f t="shared" si="31"/>
        <v>13705.113871</v>
      </c>
      <c r="J122" s="61">
        <f t="shared" si="31"/>
        <v>18211.86724</v>
      </c>
      <c r="K122" s="61">
        <f t="shared" ref="K122:P122" si="32">($C105*K105+$C107*K107+$C108*K108)/100+$C106*K106+$C109*K109+$C110*K110+$C111*K111</f>
        <v>16058.906357</v>
      </c>
      <c r="L122" s="61">
        <f t="shared" si="32"/>
        <v>14236.924008999998</v>
      </c>
      <c r="M122" s="61">
        <f t="shared" si="32"/>
        <v>12862.423185</v>
      </c>
      <c r="N122" s="61">
        <f t="shared" si="32"/>
        <v>11211.83799</v>
      </c>
      <c r="O122" s="61">
        <f t="shared" si="32"/>
        <v>12799.409581000002</v>
      </c>
      <c r="P122" s="61">
        <f t="shared" si="32"/>
        <v>11828.852876999999</v>
      </c>
      <c r="R122" s="129"/>
      <c r="S122" s="93"/>
    </row>
    <row r="123" spans="1:19" x14ac:dyDescent="0.3">
      <c r="A123" t="s">
        <v>2401</v>
      </c>
      <c r="E123" s="61">
        <f t="shared" ref="E123:J123" si="33">((SUM($B114:$B116)+E117)*E114+$B113*E113)/100+$B118</f>
        <v>1426.5014900000001</v>
      </c>
      <c r="F123" s="61">
        <f t="shared" si="33"/>
        <v>1080.332537</v>
      </c>
      <c r="G123" s="61">
        <f t="shared" si="33"/>
        <v>1202.9157500000001</v>
      </c>
      <c r="H123" s="61">
        <f t="shared" si="33"/>
        <v>1665.0449830000005</v>
      </c>
      <c r="I123" s="61">
        <f t="shared" si="33"/>
        <v>1238.6172650000001</v>
      </c>
      <c r="J123" s="61">
        <f t="shared" si="33"/>
        <v>1850.0136540000003</v>
      </c>
      <c r="K123" s="61">
        <f t="shared" ref="K123:P123" si="34">((SUM($C114:$C116)+K117)*K114+$C113*K113)/100+$C118</f>
        <v>2483.8928720000004</v>
      </c>
      <c r="L123" s="61">
        <f t="shared" si="34"/>
        <v>1864.8009260000003</v>
      </c>
      <c r="M123" s="61">
        <f t="shared" si="34"/>
        <v>1479.0749510000003</v>
      </c>
      <c r="N123" s="61">
        <f t="shared" si="34"/>
        <v>1435.919476</v>
      </c>
      <c r="O123" s="61">
        <f t="shared" si="34"/>
        <v>1967.404025</v>
      </c>
      <c r="P123" s="61">
        <f t="shared" si="34"/>
        <v>1869.3624710000004</v>
      </c>
      <c r="R123" s="129"/>
      <c r="S123" s="93"/>
    </row>
    <row r="124" spans="1:19" x14ac:dyDescent="0.3">
      <c r="E124" s="61"/>
      <c r="F124" s="61"/>
      <c r="G124" s="61"/>
      <c r="H124" s="61"/>
      <c r="I124" s="61"/>
      <c r="J124" s="61"/>
      <c r="K124" s="61"/>
      <c r="L124" s="61"/>
      <c r="M124" s="61"/>
      <c r="N124" s="61"/>
      <c r="O124" s="61"/>
      <c r="P124" s="61"/>
    </row>
    <row r="125" spans="1:19" x14ac:dyDescent="0.3">
      <c r="A125" t="s">
        <v>2417</v>
      </c>
      <c r="E125" s="61">
        <f>SUM(E121:E123)</f>
        <v>20886.902729999998</v>
      </c>
      <c r="F125" s="61">
        <f t="shared" ref="F125:P125" si="35">SUM(F121:F123)</f>
        <v>18188.877400000001</v>
      </c>
      <c r="G125" s="61">
        <f t="shared" si="35"/>
        <v>19640.660625</v>
      </c>
      <c r="H125" s="61">
        <f t="shared" si="35"/>
        <v>26852.066273</v>
      </c>
      <c r="I125" s="61">
        <f t="shared" si="35"/>
        <v>20915.745490000001</v>
      </c>
      <c r="J125" s="61">
        <f t="shared" si="35"/>
        <v>28823.856374000003</v>
      </c>
      <c r="K125" s="61">
        <f t="shared" si="35"/>
        <v>27308.039429</v>
      </c>
      <c r="L125" s="61">
        <f t="shared" si="35"/>
        <v>22436.923285999997</v>
      </c>
      <c r="M125" s="61">
        <f t="shared" si="35"/>
        <v>19343.636219</v>
      </c>
      <c r="N125" s="61">
        <f t="shared" si="35"/>
        <v>17506.150811</v>
      </c>
      <c r="O125" s="61">
        <f t="shared" si="35"/>
        <v>21660.240271000002</v>
      </c>
      <c r="P125" s="61">
        <f t="shared" si="35"/>
        <v>20141.508504999998</v>
      </c>
      <c r="R125" s="61"/>
    </row>
    <row r="126" spans="1:19" x14ac:dyDescent="0.3">
      <c r="A126" t="s">
        <v>2416</v>
      </c>
      <c r="E126" s="61">
        <f t="shared" ref="E126:P126" si="36">SUMPRODUCT($D101:$D103,E101:E103)/100+($D105*E105+$D107*E107+$D108*E108)/100+$D106*E106+$D109*E109+$D110*E110+$D111*E111+((SUM($D114:$D116)+D117)*E114+$D113*E113)/100+$D118</f>
        <v>20563.121931999998</v>
      </c>
      <c r="F126" s="61">
        <f t="shared" si="36"/>
        <v>17920.052563999998</v>
      </c>
      <c r="G126" s="61">
        <f t="shared" si="36"/>
        <v>19307.752920000003</v>
      </c>
      <c r="H126" s="61">
        <f t="shared" si="36"/>
        <v>26422.444985000002</v>
      </c>
      <c r="I126" s="61">
        <f t="shared" si="36"/>
        <v>20569.682729000004</v>
      </c>
      <c r="J126" s="61">
        <f t="shared" si="36"/>
        <v>28326.557554999999</v>
      </c>
      <c r="K126" s="61">
        <f t="shared" si="36"/>
        <v>26237.761421000003</v>
      </c>
      <c r="L126" s="61">
        <f t="shared" si="36"/>
        <v>21520.929120999997</v>
      </c>
      <c r="M126" s="61">
        <f t="shared" si="36"/>
        <v>18655.060754999999</v>
      </c>
      <c r="N126" s="61">
        <f t="shared" si="36"/>
        <v>16827.997798</v>
      </c>
      <c r="O126" s="61">
        <f t="shared" si="36"/>
        <v>20784.578206999999</v>
      </c>
      <c r="P126" s="61">
        <f t="shared" si="36"/>
        <v>19330.698423000002</v>
      </c>
      <c r="R126" s="61"/>
      <c r="S126" s="101"/>
    </row>
    <row r="128" spans="1:19" x14ac:dyDescent="0.3">
      <c r="E128" t="s">
        <v>7</v>
      </c>
    </row>
    <row r="129" spans="1:16" x14ac:dyDescent="0.3">
      <c r="A129" t="s">
        <v>538</v>
      </c>
      <c r="E129" s="5">
        <v>41091</v>
      </c>
      <c r="F129" s="5">
        <v>41122</v>
      </c>
      <c r="G129" s="5">
        <v>41153</v>
      </c>
      <c r="H129" s="5">
        <v>41183</v>
      </c>
      <c r="I129" s="5">
        <v>41214</v>
      </c>
      <c r="J129" s="5">
        <v>41244</v>
      </c>
      <c r="K129" s="5">
        <v>41275</v>
      </c>
      <c r="L129" s="5">
        <v>41306</v>
      </c>
      <c r="M129" s="5">
        <v>41334</v>
      </c>
      <c r="N129" s="5">
        <v>41365</v>
      </c>
      <c r="O129" s="5">
        <v>41395</v>
      </c>
      <c r="P129" s="5">
        <v>41426</v>
      </c>
    </row>
    <row r="130" spans="1:16" x14ac:dyDescent="0.3">
      <c r="A130" t="s">
        <v>2396</v>
      </c>
      <c r="B130">
        <v>8.2723999999999993</v>
      </c>
      <c r="C130">
        <v>8.2723999999999993</v>
      </c>
      <c r="D130">
        <v>8.4689999999999994</v>
      </c>
      <c r="E130">
        <v>15382.4</v>
      </c>
      <c r="F130">
        <v>13355.04</v>
      </c>
      <c r="G130">
        <v>13314.24</v>
      </c>
      <c r="H130">
        <v>20427.2</v>
      </c>
      <c r="I130">
        <v>15380.96</v>
      </c>
      <c r="J130">
        <v>18060.8</v>
      </c>
      <c r="K130">
        <v>17058.400000000001</v>
      </c>
      <c r="L130">
        <v>15828</v>
      </c>
      <c r="M130">
        <v>12085.92</v>
      </c>
      <c r="N130">
        <v>13012.24</v>
      </c>
      <c r="O130">
        <v>18519.46</v>
      </c>
      <c r="P130">
        <v>14906.46</v>
      </c>
    </row>
    <row r="131" spans="1:16" x14ac:dyDescent="0.3">
      <c r="A131" t="s">
        <v>2397</v>
      </c>
      <c r="B131">
        <v>5.2534999999999998</v>
      </c>
      <c r="C131">
        <v>5.2534999999999998</v>
      </c>
      <c r="D131">
        <v>5.4339000000000004</v>
      </c>
      <c r="E131">
        <v>64427.839999999997</v>
      </c>
      <c r="F131">
        <v>49944.32</v>
      </c>
      <c r="G131">
        <v>62116.480000000003</v>
      </c>
      <c r="H131">
        <v>80063.039999999994</v>
      </c>
      <c r="I131">
        <v>59385.440000000002</v>
      </c>
      <c r="J131">
        <v>87190.399999999994</v>
      </c>
      <c r="K131">
        <v>73536.160000000003</v>
      </c>
      <c r="L131">
        <v>59910.239999999998</v>
      </c>
      <c r="M131">
        <v>53918.400000000001</v>
      </c>
      <c r="N131">
        <v>58066.78</v>
      </c>
      <c r="O131">
        <v>64497.78</v>
      </c>
      <c r="P131">
        <v>68642.179999999993</v>
      </c>
    </row>
    <row r="132" spans="1:16" x14ac:dyDescent="0.3">
      <c r="A132" t="s">
        <v>2398</v>
      </c>
      <c r="B132">
        <v>8.2723999999999993</v>
      </c>
      <c r="C132">
        <v>8.2723999999999993</v>
      </c>
      <c r="D132">
        <v>8.4689999999999994</v>
      </c>
      <c r="E132">
        <v>32635.040000000001</v>
      </c>
      <c r="F132">
        <v>27929.919999999998</v>
      </c>
      <c r="G132">
        <v>28198.400000000001</v>
      </c>
      <c r="H132">
        <v>43710.080000000002</v>
      </c>
      <c r="I132">
        <v>32089.759999999998</v>
      </c>
      <c r="J132">
        <v>38114.239999999998</v>
      </c>
      <c r="K132">
        <v>35931.040000000001</v>
      </c>
      <c r="L132">
        <v>33001.279999999999</v>
      </c>
      <c r="M132">
        <v>25022.560000000001</v>
      </c>
      <c r="N132">
        <v>27284.63</v>
      </c>
      <c r="O132">
        <v>37950.879999999997</v>
      </c>
      <c r="P132">
        <v>30684.83</v>
      </c>
    </row>
    <row r="134" spans="1:16" x14ac:dyDescent="0.3">
      <c r="A134" t="s">
        <v>2397</v>
      </c>
      <c r="B134">
        <v>3.0003000000000002</v>
      </c>
      <c r="C134">
        <v>3.0003000000000002</v>
      </c>
      <c r="D134">
        <v>2.8168000000000002</v>
      </c>
      <c r="E134">
        <v>64427.839999999997</v>
      </c>
      <c r="F134">
        <v>49944.32</v>
      </c>
      <c r="G134">
        <v>62116.480000000003</v>
      </c>
      <c r="H134">
        <v>76963.520000000004</v>
      </c>
      <c r="I134">
        <v>59458.080000000002</v>
      </c>
      <c r="J134">
        <v>81487.839999999997</v>
      </c>
      <c r="K134">
        <v>69793.440000000002</v>
      </c>
      <c r="L134">
        <v>59962.239999999998</v>
      </c>
      <c r="M134">
        <v>51232</v>
      </c>
      <c r="N134">
        <v>52963.58</v>
      </c>
      <c r="O134">
        <v>64497.78</v>
      </c>
      <c r="P134">
        <v>66186.33</v>
      </c>
    </row>
    <row r="135" spans="1:16" x14ac:dyDescent="0.3">
      <c r="A135" t="s">
        <v>2402</v>
      </c>
      <c r="B135">
        <v>3.4992000000000001</v>
      </c>
      <c r="C135">
        <v>3.4992000000000001</v>
      </c>
      <c r="D135">
        <v>3.4182000000000001</v>
      </c>
      <c r="E135">
        <v>263.83</v>
      </c>
      <c r="F135">
        <v>260.23</v>
      </c>
      <c r="G135">
        <v>292.33999999999997</v>
      </c>
      <c r="H135">
        <v>356.45</v>
      </c>
      <c r="I135">
        <v>298.77999999999997</v>
      </c>
      <c r="J135">
        <v>320.36</v>
      </c>
      <c r="K135">
        <v>409.01</v>
      </c>
      <c r="L135">
        <v>337.1</v>
      </c>
      <c r="M135">
        <v>278.32</v>
      </c>
      <c r="N135">
        <v>250.28</v>
      </c>
      <c r="O135">
        <v>243.07</v>
      </c>
      <c r="P135">
        <v>233.06</v>
      </c>
    </row>
    <row r="136" spans="1:16" x14ac:dyDescent="0.3">
      <c r="A136" t="s">
        <v>2396</v>
      </c>
      <c r="B136">
        <v>5.0293000000000001</v>
      </c>
      <c r="C136">
        <v>5.0293000000000001</v>
      </c>
      <c r="D136">
        <v>4.7365000000000004</v>
      </c>
      <c r="E136">
        <v>15382.4</v>
      </c>
      <c r="F136">
        <v>13355.04</v>
      </c>
      <c r="G136">
        <v>13314.24</v>
      </c>
      <c r="H136">
        <v>21308.48</v>
      </c>
      <c r="I136">
        <v>15266.24</v>
      </c>
      <c r="J136">
        <v>19908.16</v>
      </c>
      <c r="K136">
        <v>18824.96</v>
      </c>
      <c r="L136">
        <v>16072</v>
      </c>
      <c r="M136">
        <v>13053.12</v>
      </c>
      <c r="N136">
        <v>14770.96</v>
      </c>
      <c r="O136">
        <v>18519.46</v>
      </c>
      <c r="P136">
        <v>15727.62</v>
      </c>
    </row>
    <row r="137" spans="1:16" x14ac:dyDescent="0.3">
      <c r="A137" t="s">
        <v>2398</v>
      </c>
      <c r="B137">
        <v>5.0293000000000001</v>
      </c>
      <c r="C137">
        <v>5.0293000000000001</v>
      </c>
      <c r="D137">
        <v>4.7365000000000004</v>
      </c>
      <c r="E137">
        <v>32635.040000000001</v>
      </c>
      <c r="F137">
        <v>27929.919999999998</v>
      </c>
      <c r="G137">
        <v>28198.400000000001</v>
      </c>
      <c r="H137">
        <v>45738.879999999997</v>
      </c>
      <c r="I137">
        <v>32129.439999999999</v>
      </c>
      <c r="J137">
        <v>41982.559999999998</v>
      </c>
      <c r="K137">
        <v>37972.959999999999</v>
      </c>
      <c r="L137">
        <v>32703.040000000001</v>
      </c>
      <c r="M137">
        <v>26687.84</v>
      </c>
      <c r="N137">
        <v>30798.23</v>
      </c>
      <c r="O137">
        <v>37950.879999999997</v>
      </c>
      <c r="P137">
        <v>32319.52</v>
      </c>
    </row>
    <row r="138" spans="1:16" x14ac:dyDescent="0.3">
      <c r="A138" t="s">
        <v>2403</v>
      </c>
      <c r="B138">
        <v>15.309699999999999</v>
      </c>
      <c r="C138">
        <v>15.309699999999999</v>
      </c>
      <c r="D138">
        <v>14.9551</v>
      </c>
      <c r="E138">
        <v>229.64</v>
      </c>
      <c r="F138">
        <v>218.87</v>
      </c>
      <c r="G138">
        <v>258.54000000000002</v>
      </c>
      <c r="H138">
        <v>290.83</v>
      </c>
      <c r="I138">
        <v>276.07</v>
      </c>
      <c r="J138">
        <v>355.76</v>
      </c>
      <c r="K138">
        <v>361.54</v>
      </c>
      <c r="L138">
        <v>307.89999999999998</v>
      </c>
      <c r="M138">
        <v>289.55</v>
      </c>
      <c r="N138">
        <v>244.85</v>
      </c>
      <c r="O138">
        <v>263.87</v>
      </c>
      <c r="P138">
        <v>219.74</v>
      </c>
    </row>
    <row r="139" spans="1:16" x14ac:dyDescent="0.3">
      <c r="A139" t="s">
        <v>2404</v>
      </c>
      <c r="B139">
        <v>15.309699999999999</v>
      </c>
      <c r="C139">
        <v>15.309699999999999</v>
      </c>
      <c r="D139">
        <v>14.9551</v>
      </c>
      <c r="E139">
        <v>264.14999999999998</v>
      </c>
      <c r="F139">
        <v>265.82</v>
      </c>
      <c r="G139">
        <v>291.19</v>
      </c>
      <c r="H139">
        <v>558.6</v>
      </c>
      <c r="I139">
        <v>337.37</v>
      </c>
      <c r="J139">
        <v>397.38</v>
      </c>
      <c r="K139">
        <v>383.02</v>
      </c>
      <c r="L139">
        <v>310.08999999999997</v>
      </c>
      <c r="M139">
        <v>317.02999999999997</v>
      </c>
      <c r="N139">
        <v>257.22000000000003</v>
      </c>
      <c r="O139">
        <v>257.08</v>
      </c>
      <c r="P139">
        <v>262.33</v>
      </c>
    </row>
    <row r="140" spans="1:16" x14ac:dyDescent="0.3">
      <c r="A140" t="s">
        <v>2405</v>
      </c>
      <c r="B140">
        <v>13.9354</v>
      </c>
      <c r="C140">
        <v>13.9354</v>
      </c>
      <c r="D140">
        <v>13.6127</v>
      </c>
      <c r="E140">
        <f t="shared" ref="E140:P140" si="37">DATE(YEAR(E129),MONTH(E129)+1,DAY(E129))-E129</f>
        <v>31</v>
      </c>
      <c r="F140">
        <f t="shared" si="37"/>
        <v>31</v>
      </c>
      <c r="G140">
        <f t="shared" si="37"/>
        <v>30</v>
      </c>
      <c r="H140">
        <f t="shared" si="37"/>
        <v>31</v>
      </c>
      <c r="I140">
        <f t="shared" si="37"/>
        <v>30</v>
      </c>
      <c r="J140">
        <f t="shared" si="37"/>
        <v>31</v>
      </c>
      <c r="K140">
        <f t="shared" si="37"/>
        <v>31</v>
      </c>
      <c r="L140">
        <f t="shared" si="37"/>
        <v>28</v>
      </c>
      <c r="M140">
        <f t="shared" si="37"/>
        <v>31</v>
      </c>
      <c r="N140">
        <f t="shared" si="37"/>
        <v>30</v>
      </c>
      <c r="O140">
        <f t="shared" si="37"/>
        <v>31</v>
      </c>
      <c r="P140">
        <f t="shared" si="37"/>
        <v>30</v>
      </c>
    </row>
    <row r="142" spans="1:16" x14ac:dyDescent="0.3">
      <c r="A142" t="s">
        <v>2408</v>
      </c>
      <c r="B142">
        <v>0.1353</v>
      </c>
      <c r="C142">
        <v>0.18690000000000001</v>
      </c>
      <c r="D142">
        <v>0.14729999999999999</v>
      </c>
      <c r="E142">
        <f t="shared" ref="E142:P142" si="38">E134+E136+E137</f>
        <v>112445.28</v>
      </c>
      <c r="F142">
        <f t="shared" si="38"/>
        <v>91229.28</v>
      </c>
      <c r="G142">
        <f t="shared" si="38"/>
        <v>103629.12</v>
      </c>
      <c r="H142">
        <f t="shared" si="38"/>
        <v>144010.88</v>
      </c>
      <c r="I142">
        <f t="shared" si="38"/>
        <v>106853.76000000001</v>
      </c>
      <c r="J142">
        <f t="shared" si="38"/>
        <v>143378.56</v>
      </c>
      <c r="K142">
        <f t="shared" si="38"/>
        <v>126591.35999999999</v>
      </c>
      <c r="L142">
        <f t="shared" si="38"/>
        <v>108737.28</v>
      </c>
      <c r="M142">
        <f t="shared" si="38"/>
        <v>90972.96</v>
      </c>
      <c r="N142">
        <f t="shared" si="38"/>
        <v>98532.77</v>
      </c>
      <c r="O142">
        <f t="shared" si="38"/>
        <v>120968.12</v>
      </c>
      <c r="P142">
        <f t="shared" si="38"/>
        <v>114233.47</v>
      </c>
    </row>
    <row r="143" spans="1:16" x14ac:dyDescent="0.3">
      <c r="A143" t="s">
        <v>2406</v>
      </c>
      <c r="B143">
        <v>0.44419999999999998</v>
      </c>
      <c r="C143">
        <v>0.47660000000000002</v>
      </c>
      <c r="D143">
        <v>0.48120000000000002</v>
      </c>
      <c r="E143">
        <f t="shared" ref="E143:P143" si="39">SUM(E130:E132)</f>
        <v>112445.28</v>
      </c>
      <c r="F143">
        <f t="shared" si="39"/>
        <v>91229.28</v>
      </c>
      <c r="G143">
        <f t="shared" si="39"/>
        <v>103629.12</v>
      </c>
      <c r="H143">
        <f t="shared" si="39"/>
        <v>144200.32000000001</v>
      </c>
      <c r="I143">
        <f t="shared" si="39"/>
        <v>106856.15999999999</v>
      </c>
      <c r="J143">
        <f t="shared" si="39"/>
        <v>143365.44</v>
      </c>
      <c r="K143">
        <f t="shared" si="39"/>
        <v>126525.6</v>
      </c>
      <c r="L143">
        <f t="shared" si="39"/>
        <v>108739.51999999999</v>
      </c>
      <c r="M143">
        <f t="shared" si="39"/>
        <v>91026.880000000005</v>
      </c>
      <c r="N143">
        <f t="shared" si="39"/>
        <v>98363.650000000009</v>
      </c>
      <c r="O143">
        <f t="shared" si="39"/>
        <v>120968.12</v>
      </c>
      <c r="P143">
        <f t="shared" si="39"/>
        <v>114233.46999999999</v>
      </c>
    </row>
    <row r="144" spans="1:16" x14ac:dyDescent="0.3">
      <c r="A144" t="s">
        <v>2407</v>
      </c>
      <c r="B144">
        <v>0.5333</v>
      </c>
      <c r="C144">
        <v>0.94789999999999996</v>
      </c>
      <c r="D144">
        <v>0.33500000000000002</v>
      </c>
    </row>
    <row r="145" spans="1:19" x14ac:dyDescent="0.3">
      <c r="A145" t="s">
        <v>2409</v>
      </c>
      <c r="B145">
        <v>4.3400000000000001E-2</v>
      </c>
      <c r="C145">
        <v>4.3400000000000001E-2</v>
      </c>
      <c r="D145">
        <v>3.78E-2</v>
      </c>
    </row>
    <row r="146" spans="1:19" x14ac:dyDescent="0.3">
      <c r="A146" t="s">
        <v>2410</v>
      </c>
      <c r="D146">
        <f>AVERAGE(E146:P146)</f>
        <v>3.8666666666666662E-2</v>
      </c>
      <c r="E146">
        <v>4.2799999999999998E-2</v>
      </c>
      <c r="F146">
        <v>1.21E-2</v>
      </c>
      <c r="G146">
        <v>2.8799999999999999E-2</v>
      </c>
      <c r="H146">
        <v>3.1300000000000001E-2</v>
      </c>
      <c r="I146">
        <v>3.7100000000000001E-2</v>
      </c>
      <c r="J146">
        <v>6.2899999999999998E-2</v>
      </c>
      <c r="K146">
        <v>0.03</v>
      </c>
      <c r="L146">
        <v>8.2900000000000001E-2</v>
      </c>
      <c r="M146">
        <v>3.5700000000000003E-2</v>
      </c>
      <c r="N146">
        <v>3.7999999999999999E-2</v>
      </c>
      <c r="O146">
        <v>3.9300000000000002E-2</v>
      </c>
      <c r="P146">
        <v>2.3099999999999999E-2</v>
      </c>
    </row>
    <row r="147" spans="1:19" x14ac:dyDescent="0.3">
      <c r="A147" t="s">
        <v>2411</v>
      </c>
      <c r="B147">
        <v>95</v>
      </c>
      <c r="C147">
        <v>95</v>
      </c>
      <c r="D147">
        <v>95</v>
      </c>
    </row>
    <row r="148" spans="1:19" x14ac:dyDescent="0.3">
      <c r="A148" t="s">
        <v>2413</v>
      </c>
      <c r="E148">
        <v>24373.87</v>
      </c>
      <c r="F148">
        <v>21596.05</v>
      </c>
      <c r="G148">
        <v>24116.51</v>
      </c>
      <c r="H148">
        <v>34956.78</v>
      </c>
      <c r="I148">
        <v>25888.09</v>
      </c>
      <c r="J148">
        <v>32786.9</v>
      </c>
      <c r="K148">
        <v>32090.18</v>
      </c>
      <c r="L148">
        <v>27374.57</v>
      </c>
      <c r="M148">
        <v>24355.17</v>
      </c>
      <c r="N148">
        <v>22004.16</v>
      </c>
      <c r="O148">
        <v>26772.240000000002</v>
      </c>
      <c r="P148">
        <v>24750.55</v>
      </c>
    </row>
    <row r="150" spans="1:19" x14ac:dyDescent="0.3">
      <c r="A150" t="s">
        <v>2399</v>
      </c>
      <c r="E150" s="61">
        <f t="shared" ref="E150:J150" si="40">SUMPRODUCT($B130:$B132,E130:E132)/100</f>
        <v>7356.9112809599992</v>
      </c>
      <c r="F150" s="61">
        <f t="shared" si="40"/>
        <v>6039.0818822399997</v>
      </c>
      <c r="G150" s="61">
        <f t="shared" si="40"/>
        <v>6697.3809081600002</v>
      </c>
      <c r="H150" s="61">
        <f t="shared" si="40"/>
        <v>9511.8041571199992</v>
      </c>
      <c r="I150" s="61">
        <f t="shared" si="40"/>
        <v>7046.7819316799987</v>
      </c>
      <c r="J150" s="61">
        <f t="shared" si="40"/>
        <v>9227.571672959999</v>
      </c>
      <c r="K150" s="61">
        <f t="shared" ref="K150:P150" si="41">SUMPRODUCT($C130:$C132,K130:K132)/100</f>
        <v>8246.7206001599989</v>
      </c>
      <c r="L150" s="61">
        <f t="shared" si="41"/>
        <v>7186.7378171199998</v>
      </c>
      <c r="M150" s="61">
        <f t="shared" si="41"/>
        <v>5902.3650435199997</v>
      </c>
      <c r="N150" s="61">
        <f t="shared" si="41"/>
        <v>6384.0565611799993</v>
      </c>
      <c r="O150" s="61">
        <f t="shared" si="41"/>
        <v>8059.84327846</v>
      </c>
      <c r="P150" s="61">
        <f t="shared" si="41"/>
        <v>7377.6108002599995</v>
      </c>
    </row>
    <row r="151" spans="1:19" x14ac:dyDescent="0.3">
      <c r="A151" t="s">
        <v>2400</v>
      </c>
      <c r="E151" s="61">
        <f t="shared" ref="E151:J151" si="42">($B134*E134+$B136*E136+$B137*E137)/100+$B135*E135+$B138*E138+$B139*E139+$B140*E140</f>
        <v>13262.93769244</v>
      </c>
      <c r="F151" s="61">
        <f t="shared" si="42"/>
        <v>12337.876635239998</v>
      </c>
      <c r="G151" s="61">
        <f t="shared" si="42"/>
        <v>13808.695461960002</v>
      </c>
      <c r="H151" s="61">
        <f t="shared" si="42"/>
        <v>20364.955078039999</v>
      </c>
      <c r="I151" s="61">
        <f t="shared" si="42"/>
        <v>15022.727052479999</v>
      </c>
      <c r="J151" s="61">
        <f t="shared" si="42"/>
        <v>18640.898214480003</v>
      </c>
      <c r="K151" s="61">
        <f t="shared" ref="K151:P151" si="43">($C134*K134+$C136*K136+$C137*K137)/100+$C135*K135+$C138*K138+$C139*K139+$C140*K140</f>
        <v>18212.74579488</v>
      </c>
      <c r="L151" s="61">
        <f t="shared" si="43"/>
        <v>15283.103196439997</v>
      </c>
      <c r="M151" s="61">
        <f t="shared" si="43"/>
        <v>14228.258367279999</v>
      </c>
      <c r="N151" s="61">
        <f t="shared" si="43"/>
        <v>12861.26041841</v>
      </c>
      <c r="O151" s="61">
        <f t="shared" si="43"/>
        <v>14033.325861959998</v>
      </c>
      <c r="P151" s="61">
        <f t="shared" si="43"/>
        <v>13016.155902009998</v>
      </c>
    </row>
    <row r="152" spans="1:19" x14ac:dyDescent="0.3">
      <c r="A152" t="s">
        <v>2401</v>
      </c>
      <c r="E152" s="61">
        <f t="shared" ref="E152:J152" si="44">((SUM($B143:$B145)+E146)*E143+$B142*E142)/100+$B147*2</f>
        <v>1538.2189071999999</v>
      </c>
      <c r="F152" s="61">
        <f t="shared" si="44"/>
        <v>1255.8316782400002</v>
      </c>
      <c r="G152" s="61">
        <f t="shared" si="44"/>
        <v>1418.0050720000002</v>
      </c>
      <c r="H152" s="61">
        <f t="shared" si="44"/>
        <v>1902.1224876800004</v>
      </c>
      <c r="I152" s="61">
        <f t="shared" si="44"/>
        <v>1465.1113100800001</v>
      </c>
      <c r="J152" s="61">
        <f t="shared" si="44"/>
        <v>1937.7858304000003</v>
      </c>
      <c r="K152" s="61">
        <f t="shared" ref="K152:P152" si="45">((SUM($C143:$C145)+K146)*K143+$C142*K142)/100+$C147*2</f>
        <v>2321.8262142400004</v>
      </c>
      <c r="L152" s="61">
        <f t="shared" si="45"/>
        <v>2079.5624524800005</v>
      </c>
      <c r="M152" s="61">
        <f t="shared" si="45"/>
        <v>1728.7086299200005</v>
      </c>
      <c r="N152" s="61">
        <f t="shared" si="45"/>
        <v>1855.4159524800002</v>
      </c>
      <c r="O152" s="61">
        <f t="shared" si="45"/>
        <v>2239.3209209199999</v>
      </c>
      <c r="P152" s="61">
        <f t="shared" si="45"/>
        <v>2106.7233931299997</v>
      </c>
    </row>
    <row r="153" spans="1:19" x14ac:dyDescent="0.3">
      <c r="E153" s="61"/>
      <c r="F153" s="61"/>
      <c r="G153" s="61"/>
      <c r="H153" s="61"/>
      <c r="I153" s="61"/>
      <c r="J153" s="61"/>
      <c r="K153" s="61"/>
      <c r="L153" s="61"/>
      <c r="M153" s="61"/>
      <c r="N153" s="61"/>
      <c r="O153" s="61"/>
      <c r="P153" s="61"/>
    </row>
    <row r="154" spans="1:19" x14ac:dyDescent="0.3">
      <c r="A154" t="s">
        <v>2417</v>
      </c>
      <c r="E154" s="61">
        <f>SUM(E150:E152)</f>
        <v>22158.0678806</v>
      </c>
      <c r="F154" s="61">
        <f t="shared" ref="F154:P154" si="46">SUM(F150:F152)</f>
        <v>19632.790195719997</v>
      </c>
      <c r="G154" s="61">
        <f t="shared" si="46"/>
        <v>21924.081442120001</v>
      </c>
      <c r="H154" s="61">
        <f t="shared" si="46"/>
        <v>31778.881722839997</v>
      </c>
      <c r="I154" s="61">
        <f t="shared" si="46"/>
        <v>23534.620294239998</v>
      </c>
      <c r="J154" s="61">
        <f t="shared" si="46"/>
        <v>29806.255717840002</v>
      </c>
      <c r="K154" s="61">
        <f t="shared" si="46"/>
        <v>28781.292609280001</v>
      </c>
      <c r="L154" s="61">
        <f t="shared" si="46"/>
        <v>24549.403466039999</v>
      </c>
      <c r="M154" s="61">
        <f t="shared" si="46"/>
        <v>21859.332040720001</v>
      </c>
      <c r="N154" s="61">
        <f t="shared" si="46"/>
        <v>21100.732932070001</v>
      </c>
      <c r="O154" s="61">
        <f t="shared" si="46"/>
        <v>24332.490061339999</v>
      </c>
      <c r="P154" s="61">
        <f t="shared" si="46"/>
        <v>22500.490095399997</v>
      </c>
      <c r="R154" s="61"/>
    </row>
    <row r="155" spans="1:19" x14ac:dyDescent="0.3">
      <c r="A155" t="s">
        <v>2416</v>
      </c>
      <c r="E155" s="61">
        <f t="shared" ref="E155:P155" si="47">SUMPRODUCT($D130:$D132,E130:E132)/100+($D134*E134+$D136*E136+$D137*E137)/100+$D135*E135+$D138*E138+$D139*E139+$D140*E140+((SUM($D143:$D145)+D146)*E143+$D142*E142)/100+$D147</f>
        <v>21629.58049932</v>
      </c>
      <c r="F155" s="61">
        <f t="shared" si="47"/>
        <v>19180.265620519996</v>
      </c>
      <c r="G155" s="61">
        <f t="shared" si="47"/>
        <v>21381.098303640003</v>
      </c>
      <c r="H155" s="61">
        <f t="shared" si="47"/>
        <v>31049.788545719995</v>
      </c>
      <c r="I155" s="61">
        <f t="shared" si="47"/>
        <v>22969.072794560001</v>
      </c>
      <c r="J155" s="61">
        <f t="shared" si="47"/>
        <v>29086.16503384</v>
      </c>
      <c r="K155" s="61">
        <f t="shared" si="47"/>
        <v>27536.355408240001</v>
      </c>
      <c r="L155" s="61">
        <f t="shared" si="47"/>
        <v>23382.020839719997</v>
      </c>
      <c r="M155" s="61">
        <f t="shared" si="47"/>
        <v>20924.668346000002</v>
      </c>
      <c r="N155" s="61">
        <f t="shared" si="47"/>
        <v>20105.97080177</v>
      </c>
      <c r="O155" s="61">
        <f t="shared" si="47"/>
        <v>23174.645673319999</v>
      </c>
      <c r="P155" s="61">
        <f t="shared" si="47"/>
        <v>21429.308336480004</v>
      </c>
      <c r="R155" s="61"/>
      <c r="S155" s="101"/>
    </row>
    <row r="158" spans="1:19" x14ac:dyDescent="0.3">
      <c r="C158">
        <v>2014</v>
      </c>
      <c r="E158">
        <v>2015</v>
      </c>
      <c r="F158">
        <v>2016</v>
      </c>
      <c r="G158">
        <v>2017</v>
      </c>
      <c r="H158">
        <v>2018</v>
      </c>
      <c r="I158">
        <v>2019</v>
      </c>
    </row>
    <row r="159" spans="1:19" x14ac:dyDescent="0.3">
      <c r="A159" t="s">
        <v>327</v>
      </c>
      <c r="C159" s="61">
        <f>R126</f>
        <v>0</v>
      </c>
      <c r="E159" s="61">
        <f>$C159*'Modelling Assumptions'!E101</f>
        <v>0</v>
      </c>
      <c r="F159" s="61">
        <f>$C159*'Modelling Assumptions'!F101</f>
        <v>0</v>
      </c>
      <c r="G159" s="61">
        <f>$C159*'Modelling Assumptions'!G101</f>
        <v>0</v>
      </c>
      <c r="H159" s="61">
        <f>$C159*'Modelling Assumptions'!H101</f>
        <v>0</v>
      </c>
      <c r="I159" s="61">
        <f>$C159*'Modelling Assumptions'!I101</f>
        <v>0</v>
      </c>
    </row>
    <row r="160" spans="1:19" x14ac:dyDescent="0.3">
      <c r="A160" t="s">
        <v>7</v>
      </c>
      <c r="C160" s="61">
        <f>R155</f>
        <v>0</v>
      </c>
      <c r="E160" s="61">
        <f>$C160*'Modelling Assumptions'!E102</f>
        <v>0</v>
      </c>
      <c r="F160" s="61">
        <f>$C160*'Modelling Assumptions'!F102</f>
        <v>0</v>
      </c>
      <c r="G160" s="61">
        <f>$C160*'Modelling Assumptions'!G102</f>
        <v>0</v>
      </c>
      <c r="H160" s="61">
        <f>$C160*'Modelling Assumptions'!H102</f>
        <v>0</v>
      </c>
      <c r="I160" s="61">
        <f>$C160*'Modelling Assumptions'!I102</f>
        <v>0</v>
      </c>
    </row>
    <row r="161" spans="1:16" x14ac:dyDescent="0.3">
      <c r="A161" t="s">
        <v>505</v>
      </c>
      <c r="E161" s="61">
        <f>SUM(E159:E160)</f>
        <v>0</v>
      </c>
      <c r="F161" s="61">
        <f t="shared" ref="F161:I161" si="48">SUM(F159:F160)</f>
        <v>0</v>
      </c>
      <c r="G161" s="61">
        <f t="shared" si="48"/>
        <v>0</v>
      </c>
      <c r="H161" s="61">
        <f t="shared" si="48"/>
        <v>0</v>
      </c>
      <c r="I161" s="61">
        <f t="shared" si="48"/>
        <v>0</v>
      </c>
      <c r="K161" s="61">
        <f>SUM(E161:I161)</f>
        <v>0</v>
      </c>
      <c r="L161" s="101">
        <f>(K161-K162)/K162</f>
        <v>-1</v>
      </c>
    </row>
    <row r="162" spans="1:16" x14ac:dyDescent="0.3">
      <c r="A162" t="s">
        <v>2418</v>
      </c>
      <c r="E162" s="61">
        <f>'Electricity Costs'!E4</f>
        <v>634282.33294629422</v>
      </c>
      <c r="F162" s="61">
        <f>'Electricity Costs'!F4</f>
        <v>668365.5309731788</v>
      </c>
      <c r="G162" s="61">
        <f>'Electricity Costs'!G4</f>
        <v>688416.4969023742</v>
      </c>
      <c r="H162" s="61">
        <f>'Electricity Costs'!H4</f>
        <v>724483.53510965069</v>
      </c>
      <c r="I162" s="61">
        <f>'Electricity Costs'!I4</f>
        <v>746218.04116294021</v>
      </c>
      <c r="K162" s="61">
        <f>SUM(E162:I162)</f>
        <v>3461765.9370944384</v>
      </c>
    </row>
    <row r="165" spans="1:16" x14ac:dyDescent="0.3">
      <c r="A165" t="s">
        <v>2058</v>
      </c>
      <c r="E165" s="5">
        <f>E129</f>
        <v>41091</v>
      </c>
      <c r="F165" s="5">
        <f t="shared" ref="F165:P165" si="49">F129</f>
        <v>41122</v>
      </c>
      <c r="G165" s="5">
        <f t="shared" si="49"/>
        <v>41153</v>
      </c>
      <c r="H165" s="5">
        <f t="shared" si="49"/>
        <v>41183</v>
      </c>
      <c r="I165" s="5">
        <f t="shared" si="49"/>
        <v>41214</v>
      </c>
      <c r="J165" s="5">
        <f t="shared" si="49"/>
        <v>41244</v>
      </c>
      <c r="K165" s="5">
        <f t="shared" si="49"/>
        <v>41275</v>
      </c>
      <c r="L165" s="5">
        <f t="shared" si="49"/>
        <v>41306</v>
      </c>
      <c r="M165" s="5">
        <f t="shared" si="49"/>
        <v>41334</v>
      </c>
      <c r="N165" s="5">
        <f t="shared" si="49"/>
        <v>41365</v>
      </c>
      <c r="O165" s="5">
        <f t="shared" si="49"/>
        <v>41395</v>
      </c>
      <c r="P165" s="5">
        <f t="shared" si="49"/>
        <v>41426</v>
      </c>
    </row>
    <row r="166" spans="1:16" x14ac:dyDescent="0.3">
      <c r="A166" t="s">
        <v>327</v>
      </c>
      <c r="E166">
        <f t="shared" ref="E166:P166" si="50">E114</f>
        <v>111051</v>
      </c>
      <c r="F166">
        <f t="shared" si="50"/>
        <v>84339</v>
      </c>
      <c r="G166">
        <f t="shared" si="50"/>
        <v>93495</v>
      </c>
      <c r="H166">
        <f t="shared" si="50"/>
        <v>132233</v>
      </c>
      <c r="I166">
        <f t="shared" si="50"/>
        <v>95838</v>
      </c>
      <c r="J166">
        <f t="shared" si="50"/>
        <v>143960</v>
      </c>
      <c r="K166">
        <f t="shared" si="50"/>
        <v>141790</v>
      </c>
      <c r="L166">
        <f t="shared" si="50"/>
        <v>101847</v>
      </c>
      <c r="M166">
        <f t="shared" si="50"/>
        <v>81881</v>
      </c>
      <c r="N166">
        <f t="shared" si="50"/>
        <v>79195</v>
      </c>
      <c r="O166">
        <f t="shared" si="50"/>
        <v>110525</v>
      </c>
      <c r="P166">
        <f t="shared" si="50"/>
        <v>105749</v>
      </c>
    </row>
    <row r="167" spans="1:16" x14ac:dyDescent="0.3">
      <c r="A167" t="s">
        <v>7</v>
      </c>
      <c r="E167">
        <f t="shared" ref="E167:P167" si="51">E143</f>
        <v>112445.28</v>
      </c>
      <c r="F167">
        <f t="shared" si="51"/>
        <v>91229.28</v>
      </c>
      <c r="G167">
        <f t="shared" si="51"/>
        <v>103629.12</v>
      </c>
      <c r="H167">
        <f t="shared" si="51"/>
        <v>144200.32000000001</v>
      </c>
      <c r="I167">
        <f t="shared" si="51"/>
        <v>106856.15999999999</v>
      </c>
      <c r="J167">
        <f t="shared" si="51"/>
        <v>143365.44</v>
      </c>
      <c r="K167">
        <f t="shared" si="51"/>
        <v>126525.6</v>
      </c>
      <c r="L167">
        <f t="shared" si="51"/>
        <v>108739.51999999999</v>
      </c>
      <c r="M167">
        <f t="shared" si="51"/>
        <v>91026.880000000005</v>
      </c>
      <c r="N167">
        <f t="shared" si="51"/>
        <v>98363.650000000009</v>
      </c>
      <c r="O167">
        <f t="shared" si="51"/>
        <v>120968.12</v>
      </c>
      <c r="P167">
        <f t="shared" si="51"/>
        <v>114233.46999999999</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144"/>
  <sheetViews>
    <sheetView workbookViewId="0"/>
  </sheetViews>
  <sheetFormatPr defaultRowHeight="14.4" x14ac:dyDescent="0.3"/>
  <cols>
    <col min="1" max="1" width="4.6640625" customWidth="1"/>
    <col min="2" max="2" width="5.88671875" customWidth="1"/>
    <col min="3" max="3" width="16.33203125" customWidth="1"/>
    <col min="4" max="4" width="8.5546875" customWidth="1"/>
    <col min="5" max="5" width="16" customWidth="1"/>
    <col min="6" max="6" width="59.88671875" customWidth="1"/>
    <col min="7" max="7" width="10.33203125" customWidth="1"/>
    <col min="8" max="8" width="18.6640625" customWidth="1"/>
    <col min="9" max="9" width="4" customWidth="1"/>
    <col min="10" max="10" width="10.33203125" customWidth="1"/>
    <col min="11" max="11" width="6.88671875" customWidth="1"/>
  </cols>
  <sheetData>
    <row r="1" spans="1:11" s="301" customFormat="1" ht="15" x14ac:dyDescent="0.25">
      <c r="B1" s="301" t="str">
        <f ca="1">UPPER(RIGHT(CELL("filename",A1),LEN(CELL("filename",A1))-FIND("]",CELL("filename",A1))))</f>
        <v>MAINTENANCE DOCUMENTS</v>
      </c>
    </row>
    <row r="2" spans="1:11" s="301" customFormat="1" ht="15" x14ac:dyDescent="0.25">
      <c r="A2" s="167" t="s">
        <v>3454</v>
      </c>
    </row>
    <row r="3" spans="1:11" x14ac:dyDescent="0.3">
      <c r="A3" s="18" t="s">
        <v>2439</v>
      </c>
      <c r="B3" s="17"/>
      <c r="C3" s="52"/>
      <c r="D3" s="70"/>
      <c r="E3" s="70"/>
      <c r="F3" s="301"/>
      <c r="G3" s="301"/>
      <c r="H3" s="70"/>
      <c r="I3" s="28"/>
      <c r="J3" s="130"/>
      <c r="K3" s="17"/>
    </row>
    <row r="4" spans="1:11" x14ac:dyDescent="0.3">
      <c r="A4" s="18" t="s">
        <v>2440</v>
      </c>
      <c r="B4" s="17"/>
      <c r="C4" s="52"/>
      <c r="D4" s="70"/>
      <c r="E4" s="70"/>
      <c r="F4" s="301"/>
      <c r="G4" s="301"/>
      <c r="H4" s="70"/>
      <c r="I4" s="28"/>
      <c r="J4" s="130"/>
      <c r="K4" s="17"/>
    </row>
    <row r="5" spans="1:11" x14ac:dyDescent="0.3">
      <c r="A5" s="17"/>
      <c r="B5" s="17"/>
      <c r="C5" s="52"/>
      <c r="D5" s="70"/>
      <c r="E5" s="70"/>
      <c r="F5" s="301"/>
      <c r="G5" s="301"/>
      <c r="H5" s="70"/>
      <c r="I5" s="28"/>
      <c r="J5" s="18"/>
      <c r="K5" s="132"/>
    </row>
    <row r="6" spans="1:11" ht="15" x14ac:dyDescent="0.25">
      <c r="A6" s="17"/>
      <c r="B6" s="17"/>
      <c r="C6" s="52"/>
      <c r="D6" s="70"/>
      <c r="E6" s="70"/>
      <c r="F6" s="62"/>
      <c r="G6" s="138"/>
      <c r="H6" s="70"/>
      <c r="I6" s="28"/>
      <c r="J6" s="18"/>
      <c r="K6" s="132"/>
    </row>
    <row r="7" spans="1:11" ht="18" x14ac:dyDescent="0.25">
      <c r="A7" s="17"/>
      <c r="B7" s="17"/>
      <c r="C7" s="133" t="s">
        <v>2441</v>
      </c>
      <c r="D7" s="70"/>
      <c r="E7" s="70"/>
      <c r="F7" s="52"/>
      <c r="G7" s="131"/>
      <c r="H7" s="70"/>
      <c r="I7" s="28"/>
      <c r="J7" s="18"/>
      <c r="K7" s="132"/>
    </row>
    <row r="8" spans="1:11" x14ac:dyDescent="0.3">
      <c r="A8" s="17"/>
      <c r="B8" s="17"/>
      <c r="C8" s="141" t="s">
        <v>2442</v>
      </c>
      <c r="D8" s="142">
        <v>3</v>
      </c>
      <c r="E8" s="140">
        <v>41563</v>
      </c>
      <c r="F8" s="141" t="s">
        <v>2443</v>
      </c>
      <c r="G8" s="143" t="s">
        <v>2444</v>
      </c>
      <c r="H8" s="144"/>
      <c r="I8" s="28"/>
      <c r="J8" s="130"/>
      <c r="K8" s="17"/>
    </row>
    <row r="9" spans="1:11" x14ac:dyDescent="0.3">
      <c r="A9" s="17"/>
      <c r="B9" s="17"/>
      <c r="C9" s="141" t="s">
        <v>2442</v>
      </c>
      <c r="D9" s="142">
        <v>3</v>
      </c>
      <c r="E9" s="140">
        <v>41417</v>
      </c>
      <c r="F9" s="141" t="s">
        <v>2445</v>
      </c>
      <c r="G9" s="143" t="s">
        <v>2444</v>
      </c>
      <c r="H9" s="144" t="s">
        <v>2446</v>
      </c>
      <c r="I9" s="134"/>
      <c r="J9" s="130"/>
      <c r="K9" s="17"/>
    </row>
    <row r="10" spans="1:11" x14ac:dyDescent="0.3">
      <c r="A10" s="17"/>
      <c r="B10" s="17"/>
      <c r="C10" s="141" t="s">
        <v>2442</v>
      </c>
      <c r="D10" s="142">
        <v>3</v>
      </c>
      <c r="E10" s="140">
        <v>41579</v>
      </c>
      <c r="F10" s="141" t="s">
        <v>2447</v>
      </c>
      <c r="G10" s="143" t="s">
        <v>2444</v>
      </c>
      <c r="H10" s="144" t="s">
        <v>2446</v>
      </c>
      <c r="I10" s="134"/>
      <c r="J10" s="130"/>
      <c r="K10" s="17"/>
    </row>
    <row r="11" spans="1:11" ht="18" x14ac:dyDescent="0.25">
      <c r="A11" s="17"/>
      <c r="B11" s="17"/>
      <c r="C11" s="135"/>
      <c r="D11" s="70"/>
      <c r="E11" s="70"/>
      <c r="F11" s="52"/>
      <c r="G11" s="131"/>
      <c r="H11" s="70"/>
      <c r="I11" s="28"/>
      <c r="J11" s="130"/>
      <c r="K11" s="17"/>
    </row>
    <row r="12" spans="1:11" ht="15" x14ac:dyDescent="0.25">
      <c r="A12" s="17"/>
      <c r="B12" s="17"/>
      <c r="C12" s="342" t="s">
        <v>2448</v>
      </c>
      <c r="D12" s="342"/>
      <c r="E12" s="342"/>
      <c r="F12" s="342"/>
      <c r="G12" s="342"/>
      <c r="H12" s="342"/>
      <c r="I12" s="28"/>
      <c r="J12" s="130"/>
      <c r="K12" s="17"/>
    </row>
    <row r="13" spans="1:11" ht="30" x14ac:dyDescent="0.25">
      <c r="A13" s="17"/>
      <c r="B13" s="17"/>
      <c r="C13" s="136" t="s">
        <v>2449</v>
      </c>
      <c r="D13" s="136" t="s">
        <v>2450</v>
      </c>
      <c r="E13" s="136" t="s">
        <v>538</v>
      </c>
      <c r="F13" s="136" t="s">
        <v>2451</v>
      </c>
      <c r="G13" s="137" t="s">
        <v>2452</v>
      </c>
      <c r="H13" s="136" t="s">
        <v>2453</v>
      </c>
      <c r="I13" s="28"/>
      <c r="J13" s="130"/>
      <c r="K13" s="17"/>
    </row>
    <row r="14" spans="1:11" x14ac:dyDescent="0.3">
      <c r="A14" s="17">
        <v>1</v>
      </c>
      <c r="B14" s="17"/>
      <c r="C14" s="141" t="s">
        <v>2454</v>
      </c>
      <c r="D14" s="142">
        <v>0</v>
      </c>
      <c r="E14" s="139"/>
      <c r="F14" s="141" t="s">
        <v>2455</v>
      </c>
      <c r="G14" s="143" t="s">
        <v>2444</v>
      </c>
      <c r="H14" s="144" t="s">
        <v>2446</v>
      </c>
      <c r="I14" s="28"/>
      <c r="J14" s="130"/>
      <c r="K14" s="17"/>
    </row>
    <row r="15" spans="1:11" x14ac:dyDescent="0.3">
      <c r="A15" s="17">
        <v>2</v>
      </c>
      <c r="B15" s="17"/>
      <c r="C15" s="141" t="s">
        <v>2456</v>
      </c>
      <c r="D15" s="142"/>
      <c r="E15" s="139"/>
      <c r="F15" s="141" t="s">
        <v>2457</v>
      </c>
      <c r="G15" s="143" t="s">
        <v>2458</v>
      </c>
      <c r="H15" s="144" t="s">
        <v>2459</v>
      </c>
      <c r="I15" s="28"/>
      <c r="J15" s="130"/>
      <c r="K15" s="17"/>
    </row>
    <row r="16" spans="1:11" x14ac:dyDescent="0.3">
      <c r="A16" s="17">
        <v>3</v>
      </c>
      <c r="B16" s="17"/>
      <c r="C16" s="141" t="s">
        <v>2460</v>
      </c>
      <c r="D16" s="142">
        <v>0</v>
      </c>
      <c r="E16" s="139"/>
      <c r="F16" s="141" t="s">
        <v>2461</v>
      </c>
      <c r="G16" s="143" t="s">
        <v>2458</v>
      </c>
      <c r="H16" s="144" t="s">
        <v>2459</v>
      </c>
      <c r="I16" s="28"/>
      <c r="J16" s="130"/>
      <c r="K16" s="17"/>
    </row>
    <row r="17" spans="1:11" x14ac:dyDescent="0.3">
      <c r="A17" s="17">
        <v>4</v>
      </c>
      <c r="B17" s="17"/>
      <c r="C17" s="141" t="s">
        <v>2462</v>
      </c>
      <c r="D17" s="142">
        <v>1</v>
      </c>
      <c r="E17" s="140">
        <v>41572</v>
      </c>
      <c r="F17" s="141" t="s">
        <v>2463</v>
      </c>
      <c r="G17" s="143" t="s">
        <v>2444</v>
      </c>
      <c r="H17" s="144" t="s">
        <v>2446</v>
      </c>
      <c r="I17" s="28"/>
      <c r="J17" s="130"/>
      <c r="K17" s="17"/>
    </row>
    <row r="18" spans="1:11" x14ac:dyDescent="0.3">
      <c r="A18" s="17">
        <v>5</v>
      </c>
      <c r="B18" s="17"/>
      <c r="C18" s="141" t="s">
        <v>2464</v>
      </c>
      <c r="D18" s="142">
        <v>0</v>
      </c>
      <c r="E18" s="140">
        <v>41437</v>
      </c>
      <c r="F18" s="141" t="s">
        <v>2465</v>
      </c>
      <c r="G18" s="143" t="s">
        <v>2444</v>
      </c>
      <c r="H18" s="144" t="s">
        <v>2446</v>
      </c>
      <c r="I18" s="28"/>
      <c r="J18" s="130"/>
      <c r="K18" s="17"/>
    </row>
    <row r="19" spans="1:11" x14ac:dyDescent="0.3">
      <c r="A19" s="17">
        <v>6</v>
      </c>
      <c r="B19" s="17"/>
      <c r="C19" s="141" t="s">
        <v>2466</v>
      </c>
      <c r="D19" s="142">
        <v>0</v>
      </c>
      <c r="E19" s="140">
        <v>41624</v>
      </c>
      <c r="F19" s="141" t="s">
        <v>3517</v>
      </c>
      <c r="G19" s="143" t="s">
        <v>2444</v>
      </c>
      <c r="H19" s="144" t="s">
        <v>2467</v>
      </c>
      <c r="I19" s="134"/>
      <c r="J19" s="130"/>
      <c r="K19" s="17"/>
    </row>
    <row r="20" spans="1:11" x14ac:dyDescent="0.3">
      <c r="A20" s="17">
        <v>7</v>
      </c>
      <c r="B20" s="17"/>
      <c r="C20" s="141" t="s">
        <v>2468</v>
      </c>
      <c r="D20" s="142" t="s">
        <v>2469</v>
      </c>
      <c r="E20" s="140">
        <v>41632</v>
      </c>
      <c r="F20" s="141" t="s">
        <v>2470</v>
      </c>
      <c r="G20" s="143" t="s">
        <v>2444</v>
      </c>
      <c r="H20" s="144" t="s">
        <v>2467</v>
      </c>
      <c r="I20" s="134"/>
      <c r="J20" s="130"/>
      <c r="K20" s="17"/>
    </row>
    <row r="21" spans="1:11" ht="18" x14ac:dyDescent="0.25">
      <c r="A21" s="17"/>
      <c r="B21" s="17"/>
      <c r="C21" s="135"/>
      <c r="D21" s="70"/>
      <c r="E21" s="70"/>
      <c r="F21" s="52"/>
      <c r="G21" s="131"/>
      <c r="H21" s="70"/>
      <c r="I21" s="28"/>
      <c r="J21" s="130"/>
      <c r="K21" s="17"/>
    </row>
    <row r="22" spans="1:11" ht="15" x14ac:dyDescent="0.25">
      <c r="A22" s="17"/>
      <c r="B22" s="17"/>
      <c r="C22" s="342" t="s">
        <v>2471</v>
      </c>
      <c r="D22" s="342"/>
      <c r="E22" s="342"/>
      <c r="F22" s="342"/>
      <c r="G22" s="342"/>
      <c r="H22" s="342"/>
      <c r="I22" s="28"/>
      <c r="J22" s="130"/>
      <c r="K22" s="17"/>
    </row>
    <row r="23" spans="1:11" ht="30" x14ac:dyDescent="0.25">
      <c r="A23" s="17"/>
      <c r="B23" s="17"/>
      <c r="C23" s="136" t="s">
        <v>2449</v>
      </c>
      <c r="D23" s="136" t="s">
        <v>2450</v>
      </c>
      <c r="E23" s="136" t="s">
        <v>538</v>
      </c>
      <c r="F23" s="136" t="s">
        <v>2451</v>
      </c>
      <c r="G23" s="137" t="s">
        <v>2452</v>
      </c>
      <c r="H23" s="136" t="s">
        <v>2453</v>
      </c>
      <c r="I23" s="28"/>
      <c r="J23" s="130"/>
      <c r="K23" s="17"/>
    </row>
    <row r="24" spans="1:11" x14ac:dyDescent="0.3">
      <c r="A24" s="17">
        <v>8</v>
      </c>
      <c r="B24" s="17"/>
      <c r="C24" s="141" t="s">
        <v>2472</v>
      </c>
      <c r="D24" s="142" t="s">
        <v>2469</v>
      </c>
      <c r="E24" s="154">
        <v>39384</v>
      </c>
      <c r="F24" s="141" t="s">
        <v>2473</v>
      </c>
      <c r="G24" s="143"/>
      <c r="H24" s="144" t="s">
        <v>2446</v>
      </c>
      <c r="I24" s="28"/>
      <c r="J24" s="130"/>
      <c r="K24" s="17"/>
    </row>
    <row r="25" spans="1:11" x14ac:dyDescent="0.3">
      <c r="A25" s="17">
        <v>9</v>
      </c>
      <c r="B25" s="17"/>
      <c r="C25" s="141" t="s">
        <v>2474</v>
      </c>
      <c r="D25" s="142">
        <v>1</v>
      </c>
      <c r="E25" s="154">
        <v>41533</v>
      </c>
      <c r="F25" s="141" t="s">
        <v>2475</v>
      </c>
      <c r="G25" s="143"/>
      <c r="H25" s="144" t="s">
        <v>2446</v>
      </c>
      <c r="I25" s="28"/>
      <c r="J25" s="130"/>
      <c r="K25" s="17"/>
    </row>
    <row r="26" spans="1:11" x14ac:dyDescent="0.3">
      <c r="A26" s="17">
        <v>10</v>
      </c>
      <c r="B26" s="17"/>
      <c r="C26" s="141" t="s">
        <v>2476</v>
      </c>
      <c r="D26" s="142">
        <v>0</v>
      </c>
      <c r="E26" s="154">
        <v>41516</v>
      </c>
      <c r="F26" s="141" t="s">
        <v>2477</v>
      </c>
      <c r="G26" s="143"/>
      <c r="H26" s="144" t="s">
        <v>2446</v>
      </c>
      <c r="I26" s="28"/>
      <c r="J26" s="130"/>
      <c r="K26" s="17"/>
    </row>
    <row r="27" spans="1:11" x14ac:dyDescent="0.3">
      <c r="A27" s="17">
        <v>11</v>
      </c>
      <c r="B27" s="17"/>
      <c r="C27" s="141" t="s">
        <v>2478</v>
      </c>
      <c r="D27" s="142">
        <v>0</v>
      </c>
      <c r="E27" s="154"/>
      <c r="F27" s="141" t="s">
        <v>2479</v>
      </c>
      <c r="G27" s="143" t="s">
        <v>2458</v>
      </c>
      <c r="H27" s="144" t="s">
        <v>2446</v>
      </c>
      <c r="I27" s="28"/>
      <c r="J27" s="130"/>
      <c r="K27" s="17"/>
    </row>
    <row r="28" spans="1:11" x14ac:dyDescent="0.3">
      <c r="A28" s="17">
        <v>12</v>
      </c>
      <c r="B28" s="17"/>
      <c r="C28" s="141" t="s">
        <v>2480</v>
      </c>
      <c r="D28" s="142">
        <v>2</v>
      </c>
      <c r="E28" s="154">
        <v>41570</v>
      </c>
      <c r="F28" s="141" t="s">
        <v>2481</v>
      </c>
      <c r="G28" s="143"/>
      <c r="H28" s="144" t="s">
        <v>2446</v>
      </c>
      <c r="I28" s="28"/>
      <c r="J28" s="130"/>
      <c r="K28" s="17"/>
    </row>
    <row r="29" spans="1:11" x14ac:dyDescent="0.3">
      <c r="A29" s="17">
        <v>13</v>
      </c>
      <c r="B29" s="17"/>
      <c r="C29" s="141" t="s">
        <v>2482</v>
      </c>
      <c r="D29" s="142">
        <v>3</v>
      </c>
      <c r="E29" s="154">
        <v>39548</v>
      </c>
      <c r="F29" s="141" t="s">
        <v>2483</v>
      </c>
      <c r="G29" s="143"/>
      <c r="H29" s="144" t="s">
        <v>2446</v>
      </c>
      <c r="I29" s="28"/>
      <c r="J29" s="130"/>
      <c r="K29" s="17"/>
    </row>
    <row r="30" spans="1:11" x14ac:dyDescent="0.3">
      <c r="A30" s="17">
        <v>14</v>
      </c>
      <c r="B30" s="17"/>
      <c r="C30" s="141" t="s">
        <v>2484</v>
      </c>
      <c r="D30" s="142">
        <v>0</v>
      </c>
      <c r="E30" s="156"/>
      <c r="F30" s="141" t="s">
        <v>2485</v>
      </c>
      <c r="G30" s="143"/>
      <c r="H30" s="144" t="s">
        <v>2485</v>
      </c>
      <c r="I30" s="28"/>
      <c r="J30" s="130"/>
      <c r="K30" s="17"/>
    </row>
    <row r="31" spans="1:11" x14ac:dyDescent="0.3">
      <c r="A31" s="17">
        <v>15</v>
      </c>
      <c r="B31" s="17"/>
      <c r="C31" s="141" t="s">
        <v>2486</v>
      </c>
      <c r="D31" s="142">
        <v>0</v>
      </c>
      <c r="E31" s="156"/>
      <c r="F31" s="141" t="s">
        <v>2487</v>
      </c>
      <c r="G31" s="143" t="s">
        <v>2458</v>
      </c>
      <c r="H31" s="144" t="s">
        <v>2459</v>
      </c>
      <c r="I31" s="28"/>
      <c r="J31" s="130"/>
      <c r="K31" s="17"/>
    </row>
    <row r="32" spans="1:11" x14ac:dyDescent="0.3">
      <c r="A32" s="17">
        <v>16</v>
      </c>
      <c r="B32" s="17"/>
      <c r="C32" s="141" t="s">
        <v>2488</v>
      </c>
      <c r="D32" s="142">
        <v>0</v>
      </c>
      <c r="E32" s="156"/>
      <c r="F32" s="141" t="s">
        <v>2489</v>
      </c>
      <c r="G32" s="143" t="s">
        <v>2458</v>
      </c>
      <c r="H32" s="144" t="s">
        <v>2459</v>
      </c>
      <c r="I32" s="28"/>
      <c r="J32" s="130"/>
      <c r="K32" s="17"/>
    </row>
    <row r="33" spans="1:11" x14ac:dyDescent="0.3">
      <c r="A33" s="17">
        <v>17</v>
      </c>
      <c r="B33" s="17"/>
      <c r="C33" s="141" t="s">
        <v>2490</v>
      </c>
      <c r="D33" s="142">
        <v>0</v>
      </c>
      <c r="E33" s="156"/>
      <c r="F33" s="141" t="s">
        <v>2485</v>
      </c>
      <c r="G33" s="143"/>
      <c r="H33" s="144" t="s">
        <v>2485</v>
      </c>
      <c r="I33" s="28"/>
      <c r="J33" s="130"/>
      <c r="K33" s="17"/>
    </row>
    <row r="34" spans="1:11" x14ac:dyDescent="0.3">
      <c r="A34" s="17">
        <v>18</v>
      </c>
      <c r="B34" s="17"/>
      <c r="C34" s="145" t="s">
        <v>2491</v>
      </c>
      <c r="D34" s="146">
        <v>1</v>
      </c>
      <c r="E34" s="155"/>
      <c r="F34" s="145" t="s">
        <v>2492</v>
      </c>
      <c r="G34" s="147"/>
      <c r="H34" s="343" t="s">
        <v>2493</v>
      </c>
      <c r="I34" s="28"/>
      <c r="J34" s="130"/>
      <c r="K34" s="17"/>
    </row>
    <row r="35" spans="1:11" x14ac:dyDescent="0.3">
      <c r="A35" s="17">
        <v>19</v>
      </c>
      <c r="B35" s="17"/>
      <c r="C35" s="145" t="s">
        <v>2494</v>
      </c>
      <c r="D35" s="146">
        <v>1</v>
      </c>
      <c r="E35" s="155"/>
      <c r="F35" s="145" t="s">
        <v>2495</v>
      </c>
      <c r="G35" s="147"/>
      <c r="H35" s="343" t="s">
        <v>2493</v>
      </c>
      <c r="I35" s="28"/>
      <c r="J35" s="130"/>
      <c r="K35" s="17"/>
    </row>
    <row r="36" spans="1:11" x14ac:dyDescent="0.3">
      <c r="A36" s="17">
        <v>20</v>
      </c>
      <c r="B36" s="17"/>
      <c r="C36" s="141" t="s">
        <v>2496</v>
      </c>
      <c r="D36" s="142">
        <v>0</v>
      </c>
      <c r="E36" s="156"/>
      <c r="F36" s="141" t="s">
        <v>2485</v>
      </c>
      <c r="G36" s="143"/>
      <c r="H36" s="144" t="s">
        <v>2485</v>
      </c>
      <c r="I36" s="28"/>
      <c r="J36" s="130"/>
      <c r="K36" s="17"/>
    </row>
    <row r="37" spans="1:11" x14ac:dyDescent="0.3">
      <c r="A37" s="17">
        <v>21</v>
      </c>
      <c r="B37" s="17"/>
      <c r="C37" s="141" t="s">
        <v>2497</v>
      </c>
      <c r="D37" s="142">
        <v>0</v>
      </c>
      <c r="E37" s="156"/>
      <c r="F37" s="141" t="s">
        <v>2485</v>
      </c>
      <c r="G37" s="143"/>
      <c r="H37" s="144" t="s">
        <v>2485</v>
      </c>
      <c r="I37" s="28"/>
      <c r="J37" s="130"/>
      <c r="K37" s="17"/>
    </row>
    <row r="38" spans="1:11" x14ac:dyDescent="0.3">
      <c r="A38" s="17">
        <v>22</v>
      </c>
      <c r="B38" s="17"/>
      <c r="C38" s="141" t="s">
        <v>2498</v>
      </c>
      <c r="D38" s="142">
        <v>1</v>
      </c>
      <c r="E38" s="154">
        <v>41537</v>
      </c>
      <c r="F38" s="141" t="s">
        <v>2499</v>
      </c>
      <c r="G38" s="143"/>
      <c r="H38" s="144" t="s">
        <v>2446</v>
      </c>
      <c r="I38" s="28"/>
      <c r="J38" s="130"/>
      <c r="K38" s="17"/>
    </row>
    <row r="39" spans="1:11" x14ac:dyDescent="0.3">
      <c r="A39" s="17">
        <v>23</v>
      </c>
      <c r="B39" s="17"/>
      <c r="C39" s="141" t="s">
        <v>2500</v>
      </c>
      <c r="D39" s="142">
        <v>0</v>
      </c>
      <c r="E39" s="156"/>
      <c r="F39" s="141" t="s">
        <v>2501</v>
      </c>
      <c r="G39" s="143"/>
      <c r="H39" s="144" t="s">
        <v>2459</v>
      </c>
      <c r="I39" s="28"/>
      <c r="J39" s="130"/>
      <c r="K39" s="17"/>
    </row>
    <row r="40" spans="1:11" x14ac:dyDescent="0.3">
      <c r="A40" s="17">
        <v>24</v>
      </c>
      <c r="B40" s="17"/>
      <c r="C40" s="141" t="s">
        <v>2502</v>
      </c>
      <c r="D40" s="142">
        <v>0</v>
      </c>
      <c r="E40" s="156"/>
      <c r="F40" s="141" t="s">
        <v>2503</v>
      </c>
      <c r="G40" s="143"/>
      <c r="H40" s="144" t="s">
        <v>2446</v>
      </c>
      <c r="I40" s="28"/>
      <c r="J40" s="130"/>
      <c r="K40" s="17"/>
    </row>
    <row r="41" spans="1:11" x14ac:dyDescent="0.3">
      <c r="A41" s="17">
        <v>25</v>
      </c>
      <c r="B41" s="17"/>
      <c r="C41" s="141" t="s">
        <v>2504</v>
      </c>
      <c r="D41" s="142">
        <v>1</v>
      </c>
      <c r="E41" s="154">
        <v>41533</v>
      </c>
      <c r="F41" s="141" t="s">
        <v>2505</v>
      </c>
      <c r="G41" s="143"/>
      <c r="H41" s="144" t="s">
        <v>2506</v>
      </c>
      <c r="I41" s="28"/>
      <c r="J41" s="130"/>
      <c r="K41" s="17"/>
    </row>
    <row r="42" spans="1:11" x14ac:dyDescent="0.3">
      <c r="A42" s="17">
        <v>26</v>
      </c>
      <c r="B42" s="17"/>
      <c r="C42" s="141" t="s">
        <v>2507</v>
      </c>
      <c r="D42" s="142"/>
      <c r="E42" s="156"/>
      <c r="F42" s="141" t="s">
        <v>2485</v>
      </c>
      <c r="G42" s="143"/>
      <c r="H42" s="144" t="s">
        <v>2459</v>
      </c>
      <c r="I42" s="28"/>
      <c r="J42" s="130"/>
      <c r="K42" s="17"/>
    </row>
    <row r="43" spans="1:11" x14ac:dyDescent="0.3">
      <c r="A43" s="17">
        <v>27</v>
      </c>
      <c r="B43" s="17"/>
      <c r="C43" s="141" t="s">
        <v>2508</v>
      </c>
      <c r="D43" s="142">
        <v>0</v>
      </c>
      <c r="E43" s="156"/>
      <c r="F43" s="141" t="s">
        <v>2509</v>
      </c>
      <c r="G43" s="143"/>
      <c r="H43" s="144" t="s">
        <v>2459</v>
      </c>
      <c r="I43" s="28"/>
      <c r="J43" s="130"/>
      <c r="K43" s="17"/>
    </row>
    <row r="44" spans="1:11" x14ac:dyDescent="0.3">
      <c r="A44" s="17">
        <v>28</v>
      </c>
      <c r="B44" s="17"/>
      <c r="C44" s="141" t="s">
        <v>2510</v>
      </c>
      <c r="D44" s="142">
        <v>0</v>
      </c>
      <c r="E44" s="154">
        <v>41506</v>
      </c>
      <c r="F44" s="141" t="s">
        <v>2511</v>
      </c>
      <c r="G44" s="143"/>
      <c r="H44" s="144" t="s">
        <v>2446</v>
      </c>
      <c r="I44" s="28"/>
      <c r="J44" s="130"/>
      <c r="K44" s="17"/>
    </row>
    <row r="45" spans="1:11" x14ac:dyDescent="0.3">
      <c r="A45" s="17">
        <v>29</v>
      </c>
      <c r="B45" s="17"/>
      <c r="C45" s="141" t="s">
        <v>2512</v>
      </c>
      <c r="D45" s="142">
        <v>0</v>
      </c>
      <c r="E45" s="156"/>
      <c r="F45" s="141" t="s">
        <v>2513</v>
      </c>
      <c r="G45" s="143"/>
      <c r="H45" s="144" t="s">
        <v>2459</v>
      </c>
      <c r="I45" s="28"/>
      <c r="J45" s="130"/>
      <c r="K45" s="17"/>
    </row>
    <row r="46" spans="1:11" x14ac:dyDescent="0.3">
      <c r="A46" s="17">
        <v>30</v>
      </c>
      <c r="B46" s="17"/>
      <c r="C46" s="141" t="s">
        <v>2514</v>
      </c>
      <c r="D46" s="142">
        <v>1</v>
      </c>
      <c r="E46" s="154">
        <v>41533</v>
      </c>
      <c r="F46" s="141" t="s">
        <v>2515</v>
      </c>
      <c r="G46" s="143"/>
      <c r="H46" s="144" t="s">
        <v>2446</v>
      </c>
      <c r="I46" s="28"/>
      <c r="J46" s="130"/>
      <c r="K46" s="17"/>
    </row>
    <row r="47" spans="1:11" x14ac:dyDescent="0.3">
      <c r="A47" s="17">
        <v>31</v>
      </c>
      <c r="B47" s="17"/>
      <c r="C47" s="141" t="s">
        <v>2516</v>
      </c>
      <c r="D47" s="142">
        <v>0</v>
      </c>
      <c r="E47" s="154">
        <v>41439</v>
      </c>
      <c r="F47" s="141" t="s">
        <v>2517</v>
      </c>
      <c r="G47" s="143"/>
      <c r="H47" s="144" t="s">
        <v>2467</v>
      </c>
      <c r="I47" s="148"/>
      <c r="J47" s="130"/>
      <c r="K47" s="17"/>
    </row>
    <row r="48" spans="1:11" x14ac:dyDescent="0.3">
      <c r="A48" s="17">
        <v>32</v>
      </c>
      <c r="B48" s="17"/>
      <c r="C48" s="141" t="s">
        <v>2518</v>
      </c>
      <c r="D48" s="142">
        <v>0</v>
      </c>
      <c r="E48" s="154">
        <v>41439</v>
      </c>
      <c r="F48" s="344" t="s">
        <v>2519</v>
      </c>
      <c r="G48" s="143"/>
      <c r="H48" s="144" t="s">
        <v>2467</v>
      </c>
      <c r="I48" s="28"/>
      <c r="J48" s="130"/>
      <c r="K48" s="17"/>
    </row>
    <row r="49" spans="1:11" x14ac:dyDescent="0.3">
      <c r="A49" s="17">
        <v>33</v>
      </c>
      <c r="B49" s="17"/>
      <c r="C49" s="141" t="s">
        <v>2520</v>
      </c>
      <c r="D49" s="142"/>
      <c r="E49" s="154"/>
      <c r="F49" s="141"/>
      <c r="G49" s="143"/>
      <c r="H49" s="144"/>
      <c r="I49" s="28"/>
      <c r="J49" s="130"/>
      <c r="K49" s="17"/>
    </row>
    <row r="50" spans="1:11" x14ac:dyDescent="0.3">
      <c r="A50" s="17">
        <v>34</v>
      </c>
      <c r="B50" s="17"/>
      <c r="C50" s="141" t="s">
        <v>2521</v>
      </c>
      <c r="D50" s="142">
        <v>0</v>
      </c>
      <c r="E50" s="154">
        <v>41631</v>
      </c>
      <c r="F50" s="141" t="s">
        <v>2522</v>
      </c>
      <c r="G50" s="143"/>
      <c r="H50" s="144" t="s">
        <v>2467</v>
      </c>
      <c r="I50" s="148"/>
      <c r="J50" s="130"/>
      <c r="K50" s="17"/>
    </row>
    <row r="51" spans="1:11" x14ac:dyDescent="0.3">
      <c r="A51" s="17">
        <v>35</v>
      </c>
      <c r="B51" s="17"/>
      <c r="C51" s="141" t="s">
        <v>2523</v>
      </c>
      <c r="D51" s="142">
        <v>2</v>
      </c>
      <c r="E51" s="154">
        <v>41689</v>
      </c>
      <c r="F51" s="141" t="s">
        <v>1508</v>
      </c>
      <c r="G51" s="143"/>
      <c r="H51" s="144" t="s">
        <v>2467</v>
      </c>
      <c r="I51" s="148"/>
      <c r="J51" s="130"/>
      <c r="K51" s="17"/>
    </row>
    <row r="52" spans="1:11" x14ac:dyDescent="0.3">
      <c r="A52" s="17"/>
      <c r="B52" s="17"/>
      <c r="C52" s="52"/>
      <c r="D52" s="70"/>
      <c r="E52" s="70"/>
      <c r="F52" s="52"/>
      <c r="G52" s="131"/>
      <c r="H52" s="70"/>
      <c r="I52" s="28"/>
      <c r="J52" s="130"/>
      <c r="K52" s="17"/>
    </row>
    <row r="53" spans="1:11" x14ac:dyDescent="0.3">
      <c r="A53" s="17"/>
      <c r="B53" s="17"/>
      <c r="C53" s="342" t="s">
        <v>2524</v>
      </c>
      <c r="D53" s="342"/>
      <c r="E53" s="342"/>
      <c r="F53" s="342"/>
      <c r="G53" s="342"/>
      <c r="H53" s="342"/>
      <c r="I53" s="28"/>
      <c r="J53" s="130"/>
      <c r="K53" s="17"/>
    </row>
    <row r="54" spans="1:11" ht="27.6" x14ac:dyDescent="0.3">
      <c r="A54" s="17"/>
      <c r="B54" s="17"/>
      <c r="C54" s="136" t="s">
        <v>2449</v>
      </c>
      <c r="D54" s="136" t="s">
        <v>2450</v>
      </c>
      <c r="E54" s="136" t="s">
        <v>538</v>
      </c>
      <c r="F54" s="136" t="s">
        <v>2451</v>
      </c>
      <c r="G54" s="137" t="s">
        <v>2452</v>
      </c>
      <c r="H54" s="136" t="s">
        <v>2453</v>
      </c>
      <c r="I54" s="28"/>
      <c r="J54" s="130"/>
      <c r="K54" s="17"/>
    </row>
    <row r="55" spans="1:11" x14ac:dyDescent="0.3">
      <c r="A55" s="17">
        <v>36</v>
      </c>
      <c r="B55" s="17"/>
      <c r="C55" s="141" t="s">
        <v>2525</v>
      </c>
      <c r="D55" s="142">
        <v>3</v>
      </c>
      <c r="E55" s="154">
        <v>41522</v>
      </c>
      <c r="F55" s="141" t="s">
        <v>2526</v>
      </c>
      <c r="G55" s="143"/>
      <c r="H55" s="144" t="s">
        <v>2446</v>
      </c>
      <c r="I55" s="28"/>
      <c r="J55" s="130"/>
      <c r="K55" s="17"/>
    </row>
    <row r="56" spans="1:11" x14ac:dyDescent="0.3">
      <c r="A56" s="17">
        <v>37</v>
      </c>
      <c r="B56" s="17"/>
      <c r="C56" s="141" t="s">
        <v>2527</v>
      </c>
      <c r="D56" s="142">
        <v>1</v>
      </c>
      <c r="E56" s="154">
        <v>41568</v>
      </c>
      <c r="F56" s="141" t="s">
        <v>2528</v>
      </c>
      <c r="G56" s="143"/>
      <c r="H56" s="144" t="s">
        <v>2446</v>
      </c>
      <c r="I56" s="28"/>
      <c r="J56" s="130"/>
      <c r="K56" s="17"/>
    </row>
    <row r="57" spans="1:11" x14ac:dyDescent="0.3">
      <c r="A57" s="17">
        <v>38</v>
      </c>
      <c r="B57" s="17"/>
      <c r="C57" s="141" t="s">
        <v>2529</v>
      </c>
      <c r="D57" s="142">
        <v>2</v>
      </c>
      <c r="E57" s="154">
        <v>41568</v>
      </c>
      <c r="F57" s="141" t="s">
        <v>2530</v>
      </c>
      <c r="G57" s="143"/>
      <c r="H57" s="144" t="s">
        <v>2446</v>
      </c>
      <c r="I57" s="149"/>
      <c r="J57" s="130"/>
      <c r="K57" s="150"/>
    </row>
    <row r="58" spans="1:11" x14ac:dyDescent="0.3">
      <c r="A58" s="17">
        <v>39</v>
      </c>
      <c r="B58" s="17"/>
      <c r="C58" s="141" t="s">
        <v>2531</v>
      </c>
      <c r="D58" s="142">
        <v>0</v>
      </c>
      <c r="E58" s="156"/>
      <c r="F58" s="141" t="s">
        <v>2532</v>
      </c>
      <c r="G58" s="143"/>
      <c r="H58" s="144" t="s">
        <v>2446</v>
      </c>
      <c r="I58" s="28"/>
      <c r="J58" s="130"/>
      <c r="K58" s="17"/>
    </row>
    <row r="59" spans="1:11" x14ac:dyDescent="0.3">
      <c r="A59" s="17">
        <v>40</v>
      </c>
      <c r="B59" s="17"/>
      <c r="C59" s="141" t="s">
        <v>2533</v>
      </c>
      <c r="D59" s="142">
        <v>0</v>
      </c>
      <c r="E59" s="154">
        <v>41523</v>
      </c>
      <c r="F59" s="141" t="s">
        <v>2534</v>
      </c>
      <c r="G59" s="143"/>
      <c r="H59" s="144" t="s">
        <v>2446</v>
      </c>
      <c r="I59" s="28"/>
      <c r="J59" s="130"/>
      <c r="K59" s="17"/>
    </row>
    <row r="60" spans="1:11" x14ac:dyDescent="0.3">
      <c r="A60" s="17">
        <v>41</v>
      </c>
      <c r="B60" s="17"/>
      <c r="C60" s="141" t="s">
        <v>2535</v>
      </c>
      <c r="D60" s="142">
        <v>0</v>
      </c>
      <c r="E60" s="154">
        <v>41523</v>
      </c>
      <c r="F60" s="141" t="s">
        <v>2536</v>
      </c>
      <c r="G60" s="143"/>
      <c r="H60" s="144" t="s">
        <v>2446</v>
      </c>
      <c r="I60" s="28"/>
      <c r="J60" s="130"/>
      <c r="K60" s="17"/>
    </row>
    <row r="61" spans="1:11" x14ac:dyDescent="0.3">
      <c r="A61" s="17">
        <v>42</v>
      </c>
      <c r="B61" s="17"/>
      <c r="C61" s="141" t="s">
        <v>2537</v>
      </c>
      <c r="D61" s="142">
        <v>0</v>
      </c>
      <c r="E61" s="154">
        <v>41523</v>
      </c>
      <c r="F61" s="141" t="s">
        <v>2538</v>
      </c>
      <c r="G61" s="143"/>
      <c r="H61" s="144" t="s">
        <v>2446</v>
      </c>
      <c r="I61" s="28"/>
      <c r="J61" s="130"/>
      <c r="K61" s="17"/>
    </row>
    <row r="62" spans="1:11" x14ac:dyDescent="0.3">
      <c r="A62" s="17">
        <v>43</v>
      </c>
      <c r="B62" s="17"/>
      <c r="C62" s="141" t="s">
        <v>2539</v>
      </c>
      <c r="D62" s="142">
        <v>1</v>
      </c>
      <c r="E62" s="154">
        <v>41521</v>
      </c>
      <c r="F62" s="141" t="s">
        <v>2540</v>
      </c>
      <c r="G62" s="143"/>
      <c r="H62" s="144" t="s">
        <v>2446</v>
      </c>
      <c r="I62" s="28"/>
      <c r="J62" s="130"/>
      <c r="K62" s="17"/>
    </row>
    <row r="63" spans="1:11" x14ac:dyDescent="0.3">
      <c r="A63" s="17">
        <v>44</v>
      </c>
      <c r="B63" s="17"/>
      <c r="C63" s="141" t="s">
        <v>2541</v>
      </c>
      <c r="D63" s="142">
        <v>1</v>
      </c>
      <c r="E63" s="154">
        <v>41567</v>
      </c>
      <c r="F63" s="141" t="s">
        <v>2542</v>
      </c>
      <c r="G63" s="143"/>
      <c r="H63" s="144" t="s">
        <v>2446</v>
      </c>
      <c r="I63" s="28"/>
      <c r="J63" s="130"/>
      <c r="K63" s="17"/>
    </row>
    <row r="64" spans="1:11" x14ac:dyDescent="0.3">
      <c r="A64" s="17">
        <v>45</v>
      </c>
      <c r="B64" s="17"/>
      <c r="C64" s="151" t="s">
        <v>2543</v>
      </c>
      <c r="D64" s="152">
        <v>0</v>
      </c>
      <c r="E64" s="346"/>
      <c r="F64" s="151" t="s">
        <v>2342</v>
      </c>
      <c r="G64" s="153"/>
      <c r="H64" s="345" t="s">
        <v>2459</v>
      </c>
      <c r="I64" s="28"/>
      <c r="J64" s="130"/>
      <c r="K64" s="17"/>
    </row>
    <row r="65" spans="1:11" x14ac:dyDescent="0.3">
      <c r="A65" s="17">
        <v>46</v>
      </c>
      <c r="B65" s="17"/>
      <c r="C65" s="141" t="s">
        <v>2544</v>
      </c>
      <c r="D65" s="142">
        <v>0</v>
      </c>
      <c r="E65" s="156"/>
      <c r="F65" s="141" t="s">
        <v>2545</v>
      </c>
      <c r="G65" s="143"/>
      <c r="H65" s="144" t="s">
        <v>2459</v>
      </c>
      <c r="I65" s="28"/>
      <c r="J65" s="130"/>
      <c r="K65" s="17"/>
    </row>
    <row r="66" spans="1:11" x14ac:dyDescent="0.3">
      <c r="A66" s="17">
        <v>47</v>
      </c>
      <c r="B66" s="17"/>
      <c r="C66" s="141" t="s">
        <v>2546</v>
      </c>
      <c r="D66" s="142">
        <v>0</v>
      </c>
      <c r="E66" s="156"/>
      <c r="F66" s="141" t="s">
        <v>2547</v>
      </c>
      <c r="G66" s="143"/>
      <c r="H66" s="144" t="s">
        <v>2459</v>
      </c>
      <c r="I66" s="28"/>
      <c r="J66" s="130"/>
      <c r="K66" s="17"/>
    </row>
    <row r="67" spans="1:11" x14ac:dyDescent="0.3">
      <c r="A67" s="17">
        <v>48</v>
      </c>
      <c r="B67" s="17"/>
      <c r="C67" s="141" t="s">
        <v>2548</v>
      </c>
      <c r="D67" s="142">
        <v>0</v>
      </c>
      <c r="E67" s="156"/>
      <c r="F67" s="141" t="s">
        <v>2549</v>
      </c>
      <c r="G67" s="143"/>
      <c r="H67" s="144" t="s">
        <v>2459</v>
      </c>
      <c r="I67" s="28"/>
      <c r="J67" s="130"/>
      <c r="K67" s="17"/>
    </row>
    <row r="68" spans="1:11" x14ac:dyDescent="0.3">
      <c r="A68" s="17">
        <v>49</v>
      </c>
      <c r="B68" s="17"/>
      <c r="C68" s="151" t="s">
        <v>2550</v>
      </c>
      <c r="D68" s="152">
        <v>0</v>
      </c>
      <c r="E68" s="346"/>
      <c r="F68" s="151" t="s">
        <v>2342</v>
      </c>
      <c r="G68" s="153"/>
      <c r="H68" s="345" t="s">
        <v>2342</v>
      </c>
      <c r="I68" s="28"/>
      <c r="J68" s="130"/>
      <c r="K68" s="17"/>
    </row>
    <row r="69" spans="1:11" x14ac:dyDescent="0.3">
      <c r="A69" s="17">
        <v>50</v>
      </c>
      <c r="B69" s="17"/>
      <c r="C69" s="141" t="s">
        <v>2551</v>
      </c>
      <c r="D69" s="142">
        <v>0</v>
      </c>
      <c r="E69" s="156"/>
      <c r="F69" s="141" t="s">
        <v>2552</v>
      </c>
      <c r="G69" s="143"/>
      <c r="H69" s="144" t="s">
        <v>2459</v>
      </c>
      <c r="I69" s="28"/>
      <c r="J69" s="130"/>
      <c r="K69" s="17"/>
    </row>
    <row r="70" spans="1:11" x14ac:dyDescent="0.3">
      <c r="A70" s="17">
        <v>51</v>
      </c>
      <c r="B70" s="17"/>
      <c r="C70" s="141" t="s">
        <v>2553</v>
      </c>
      <c r="D70" s="142">
        <v>0</v>
      </c>
      <c r="E70" s="156"/>
      <c r="F70" s="141" t="s">
        <v>2554</v>
      </c>
      <c r="G70" s="143"/>
      <c r="H70" s="144"/>
      <c r="I70" s="28"/>
      <c r="J70" s="130"/>
      <c r="K70" s="17"/>
    </row>
    <row r="71" spans="1:11" x14ac:dyDescent="0.3">
      <c r="A71" s="17">
        <v>52</v>
      </c>
      <c r="B71" s="17"/>
      <c r="C71" s="141" t="s">
        <v>1519</v>
      </c>
      <c r="D71" s="142">
        <v>2</v>
      </c>
      <c r="E71" s="154">
        <v>41541</v>
      </c>
      <c r="F71" s="141" t="s">
        <v>2555</v>
      </c>
      <c r="G71" s="143"/>
      <c r="H71" s="144" t="s">
        <v>2446</v>
      </c>
      <c r="I71" s="28"/>
      <c r="J71" s="130"/>
      <c r="K71" s="17"/>
    </row>
    <row r="72" spans="1:11" x14ac:dyDescent="0.3">
      <c r="A72" s="17">
        <v>53</v>
      </c>
      <c r="B72" s="17"/>
      <c r="C72" s="141" t="s">
        <v>2556</v>
      </c>
      <c r="D72" s="142">
        <v>1</v>
      </c>
      <c r="E72" s="154">
        <v>41621</v>
      </c>
      <c r="F72" s="141" t="s">
        <v>2557</v>
      </c>
      <c r="G72" s="143"/>
      <c r="H72" s="144" t="s">
        <v>2446</v>
      </c>
      <c r="I72" s="28"/>
      <c r="J72" s="130"/>
      <c r="K72" s="17"/>
    </row>
    <row r="73" spans="1:11" x14ac:dyDescent="0.3">
      <c r="A73" s="17">
        <v>54</v>
      </c>
      <c r="B73" s="17"/>
      <c r="C73" s="151" t="s">
        <v>2558</v>
      </c>
      <c r="D73" s="152">
        <v>0</v>
      </c>
      <c r="E73" s="346"/>
      <c r="F73" s="151" t="s">
        <v>2342</v>
      </c>
      <c r="G73" s="153"/>
      <c r="H73" s="345" t="s">
        <v>2342</v>
      </c>
      <c r="I73" s="28"/>
      <c r="J73" s="130"/>
      <c r="K73" s="17"/>
    </row>
    <row r="74" spans="1:11" x14ac:dyDescent="0.3">
      <c r="A74" s="17">
        <v>55</v>
      </c>
      <c r="B74" s="17"/>
      <c r="C74" s="151" t="s">
        <v>2559</v>
      </c>
      <c r="D74" s="152">
        <v>0</v>
      </c>
      <c r="E74" s="346"/>
      <c r="F74" s="151" t="s">
        <v>2342</v>
      </c>
      <c r="G74" s="153"/>
      <c r="H74" s="345" t="s">
        <v>2342</v>
      </c>
      <c r="I74" s="28"/>
      <c r="J74" s="130"/>
      <c r="K74" s="17"/>
    </row>
    <row r="75" spans="1:11" x14ac:dyDescent="0.3">
      <c r="A75" s="17">
        <v>56</v>
      </c>
      <c r="B75" s="17"/>
      <c r="C75" s="151" t="s">
        <v>2560</v>
      </c>
      <c r="D75" s="152">
        <v>0</v>
      </c>
      <c r="E75" s="346"/>
      <c r="F75" s="151" t="s">
        <v>2342</v>
      </c>
      <c r="G75" s="153"/>
      <c r="H75" s="345" t="s">
        <v>2342</v>
      </c>
      <c r="I75" s="28"/>
      <c r="J75" s="130"/>
      <c r="K75" s="17"/>
    </row>
    <row r="76" spans="1:11" x14ac:dyDescent="0.3">
      <c r="A76" s="17">
        <v>57</v>
      </c>
      <c r="B76" s="17"/>
      <c r="C76" s="141" t="s">
        <v>2561</v>
      </c>
      <c r="D76" s="142">
        <v>0</v>
      </c>
      <c r="E76" s="154">
        <v>41521</v>
      </c>
      <c r="F76" s="141" t="s">
        <v>2562</v>
      </c>
      <c r="G76" s="143"/>
      <c r="H76" s="144" t="s">
        <v>2446</v>
      </c>
      <c r="I76" s="28"/>
      <c r="J76" s="130"/>
      <c r="K76" s="17"/>
    </row>
    <row r="77" spans="1:11" x14ac:dyDescent="0.3">
      <c r="A77" s="17">
        <v>58</v>
      </c>
      <c r="B77" s="17"/>
      <c r="C77" s="141" t="s">
        <v>2563</v>
      </c>
      <c r="D77" s="142">
        <v>0</v>
      </c>
      <c r="E77" s="154">
        <v>41521</v>
      </c>
      <c r="F77" s="141" t="s">
        <v>2564</v>
      </c>
      <c r="G77" s="143"/>
      <c r="H77" s="144" t="s">
        <v>2446</v>
      </c>
      <c r="I77" s="28"/>
      <c r="J77" s="130"/>
      <c r="K77" s="17"/>
    </row>
    <row r="78" spans="1:11" x14ac:dyDescent="0.3">
      <c r="A78" s="17">
        <v>59</v>
      </c>
      <c r="B78" s="17"/>
      <c r="C78" s="151" t="s">
        <v>2565</v>
      </c>
      <c r="D78" s="152">
        <v>0</v>
      </c>
      <c r="E78" s="346"/>
      <c r="F78" s="151" t="s">
        <v>2342</v>
      </c>
      <c r="G78" s="153"/>
      <c r="H78" s="345" t="s">
        <v>2342</v>
      </c>
      <c r="I78" s="28"/>
      <c r="J78" s="130"/>
      <c r="K78" s="17"/>
    </row>
    <row r="79" spans="1:11" x14ac:dyDescent="0.3">
      <c r="A79" s="17">
        <v>60</v>
      </c>
      <c r="B79" s="17"/>
      <c r="C79" s="141" t="s">
        <v>1924</v>
      </c>
      <c r="D79" s="142">
        <v>0</v>
      </c>
      <c r="E79" s="347">
        <v>39688</v>
      </c>
      <c r="F79" s="141" t="s">
        <v>2566</v>
      </c>
      <c r="G79" s="143"/>
      <c r="H79" s="144" t="s">
        <v>2446</v>
      </c>
      <c r="I79" s="28"/>
      <c r="J79" s="130"/>
      <c r="K79" s="17"/>
    </row>
    <row r="80" spans="1:11" x14ac:dyDescent="0.3">
      <c r="A80" s="17">
        <v>61</v>
      </c>
      <c r="B80" s="17"/>
      <c r="C80" s="141" t="s">
        <v>1728</v>
      </c>
      <c r="D80" s="142">
        <v>1</v>
      </c>
      <c r="E80" s="347">
        <v>41541</v>
      </c>
      <c r="F80" s="141" t="s">
        <v>2567</v>
      </c>
      <c r="G80" s="143"/>
      <c r="H80" s="144" t="s">
        <v>2446</v>
      </c>
      <c r="I80" s="28"/>
      <c r="J80" s="130"/>
      <c r="K80" s="17"/>
    </row>
    <row r="81" spans="1:11" x14ac:dyDescent="0.3">
      <c r="A81" s="17">
        <v>62</v>
      </c>
      <c r="B81" s="17"/>
      <c r="C81" s="151" t="s">
        <v>2568</v>
      </c>
      <c r="D81" s="152">
        <v>0</v>
      </c>
      <c r="E81" s="346"/>
      <c r="F81" s="151" t="s">
        <v>2342</v>
      </c>
      <c r="G81" s="153"/>
      <c r="H81" s="345" t="s">
        <v>2342</v>
      </c>
      <c r="I81" s="28"/>
      <c r="J81" s="130"/>
      <c r="K81" s="17"/>
    </row>
    <row r="82" spans="1:11" x14ac:dyDescent="0.3">
      <c r="A82" s="17">
        <v>63</v>
      </c>
      <c r="B82" s="17"/>
      <c r="C82" s="141" t="s">
        <v>1652</v>
      </c>
      <c r="D82" s="142">
        <v>0</v>
      </c>
      <c r="E82" s="347">
        <v>39688</v>
      </c>
      <c r="F82" s="141" t="s">
        <v>2569</v>
      </c>
      <c r="G82" s="143"/>
      <c r="H82" s="144" t="s">
        <v>2446</v>
      </c>
      <c r="I82" s="28"/>
      <c r="J82" s="130"/>
      <c r="K82" s="17"/>
    </row>
    <row r="83" spans="1:11" x14ac:dyDescent="0.3">
      <c r="A83" s="17">
        <v>64</v>
      </c>
      <c r="B83" s="17"/>
      <c r="C83" s="141" t="s">
        <v>1521</v>
      </c>
      <c r="D83" s="142">
        <v>2</v>
      </c>
      <c r="E83" s="347">
        <v>41569</v>
      </c>
      <c r="F83" s="141" t="s">
        <v>2570</v>
      </c>
      <c r="G83" s="143"/>
      <c r="H83" s="144" t="s">
        <v>2446</v>
      </c>
      <c r="I83" s="28"/>
      <c r="J83" s="130"/>
      <c r="K83" s="150"/>
    </row>
    <row r="84" spans="1:11" x14ac:dyDescent="0.3">
      <c r="A84" s="17">
        <v>65</v>
      </c>
      <c r="B84" s="17"/>
      <c r="C84" s="141" t="s">
        <v>2571</v>
      </c>
      <c r="D84" s="142">
        <v>1</v>
      </c>
      <c r="E84" s="347">
        <v>41541</v>
      </c>
      <c r="F84" s="141" t="s">
        <v>2572</v>
      </c>
      <c r="G84" s="143"/>
      <c r="H84" s="144" t="s">
        <v>2446</v>
      </c>
      <c r="I84" s="28"/>
      <c r="J84" s="130"/>
      <c r="K84" s="150"/>
    </row>
    <row r="85" spans="1:11" x14ac:dyDescent="0.3">
      <c r="A85" s="17">
        <v>66</v>
      </c>
      <c r="B85" s="17"/>
      <c r="C85" s="141" t="s">
        <v>1503</v>
      </c>
      <c r="D85" s="142">
        <v>1</v>
      </c>
      <c r="E85" s="347">
        <v>41541</v>
      </c>
      <c r="F85" s="141" t="s">
        <v>2573</v>
      </c>
      <c r="G85" s="143"/>
      <c r="H85" s="144" t="s">
        <v>2446</v>
      </c>
      <c r="I85" s="28"/>
      <c r="J85" s="130"/>
      <c r="K85" s="17"/>
    </row>
    <row r="86" spans="1:11" x14ac:dyDescent="0.3">
      <c r="A86" s="17">
        <v>67</v>
      </c>
      <c r="B86" s="17"/>
      <c r="C86" s="141" t="s">
        <v>2574</v>
      </c>
      <c r="D86" s="142">
        <v>1</v>
      </c>
      <c r="E86" s="347">
        <v>41521</v>
      </c>
      <c r="F86" s="141" t="s">
        <v>2575</v>
      </c>
      <c r="G86" s="143"/>
      <c r="H86" s="144" t="s">
        <v>2446</v>
      </c>
      <c r="I86" s="28"/>
      <c r="J86" s="130"/>
      <c r="K86" s="17"/>
    </row>
    <row r="87" spans="1:11" x14ac:dyDescent="0.3">
      <c r="A87" s="17">
        <v>68</v>
      </c>
      <c r="B87" s="17"/>
      <c r="C87" s="141" t="s">
        <v>1657</v>
      </c>
      <c r="D87" s="142">
        <v>1</v>
      </c>
      <c r="E87" s="347">
        <v>41541</v>
      </c>
      <c r="F87" s="141" t="s">
        <v>2576</v>
      </c>
      <c r="G87" s="143"/>
      <c r="H87" s="144" t="s">
        <v>2446</v>
      </c>
      <c r="I87" s="28"/>
      <c r="J87" s="130"/>
      <c r="K87" s="17"/>
    </row>
    <row r="88" spans="1:11" x14ac:dyDescent="0.3">
      <c r="A88" s="17">
        <v>69</v>
      </c>
      <c r="B88" s="17"/>
      <c r="C88" s="141" t="s">
        <v>2577</v>
      </c>
      <c r="D88" s="142">
        <v>1</v>
      </c>
      <c r="E88" s="347">
        <v>41541</v>
      </c>
      <c r="F88" s="141" t="s">
        <v>2578</v>
      </c>
      <c r="G88" s="143"/>
      <c r="H88" s="144" t="s">
        <v>2446</v>
      </c>
      <c r="I88" s="28"/>
      <c r="J88" s="130"/>
      <c r="K88" s="17"/>
    </row>
    <row r="89" spans="1:11" x14ac:dyDescent="0.3">
      <c r="A89" s="17">
        <v>70</v>
      </c>
      <c r="B89" s="17"/>
      <c r="C89" s="141" t="s">
        <v>1659</v>
      </c>
      <c r="D89" s="142">
        <v>1</v>
      </c>
      <c r="E89" s="347">
        <v>41541</v>
      </c>
      <c r="F89" s="141" t="s">
        <v>2579</v>
      </c>
      <c r="G89" s="143"/>
      <c r="H89" s="144" t="s">
        <v>2446</v>
      </c>
      <c r="I89" s="28"/>
      <c r="J89" s="130"/>
      <c r="K89" s="17"/>
    </row>
    <row r="90" spans="1:11" x14ac:dyDescent="0.3">
      <c r="A90" s="17">
        <v>71</v>
      </c>
      <c r="B90" s="17"/>
      <c r="C90" s="141" t="s">
        <v>1670</v>
      </c>
      <c r="D90" s="142">
        <v>1</v>
      </c>
      <c r="E90" s="347">
        <v>41541</v>
      </c>
      <c r="F90" s="141" t="s">
        <v>2580</v>
      </c>
      <c r="G90" s="143"/>
      <c r="H90" s="144" t="s">
        <v>2446</v>
      </c>
      <c r="I90" s="28"/>
      <c r="J90" s="130"/>
      <c r="K90" s="17"/>
    </row>
    <row r="91" spans="1:11" x14ac:dyDescent="0.3">
      <c r="A91" s="17">
        <v>72</v>
      </c>
      <c r="B91" s="17"/>
      <c r="C91" s="141" t="s">
        <v>2581</v>
      </c>
      <c r="D91" s="142">
        <v>1</v>
      </c>
      <c r="E91" s="347">
        <v>41541</v>
      </c>
      <c r="F91" s="141" t="s">
        <v>2582</v>
      </c>
      <c r="G91" s="143"/>
      <c r="H91" s="144" t="s">
        <v>2446</v>
      </c>
      <c r="I91" s="28"/>
      <c r="J91" s="130"/>
      <c r="K91" s="17"/>
    </row>
    <row r="92" spans="1:11" x14ac:dyDescent="0.3">
      <c r="A92" s="17">
        <v>73</v>
      </c>
      <c r="B92" s="17"/>
      <c r="C92" s="141" t="s">
        <v>1501</v>
      </c>
      <c r="D92" s="142">
        <v>1</v>
      </c>
      <c r="E92" s="347">
        <v>41541</v>
      </c>
      <c r="F92" s="141" t="s">
        <v>2583</v>
      </c>
      <c r="G92" s="143"/>
      <c r="H92" s="144" t="s">
        <v>2446</v>
      </c>
      <c r="I92" s="28"/>
      <c r="J92" s="130"/>
      <c r="K92" s="17"/>
    </row>
    <row r="93" spans="1:11" x14ac:dyDescent="0.3">
      <c r="A93" s="17">
        <v>74</v>
      </c>
      <c r="B93" s="17"/>
      <c r="C93" s="141" t="s">
        <v>2584</v>
      </c>
      <c r="D93" s="142">
        <v>0</v>
      </c>
      <c r="E93" s="156"/>
      <c r="F93" s="141" t="s">
        <v>2585</v>
      </c>
      <c r="G93" s="143"/>
      <c r="H93" s="144" t="s">
        <v>2446</v>
      </c>
      <c r="I93" s="28"/>
      <c r="J93" s="130"/>
      <c r="K93" s="17"/>
    </row>
    <row r="94" spans="1:11" x14ac:dyDescent="0.3">
      <c r="A94" s="17">
        <v>75</v>
      </c>
      <c r="B94" s="17"/>
      <c r="C94" s="141" t="s">
        <v>2586</v>
      </c>
      <c r="D94" s="142">
        <v>0</v>
      </c>
      <c r="E94" s="156"/>
      <c r="F94" s="141" t="s">
        <v>2587</v>
      </c>
      <c r="G94" s="143"/>
      <c r="H94" s="144" t="s">
        <v>2446</v>
      </c>
      <c r="I94" s="28"/>
      <c r="J94" s="130"/>
      <c r="K94" s="17"/>
    </row>
    <row r="95" spans="1:11" x14ac:dyDescent="0.3">
      <c r="A95" s="17">
        <v>76</v>
      </c>
      <c r="B95" s="17"/>
      <c r="C95" s="141" t="s">
        <v>2588</v>
      </c>
      <c r="D95" s="142">
        <v>0</v>
      </c>
      <c r="E95" s="154">
        <v>40260</v>
      </c>
      <c r="F95" s="141" t="s">
        <v>2589</v>
      </c>
      <c r="G95" s="143"/>
      <c r="H95" s="144" t="s">
        <v>2467</v>
      </c>
      <c r="I95" s="148"/>
      <c r="J95" s="130"/>
      <c r="K95" s="17"/>
    </row>
    <row r="96" spans="1:11" x14ac:dyDescent="0.3">
      <c r="A96" s="17">
        <v>77</v>
      </c>
      <c r="B96" s="17"/>
      <c r="C96" s="141" t="s">
        <v>2590</v>
      </c>
      <c r="D96" s="142">
        <v>1</v>
      </c>
      <c r="E96" s="347">
        <v>41541</v>
      </c>
      <c r="F96" s="141" t="s">
        <v>2589</v>
      </c>
      <c r="G96" s="143"/>
      <c r="H96" s="144" t="s">
        <v>2446</v>
      </c>
      <c r="I96" s="28"/>
      <c r="J96" s="130"/>
      <c r="K96" s="17"/>
    </row>
    <row r="97" spans="1:11" x14ac:dyDescent="0.3">
      <c r="A97" s="17">
        <v>78</v>
      </c>
      <c r="B97" s="17"/>
      <c r="C97" s="141" t="s">
        <v>2591</v>
      </c>
      <c r="D97" s="142">
        <v>1</v>
      </c>
      <c r="E97" s="154">
        <v>41570</v>
      </c>
      <c r="F97" s="141" t="s">
        <v>2592</v>
      </c>
      <c r="G97" s="143"/>
      <c r="H97" s="144" t="s">
        <v>2446</v>
      </c>
      <c r="I97" s="28"/>
      <c r="J97" s="130"/>
      <c r="K97" s="150"/>
    </row>
    <row r="98" spans="1:11" x14ac:dyDescent="0.3">
      <c r="A98" s="17">
        <v>79</v>
      </c>
      <c r="B98" s="17"/>
      <c r="C98" s="141" t="s">
        <v>1733</v>
      </c>
      <c r="D98" s="142">
        <v>0</v>
      </c>
      <c r="E98" s="154">
        <v>41599</v>
      </c>
      <c r="F98" s="141" t="s">
        <v>2593</v>
      </c>
      <c r="G98" s="143"/>
      <c r="H98" s="144" t="s">
        <v>2446</v>
      </c>
      <c r="I98" s="28"/>
      <c r="J98" s="130"/>
      <c r="K98" s="17"/>
    </row>
    <row r="99" spans="1:11" x14ac:dyDescent="0.3">
      <c r="A99" s="17">
        <v>80</v>
      </c>
      <c r="B99" s="17"/>
      <c r="C99" s="141" t="s">
        <v>1544</v>
      </c>
      <c r="D99" s="142">
        <v>0</v>
      </c>
      <c r="E99" s="154">
        <v>41670</v>
      </c>
      <c r="F99" s="141" t="s">
        <v>2594</v>
      </c>
      <c r="G99" s="143"/>
      <c r="H99" s="144" t="s">
        <v>2467</v>
      </c>
      <c r="I99" s="148"/>
      <c r="J99" s="130"/>
      <c r="K99" s="17"/>
    </row>
    <row r="100" spans="1:11" x14ac:dyDescent="0.3">
      <c r="A100" s="17"/>
      <c r="B100" s="17"/>
      <c r="C100" s="52"/>
      <c r="D100" s="70"/>
      <c r="E100" s="70"/>
      <c r="F100" s="52"/>
      <c r="G100" s="131"/>
      <c r="H100" s="70"/>
      <c r="I100" s="28"/>
      <c r="J100" s="130"/>
      <c r="K100" s="17"/>
    </row>
    <row r="101" spans="1:11" x14ac:dyDescent="0.3">
      <c r="A101" s="17"/>
      <c r="B101" s="17"/>
      <c r="C101" s="342" t="s">
        <v>2595</v>
      </c>
      <c r="D101" s="342"/>
      <c r="E101" s="342"/>
      <c r="F101" s="342"/>
      <c r="G101" s="342"/>
      <c r="H101" s="342"/>
      <c r="I101" s="28"/>
      <c r="J101" s="130"/>
      <c r="K101" s="17"/>
    </row>
    <row r="102" spans="1:11" ht="27.6" x14ac:dyDescent="0.3">
      <c r="A102" s="17"/>
      <c r="B102" s="17"/>
      <c r="C102" s="136" t="s">
        <v>2449</v>
      </c>
      <c r="D102" s="136" t="s">
        <v>2450</v>
      </c>
      <c r="E102" s="136" t="s">
        <v>538</v>
      </c>
      <c r="F102" s="136" t="s">
        <v>2451</v>
      </c>
      <c r="G102" s="137" t="s">
        <v>2452</v>
      </c>
      <c r="H102" s="136" t="s">
        <v>2453</v>
      </c>
      <c r="I102" s="28"/>
      <c r="J102" s="130"/>
      <c r="K102" s="17"/>
    </row>
    <row r="103" spans="1:11" x14ac:dyDescent="0.3">
      <c r="A103" s="17">
        <v>81</v>
      </c>
      <c r="B103" s="17"/>
      <c r="C103" s="141" t="s">
        <v>2596</v>
      </c>
      <c r="D103" s="142">
        <v>3</v>
      </c>
      <c r="E103" s="154">
        <v>41537</v>
      </c>
      <c r="F103" s="141" t="s">
        <v>2597</v>
      </c>
      <c r="G103" s="143"/>
      <c r="H103" s="348" t="s">
        <v>2446</v>
      </c>
      <c r="I103" s="28"/>
      <c r="J103" s="130"/>
      <c r="K103" s="17"/>
    </row>
    <row r="104" spans="1:11" x14ac:dyDescent="0.3">
      <c r="A104" s="17">
        <v>82</v>
      </c>
      <c r="B104" s="17"/>
      <c r="C104" s="141" t="s">
        <v>2598</v>
      </c>
      <c r="D104" s="142">
        <v>1</v>
      </c>
      <c r="E104" s="154">
        <v>41570</v>
      </c>
      <c r="F104" s="141" t="s">
        <v>2599</v>
      </c>
      <c r="G104" s="143"/>
      <c r="H104" s="348" t="s">
        <v>2446</v>
      </c>
      <c r="I104" s="28"/>
      <c r="J104" s="130"/>
      <c r="K104" s="17"/>
    </row>
    <row r="105" spans="1:11" x14ac:dyDescent="0.3">
      <c r="A105" s="17">
        <v>83</v>
      </c>
      <c r="B105" s="17"/>
      <c r="C105" s="145" t="s">
        <v>2600</v>
      </c>
      <c r="D105" s="146">
        <v>0</v>
      </c>
      <c r="E105" s="155"/>
      <c r="F105" s="145" t="s">
        <v>2601</v>
      </c>
      <c r="G105" s="147"/>
      <c r="H105" s="355" t="s">
        <v>2493</v>
      </c>
      <c r="I105" s="28"/>
      <c r="J105" s="130"/>
      <c r="K105" s="17"/>
    </row>
    <row r="106" spans="1:11" x14ac:dyDescent="0.3">
      <c r="A106" s="17">
        <v>84</v>
      </c>
      <c r="B106" s="17"/>
      <c r="C106" s="141" t="s">
        <v>2602</v>
      </c>
      <c r="D106" s="142">
        <v>1</v>
      </c>
      <c r="E106" s="154">
        <v>41546</v>
      </c>
      <c r="F106" s="141" t="s">
        <v>2603</v>
      </c>
      <c r="G106" s="143"/>
      <c r="H106" s="348" t="s">
        <v>2446</v>
      </c>
      <c r="I106" s="28"/>
      <c r="J106" s="130"/>
      <c r="K106" s="17"/>
    </row>
    <row r="107" spans="1:11" x14ac:dyDescent="0.3">
      <c r="A107" s="17">
        <v>85</v>
      </c>
      <c r="B107" s="17"/>
      <c r="C107" s="141" t="s">
        <v>2604</v>
      </c>
      <c r="D107" s="142">
        <v>0</v>
      </c>
      <c r="E107" s="156"/>
      <c r="F107" s="141" t="s">
        <v>2605</v>
      </c>
      <c r="G107" s="143"/>
      <c r="H107" s="348" t="s">
        <v>2459</v>
      </c>
      <c r="I107" s="28"/>
      <c r="J107" s="130"/>
      <c r="K107" s="17"/>
    </row>
    <row r="108" spans="1:11" x14ac:dyDescent="0.3">
      <c r="A108" s="17">
        <v>86</v>
      </c>
      <c r="B108" s="17"/>
      <c r="C108" s="145" t="s">
        <v>2606</v>
      </c>
      <c r="D108" s="146">
        <v>0</v>
      </c>
      <c r="E108" s="155"/>
      <c r="F108" s="145" t="s">
        <v>2607</v>
      </c>
      <c r="G108" s="147"/>
      <c r="H108" s="355" t="s">
        <v>2493</v>
      </c>
      <c r="I108" s="28"/>
      <c r="J108" s="130"/>
      <c r="K108" s="17"/>
    </row>
    <row r="109" spans="1:11" x14ac:dyDescent="0.3">
      <c r="A109" s="17">
        <v>87</v>
      </c>
      <c r="B109" s="17"/>
      <c r="C109" s="145" t="s">
        <v>2608</v>
      </c>
      <c r="D109" s="146">
        <v>0</v>
      </c>
      <c r="E109" s="155"/>
      <c r="F109" s="145" t="s">
        <v>2609</v>
      </c>
      <c r="G109" s="147"/>
      <c r="H109" s="355" t="s">
        <v>2493</v>
      </c>
      <c r="I109" s="28"/>
      <c r="J109" s="130"/>
      <c r="K109" s="17"/>
    </row>
    <row r="110" spans="1:11" x14ac:dyDescent="0.3">
      <c r="A110" s="17"/>
      <c r="B110" s="17"/>
      <c r="C110" s="52"/>
      <c r="D110" s="70"/>
      <c r="E110" s="70"/>
      <c r="F110" s="52"/>
      <c r="G110" s="131"/>
      <c r="H110" s="70"/>
      <c r="I110" s="28"/>
      <c r="J110" s="130"/>
      <c r="K110" s="17"/>
    </row>
    <row r="111" spans="1:11" x14ac:dyDescent="0.3">
      <c r="A111" s="17"/>
      <c r="B111" s="17"/>
      <c r="C111" s="52"/>
      <c r="D111" s="70"/>
      <c r="E111" s="70"/>
      <c r="F111" s="52"/>
      <c r="G111" s="131"/>
      <c r="H111" s="70"/>
      <c r="I111" s="28"/>
      <c r="J111" s="130"/>
      <c r="K111" s="17"/>
    </row>
    <row r="112" spans="1:11" x14ac:dyDescent="0.3">
      <c r="A112" s="17"/>
      <c r="B112" s="17"/>
      <c r="C112" s="342" t="s">
        <v>2610</v>
      </c>
      <c r="D112" s="342"/>
      <c r="E112" s="342"/>
      <c r="F112" s="342"/>
      <c r="G112" s="342"/>
      <c r="H112" s="342"/>
      <c r="I112" s="28"/>
      <c r="J112" s="130"/>
      <c r="K112" s="17"/>
    </row>
    <row r="113" spans="1:11" x14ac:dyDescent="0.3">
      <c r="A113" s="17"/>
      <c r="B113" s="17"/>
      <c r="C113" s="136" t="s">
        <v>2449</v>
      </c>
      <c r="D113" s="136" t="s">
        <v>2450</v>
      </c>
      <c r="E113" s="136" t="s">
        <v>538</v>
      </c>
      <c r="F113" s="136" t="s">
        <v>2451</v>
      </c>
      <c r="G113" s="137"/>
      <c r="H113" s="136" t="s">
        <v>2453</v>
      </c>
      <c r="I113" s="28"/>
      <c r="J113" s="130"/>
      <c r="K113" s="17"/>
    </row>
    <row r="114" spans="1:11" x14ac:dyDescent="0.3">
      <c r="A114" s="17">
        <v>88</v>
      </c>
      <c r="B114" s="17"/>
      <c r="C114" s="141" t="s">
        <v>2611</v>
      </c>
      <c r="D114" s="142">
        <v>1</v>
      </c>
      <c r="E114" s="154">
        <v>41533</v>
      </c>
      <c r="F114" s="141" t="s">
        <v>2612</v>
      </c>
      <c r="G114" s="143"/>
      <c r="H114" s="348" t="s">
        <v>2446</v>
      </c>
      <c r="I114" s="28"/>
      <c r="J114" s="130"/>
      <c r="K114" s="17"/>
    </row>
    <row r="115" spans="1:11" x14ac:dyDescent="0.3">
      <c r="A115" s="17">
        <v>89</v>
      </c>
      <c r="B115" s="17"/>
      <c r="C115" s="141" t="s">
        <v>2613</v>
      </c>
      <c r="D115" s="142">
        <v>1</v>
      </c>
      <c r="E115" s="154">
        <v>41533</v>
      </c>
      <c r="F115" s="141" t="s">
        <v>2614</v>
      </c>
      <c r="G115" s="143"/>
      <c r="H115" s="348" t="s">
        <v>2446</v>
      </c>
      <c r="I115" s="28"/>
      <c r="J115" s="130"/>
      <c r="K115" s="17"/>
    </row>
    <row r="116" spans="1:11" x14ac:dyDescent="0.3">
      <c r="A116" s="17">
        <v>90</v>
      </c>
      <c r="B116" s="17"/>
      <c r="C116" s="141" t="s">
        <v>2615</v>
      </c>
      <c r="D116" s="142">
        <v>0</v>
      </c>
      <c r="E116" s="156"/>
      <c r="F116" s="141" t="s">
        <v>2616</v>
      </c>
      <c r="G116" s="143"/>
      <c r="H116" s="348" t="s">
        <v>2342</v>
      </c>
      <c r="I116" s="28"/>
      <c r="J116" s="130"/>
      <c r="K116" s="17"/>
    </row>
    <row r="117" spans="1:11" x14ac:dyDescent="0.3">
      <c r="A117" s="17">
        <v>91</v>
      </c>
      <c r="B117" s="17"/>
      <c r="C117" s="141" t="s">
        <v>2617</v>
      </c>
      <c r="D117" s="142">
        <v>1</v>
      </c>
      <c r="E117" s="154">
        <v>41533</v>
      </c>
      <c r="F117" s="141" t="s">
        <v>2618</v>
      </c>
      <c r="G117" s="143"/>
      <c r="H117" s="348" t="s">
        <v>2446</v>
      </c>
      <c r="I117" s="28"/>
      <c r="J117" s="130"/>
      <c r="K117" s="17"/>
    </row>
    <row r="118" spans="1:11" x14ac:dyDescent="0.3">
      <c r="A118" s="17">
        <v>92</v>
      </c>
      <c r="B118" s="17"/>
      <c r="C118" s="141" t="s">
        <v>2619</v>
      </c>
      <c r="D118" s="142">
        <v>1</v>
      </c>
      <c r="E118" s="154">
        <v>41533</v>
      </c>
      <c r="F118" s="141" t="s">
        <v>2620</v>
      </c>
      <c r="G118" s="143"/>
      <c r="H118" s="348" t="s">
        <v>2446</v>
      </c>
      <c r="I118" s="28"/>
      <c r="J118" s="130"/>
      <c r="K118" s="17"/>
    </row>
    <row r="119" spans="1:11" x14ac:dyDescent="0.3">
      <c r="A119" s="17">
        <v>93</v>
      </c>
      <c r="B119" s="17"/>
      <c r="C119" s="141" t="s">
        <v>2621</v>
      </c>
      <c r="D119" s="142">
        <v>1</v>
      </c>
      <c r="E119" s="154">
        <v>41533</v>
      </c>
      <c r="F119" s="141" t="s">
        <v>2622</v>
      </c>
      <c r="G119" s="143"/>
      <c r="H119" s="348" t="s">
        <v>2446</v>
      </c>
      <c r="I119" s="28"/>
      <c r="J119" s="130"/>
      <c r="K119" s="17"/>
    </row>
    <row r="120" spans="1:11" x14ac:dyDescent="0.3">
      <c r="A120" s="17">
        <v>94</v>
      </c>
      <c r="B120" s="17"/>
      <c r="C120" s="141" t="s">
        <v>2623</v>
      </c>
      <c r="D120" s="142">
        <v>1</v>
      </c>
      <c r="E120" s="154">
        <v>41533</v>
      </c>
      <c r="F120" s="141" t="s">
        <v>2624</v>
      </c>
      <c r="G120" s="143"/>
      <c r="H120" s="348" t="s">
        <v>2446</v>
      </c>
      <c r="I120" s="28"/>
      <c r="J120" s="130"/>
      <c r="K120" s="17"/>
    </row>
    <row r="121" spans="1:11" x14ac:dyDescent="0.3">
      <c r="A121" s="17">
        <v>95</v>
      </c>
      <c r="B121" s="17"/>
      <c r="C121" s="141" t="s">
        <v>2625</v>
      </c>
      <c r="D121" s="142">
        <v>1</v>
      </c>
      <c r="E121" s="154">
        <v>41533</v>
      </c>
      <c r="F121" s="141" t="s">
        <v>2626</v>
      </c>
      <c r="G121" s="143"/>
      <c r="H121" s="348" t="s">
        <v>2446</v>
      </c>
      <c r="I121" s="28"/>
      <c r="J121" s="130"/>
      <c r="K121" s="17"/>
    </row>
    <row r="122" spans="1:11" x14ac:dyDescent="0.3">
      <c r="A122" s="17">
        <v>96</v>
      </c>
      <c r="B122" s="17"/>
      <c r="C122" s="141" t="s">
        <v>2627</v>
      </c>
      <c r="D122" s="142">
        <v>1</v>
      </c>
      <c r="E122" s="154">
        <v>41533</v>
      </c>
      <c r="F122" s="141" t="s">
        <v>2628</v>
      </c>
      <c r="G122" s="143"/>
      <c r="H122" s="348" t="s">
        <v>2446</v>
      </c>
      <c r="I122" s="28"/>
      <c r="J122" s="130"/>
      <c r="K122" s="17"/>
    </row>
    <row r="123" spans="1:11" x14ac:dyDescent="0.3">
      <c r="A123" s="17">
        <v>97</v>
      </c>
      <c r="B123" s="17"/>
      <c r="C123" s="141" t="s">
        <v>2629</v>
      </c>
      <c r="D123" s="142">
        <v>1</v>
      </c>
      <c r="E123" s="154">
        <v>41533</v>
      </c>
      <c r="F123" s="141" t="s">
        <v>2630</v>
      </c>
      <c r="G123" s="143"/>
      <c r="H123" s="348" t="s">
        <v>2446</v>
      </c>
      <c r="I123" s="28"/>
      <c r="J123" s="130"/>
      <c r="K123" s="17"/>
    </row>
    <row r="124" spans="1:11" x14ac:dyDescent="0.3">
      <c r="A124" s="17">
        <v>98</v>
      </c>
      <c r="B124" s="17"/>
      <c r="C124" s="141" t="s">
        <v>2631</v>
      </c>
      <c r="D124" s="142">
        <v>0</v>
      </c>
      <c r="E124" s="156"/>
      <c r="F124" s="141" t="s">
        <v>2632</v>
      </c>
      <c r="G124" s="143"/>
      <c r="H124" s="348" t="s">
        <v>2446</v>
      </c>
      <c r="I124" s="28"/>
      <c r="J124" s="130"/>
      <c r="K124" s="17"/>
    </row>
    <row r="125" spans="1:11" x14ac:dyDescent="0.3">
      <c r="A125" s="17">
        <v>99</v>
      </c>
      <c r="B125" s="17"/>
      <c r="C125" s="141" t="s">
        <v>2633</v>
      </c>
      <c r="D125" s="142">
        <v>1</v>
      </c>
      <c r="E125" s="154">
        <v>41533</v>
      </c>
      <c r="F125" s="141" t="s">
        <v>2634</v>
      </c>
      <c r="G125" s="143"/>
      <c r="H125" s="348" t="s">
        <v>2446</v>
      </c>
      <c r="I125" s="28"/>
      <c r="J125" s="130"/>
      <c r="K125" s="17"/>
    </row>
    <row r="126" spans="1:11" x14ac:dyDescent="0.3">
      <c r="A126" s="17">
        <v>100</v>
      </c>
      <c r="B126" s="17"/>
      <c r="C126" s="141" t="s">
        <v>2635</v>
      </c>
      <c r="D126" s="142">
        <v>1</v>
      </c>
      <c r="E126" s="154">
        <v>41533</v>
      </c>
      <c r="F126" s="141" t="s">
        <v>2636</v>
      </c>
      <c r="G126" s="143"/>
      <c r="H126" s="348" t="s">
        <v>2446</v>
      </c>
      <c r="I126" s="28"/>
      <c r="J126" s="130"/>
      <c r="K126" s="17"/>
    </row>
    <row r="127" spans="1:11" x14ac:dyDescent="0.3">
      <c r="A127" s="17">
        <v>101</v>
      </c>
      <c r="B127" s="17"/>
      <c r="C127" s="141" t="s">
        <v>2637</v>
      </c>
      <c r="D127" s="142">
        <v>1</v>
      </c>
      <c r="E127" s="154">
        <v>41533</v>
      </c>
      <c r="F127" s="141" t="s">
        <v>2638</v>
      </c>
      <c r="G127" s="143"/>
      <c r="H127" s="348" t="s">
        <v>2446</v>
      </c>
      <c r="I127" s="28"/>
      <c r="J127" s="130"/>
      <c r="K127" s="17"/>
    </row>
    <row r="128" spans="1:11" x14ac:dyDescent="0.3">
      <c r="A128" s="17">
        <v>102</v>
      </c>
      <c r="B128" s="17"/>
      <c r="C128" s="141" t="s">
        <v>2639</v>
      </c>
      <c r="D128" s="142">
        <v>1</v>
      </c>
      <c r="E128" s="154">
        <v>41533</v>
      </c>
      <c r="F128" s="141" t="s">
        <v>2640</v>
      </c>
      <c r="G128" s="143"/>
      <c r="H128" s="354" t="s">
        <v>2641</v>
      </c>
      <c r="I128" s="28"/>
      <c r="J128" s="130"/>
      <c r="K128" s="17"/>
    </row>
    <row r="129" spans="1:11" x14ac:dyDescent="0.3">
      <c r="A129" s="17">
        <v>103</v>
      </c>
      <c r="B129" s="17"/>
      <c r="C129" s="141" t="s">
        <v>2642</v>
      </c>
      <c r="D129" s="142">
        <v>1</v>
      </c>
      <c r="E129" s="154">
        <v>41533</v>
      </c>
      <c r="F129" s="141" t="s">
        <v>2643</v>
      </c>
      <c r="G129" s="143"/>
      <c r="H129" s="348" t="s">
        <v>2446</v>
      </c>
      <c r="I129" s="28"/>
      <c r="J129" s="130"/>
      <c r="K129" s="17"/>
    </row>
    <row r="130" spans="1:11" x14ac:dyDescent="0.3">
      <c r="A130" s="17">
        <v>104</v>
      </c>
      <c r="B130" s="17"/>
      <c r="C130" s="141" t="s">
        <v>2644</v>
      </c>
      <c r="D130" s="142">
        <v>1</v>
      </c>
      <c r="E130" s="154">
        <v>41533</v>
      </c>
      <c r="F130" s="141" t="s">
        <v>2645</v>
      </c>
      <c r="G130" s="143"/>
      <c r="H130" s="348" t="s">
        <v>2446</v>
      </c>
      <c r="I130" s="28"/>
      <c r="J130" s="130"/>
      <c r="K130" s="17"/>
    </row>
    <row r="131" spans="1:11" x14ac:dyDescent="0.3">
      <c r="A131" s="17">
        <v>105</v>
      </c>
      <c r="B131" s="17"/>
      <c r="C131" s="141" t="s">
        <v>2646</v>
      </c>
      <c r="D131" s="142">
        <v>1</v>
      </c>
      <c r="E131" s="154">
        <v>41533</v>
      </c>
      <c r="F131" s="141" t="s">
        <v>2647</v>
      </c>
      <c r="G131" s="143"/>
      <c r="H131" s="348" t="s">
        <v>2446</v>
      </c>
      <c r="I131" s="28"/>
      <c r="J131" s="130"/>
      <c r="K131" s="17"/>
    </row>
    <row r="132" spans="1:11" x14ac:dyDescent="0.3">
      <c r="A132" s="17">
        <v>106</v>
      </c>
      <c r="B132" s="17"/>
      <c r="C132" s="349" t="s">
        <v>2648</v>
      </c>
      <c r="D132" s="350">
        <v>1</v>
      </c>
      <c r="E132" s="156" t="s">
        <v>1732</v>
      </c>
      <c r="F132" s="349" t="s">
        <v>2649</v>
      </c>
      <c r="G132" s="351"/>
      <c r="H132" s="352" t="s">
        <v>2650</v>
      </c>
      <c r="I132" s="149"/>
      <c r="J132" s="130"/>
      <c r="K132" s="17"/>
    </row>
    <row r="133" spans="1:11" x14ac:dyDescent="0.3">
      <c r="A133" s="17">
        <v>107</v>
      </c>
      <c r="B133" s="17"/>
      <c r="C133" s="349" t="s">
        <v>2651</v>
      </c>
      <c r="D133" s="350">
        <v>0</v>
      </c>
      <c r="E133" s="156"/>
      <c r="F133" s="349" t="s">
        <v>2342</v>
      </c>
      <c r="G133" s="351"/>
      <c r="H133" s="352" t="s">
        <v>2342</v>
      </c>
      <c r="I133" s="28"/>
      <c r="J133" s="130"/>
      <c r="K133" s="17"/>
    </row>
    <row r="134" spans="1:11" x14ac:dyDescent="0.3">
      <c r="A134" s="17">
        <v>108</v>
      </c>
      <c r="B134" s="17"/>
      <c r="C134" s="141" t="s">
        <v>2652</v>
      </c>
      <c r="D134" s="142">
        <v>1</v>
      </c>
      <c r="E134" s="154">
        <v>41533</v>
      </c>
      <c r="F134" s="141" t="s">
        <v>2653</v>
      </c>
      <c r="G134" s="143"/>
      <c r="H134" s="348" t="s">
        <v>2446</v>
      </c>
      <c r="I134" s="28"/>
      <c r="J134" s="130"/>
      <c r="K134" s="17"/>
    </row>
    <row r="135" spans="1:11" x14ac:dyDescent="0.3">
      <c r="A135" s="17">
        <v>109</v>
      </c>
      <c r="B135" s="17"/>
      <c r="C135" s="141" t="s">
        <v>2654</v>
      </c>
      <c r="D135" s="142">
        <v>2</v>
      </c>
      <c r="E135" s="154">
        <v>41576</v>
      </c>
      <c r="F135" s="141" t="s">
        <v>2655</v>
      </c>
      <c r="G135" s="143"/>
      <c r="H135" s="348" t="s">
        <v>2446</v>
      </c>
      <c r="I135" s="28"/>
      <c r="J135" s="130"/>
      <c r="K135" s="17"/>
    </row>
    <row r="136" spans="1:11" x14ac:dyDescent="0.3">
      <c r="A136" s="17">
        <v>110</v>
      </c>
      <c r="B136" s="17"/>
      <c r="C136" s="145" t="s">
        <v>2656</v>
      </c>
      <c r="D136" s="146">
        <v>0</v>
      </c>
      <c r="E136" s="155"/>
      <c r="F136" s="145" t="s">
        <v>2657</v>
      </c>
      <c r="G136" s="147"/>
      <c r="H136" s="353" t="s">
        <v>2493</v>
      </c>
      <c r="I136" s="28"/>
      <c r="J136" s="130"/>
      <c r="K136" s="17"/>
    </row>
    <row r="137" spans="1:11" x14ac:dyDescent="0.3">
      <c r="A137" s="17">
        <v>111</v>
      </c>
      <c r="B137" s="17"/>
      <c r="C137" s="141" t="s">
        <v>2658</v>
      </c>
      <c r="D137" s="142">
        <v>1</v>
      </c>
      <c r="E137" s="154">
        <v>41533</v>
      </c>
      <c r="F137" s="141" t="s">
        <v>2659</v>
      </c>
      <c r="G137" s="143"/>
      <c r="H137" s="348" t="s">
        <v>2446</v>
      </c>
      <c r="I137" s="28"/>
      <c r="J137" s="130"/>
      <c r="K137" s="17"/>
    </row>
    <row r="138" spans="1:11" x14ac:dyDescent="0.3">
      <c r="A138" s="17">
        <v>112</v>
      </c>
      <c r="B138" s="17"/>
      <c r="C138" s="141" t="s">
        <v>2660</v>
      </c>
      <c r="D138" s="142">
        <v>1</v>
      </c>
      <c r="E138" s="154">
        <v>41533</v>
      </c>
      <c r="F138" s="141" t="s">
        <v>2661</v>
      </c>
      <c r="G138" s="143"/>
      <c r="H138" s="348" t="s">
        <v>2446</v>
      </c>
      <c r="I138" s="28"/>
      <c r="J138" s="130"/>
      <c r="K138" s="17"/>
    </row>
    <row r="139" spans="1:11" x14ac:dyDescent="0.3">
      <c r="A139" s="17">
        <v>113</v>
      </c>
      <c r="B139" s="17"/>
      <c r="C139" s="141" t="s">
        <v>2662</v>
      </c>
      <c r="D139" s="142">
        <v>0</v>
      </c>
      <c r="E139" s="154">
        <v>41523</v>
      </c>
      <c r="F139" s="141" t="s">
        <v>2663</v>
      </c>
      <c r="G139" s="143"/>
      <c r="H139" s="348" t="s">
        <v>2467</v>
      </c>
      <c r="I139" s="28"/>
      <c r="J139" s="130"/>
      <c r="K139" s="17"/>
    </row>
    <row r="140" spans="1:11" x14ac:dyDescent="0.3">
      <c r="A140" s="17">
        <v>114</v>
      </c>
      <c r="B140" s="17"/>
      <c r="C140" s="141" t="s">
        <v>2664</v>
      </c>
      <c r="D140" s="142">
        <v>0</v>
      </c>
      <c r="E140" s="154" t="s">
        <v>2650</v>
      </c>
      <c r="F140" s="141" t="s">
        <v>2665</v>
      </c>
      <c r="G140" s="143"/>
      <c r="H140" s="348" t="s">
        <v>2467</v>
      </c>
      <c r="I140" s="148"/>
      <c r="J140" s="130"/>
      <c r="K140" s="17"/>
    </row>
    <row r="141" spans="1:11" x14ac:dyDescent="0.3">
      <c r="A141" s="17">
        <v>115</v>
      </c>
      <c r="B141" s="17"/>
      <c r="C141" s="141" t="s">
        <v>2666</v>
      </c>
      <c r="D141" s="142">
        <v>0</v>
      </c>
      <c r="E141" s="154" t="s">
        <v>2650</v>
      </c>
      <c r="F141" s="141" t="s">
        <v>2667</v>
      </c>
      <c r="G141" s="143"/>
      <c r="H141" s="348" t="s">
        <v>2467</v>
      </c>
      <c r="I141" s="148"/>
      <c r="J141" s="130"/>
      <c r="K141" s="17"/>
    </row>
    <row r="142" spans="1:11" x14ac:dyDescent="0.3">
      <c r="A142" s="17">
        <v>116</v>
      </c>
      <c r="B142" s="17"/>
      <c r="C142" s="141" t="s">
        <v>2668</v>
      </c>
      <c r="D142" s="142">
        <v>0</v>
      </c>
      <c r="E142" s="154">
        <v>41624</v>
      </c>
      <c r="F142" s="141" t="s">
        <v>2669</v>
      </c>
      <c r="G142" s="143"/>
      <c r="H142" s="348" t="s">
        <v>2467</v>
      </c>
      <c r="I142" s="148"/>
      <c r="J142" s="130"/>
      <c r="K142" s="17"/>
    </row>
    <row r="143" spans="1:11" x14ac:dyDescent="0.3">
      <c r="A143" s="17">
        <v>117</v>
      </c>
      <c r="B143" s="17"/>
      <c r="C143" s="141" t="s">
        <v>2670</v>
      </c>
      <c r="D143" s="142">
        <v>0</v>
      </c>
      <c r="E143" s="154" t="s">
        <v>2650</v>
      </c>
      <c r="F143" s="141" t="s">
        <v>2671</v>
      </c>
      <c r="G143" s="143"/>
      <c r="H143" s="348" t="s">
        <v>2467</v>
      </c>
      <c r="I143" s="148"/>
      <c r="J143" s="130"/>
      <c r="K143" s="17"/>
    </row>
    <row r="144" spans="1:11" x14ac:dyDescent="0.3">
      <c r="A144" s="17">
        <v>118</v>
      </c>
      <c r="B144" s="17"/>
      <c r="C144" s="141" t="s">
        <v>2672</v>
      </c>
      <c r="D144" s="142">
        <v>0</v>
      </c>
      <c r="E144" s="154" t="s">
        <v>2650</v>
      </c>
      <c r="F144" s="141" t="s">
        <v>2673</v>
      </c>
      <c r="G144" s="143"/>
      <c r="H144" s="348" t="s">
        <v>2467</v>
      </c>
      <c r="I144" s="148"/>
      <c r="J144" s="130"/>
      <c r="K144" s="17"/>
    </row>
  </sheetData>
  <mergeCells count="5">
    <mergeCell ref="C12:H12"/>
    <mergeCell ref="C22:H22"/>
    <mergeCell ref="C53:H53"/>
    <mergeCell ref="C101:H101"/>
    <mergeCell ref="C112:H112"/>
  </mergeCells>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8C800"/>
    <pageSetUpPr fitToPage="1"/>
  </sheetPr>
  <dimension ref="A1:I59"/>
  <sheetViews>
    <sheetView workbookViewId="0"/>
  </sheetViews>
  <sheetFormatPr defaultRowHeight="14.4" x14ac:dyDescent="0.3"/>
  <cols>
    <col min="1" max="1" width="28.6640625" customWidth="1"/>
    <col min="2" max="2" width="37.109375" customWidth="1"/>
    <col min="3" max="3" width="59.88671875" customWidth="1"/>
    <col min="4" max="4" width="53.88671875" customWidth="1"/>
    <col min="5" max="5" width="10.109375" bestFit="1" customWidth="1"/>
    <col min="6" max="6" width="10.88671875" customWidth="1"/>
    <col min="7" max="7" width="12" customWidth="1"/>
    <col min="8" max="8" width="11.44140625" customWidth="1"/>
    <col min="9" max="9" width="11.88671875" customWidth="1"/>
  </cols>
  <sheetData>
    <row r="1" spans="1:9" x14ac:dyDescent="0.3">
      <c r="A1" t="s">
        <v>1642</v>
      </c>
      <c r="B1" t="s">
        <v>146</v>
      </c>
    </row>
    <row r="2" spans="1:9" ht="15" x14ac:dyDescent="0.25">
      <c r="A2" s="167" t="s">
        <v>3454</v>
      </c>
      <c r="B2" s="30"/>
      <c r="C2" s="30"/>
      <c r="D2" s="30" t="s">
        <v>1655</v>
      </c>
      <c r="E2" s="30" t="str">
        <f>Summary!C4</f>
        <v>2015/16</v>
      </c>
      <c r="F2" s="30" t="str">
        <f>Summary!D4</f>
        <v>2016/17</v>
      </c>
      <c r="G2" s="30" t="str">
        <f>Summary!E4</f>
        <v>2017/18</v>
      </c>
      <c r="H2" s="30" t="str">
        <f>Summary!F4</f>
        <v>2018/19</v>
      </c>
      <c r="I2" s="30" t="str">
        <f>Summary!G4</f>
        <v>2019/20</v>
      </c>
    </row>
    <row r="3" spans="1:9" ht="15" x14ac:dyDescent="0.25">
      <c r="A3" t="s">
        <v>1648</v>
      </c>
      <c r="B3" s="40"/>
      <c r="C3" s="33"/>
      <c r="D3" s="33">
        <f t="shared" ref="D3:I6" si="0">D36</f>
        <v>3527.9115607789454</v>
      </c>
      <c r="E3" s="33">
        <f t="shared" si="0"/>
        <v>671.17410000000007</v>
      </c>
      <c r="F3" s="33">
        <f t="shared" si="0"/>
        <v>687.95345250000003</v>
      </c>
      <c r="G3" s="33">
        <f t="shared" si="0"/>
        <v>705.15228881250005</v>
      </c>
      <c r="H3" s="33">
        <f t="shared" si="0"/>
        <v>722.78109603281246</v>
      </c>
      <c r="I3" s="33">
        <f t="shared" si="0"/>
        <v>740.85062343363268</v>
      </c>
    </row>
    <row r="4" spans="1:9" ht="15" x14ac:dyDescent="0.25">
      <c r="A4" t="s">
        <v>1643</v>
      </c>
      <c r="B4" s="33"/>
      <c r="C4" s="33"/>
      <c r="D4" s="33">
        <f t="shared" si="0"/>
        <v>0</v>
      </c>
      <c r="E4" s="33">
        <f t="shared" si="0"/>
        <v>0</v>
      </c>
      <c r="F4" s="33">
        <f t="shared" si="0"/>
        <v>0</v>
      </c>
      <c r="G4" s="33">
        <f t="shared" si="0"/>
        <v>0</v>
      </c>
      <c r="H4" s="33">
        <f t="shared" si="0"/>
        <v>0</v>
      </c>
      <c r="I4" s="33">
        <f t="shared" si="0"/>
        <v>0</v>
      </c>
    </row>
    <row r="5" spans="1:9" ht="15" x14ac:dyDescent="0.25">
      <c r="A5" t="s">
        <v>1649</v>
      </c>
      <c r="B5" s="33"/>
      <c r="C5" s="33"/>
      <c r="D5" s="33">
        <f t="shared" si="0"/>
        <v>0</v>
      </c>
      <c r="E5" s="33">
        <f t="shared" si="0"/>
        <v>0</v>
      </c>
      <c r="F5" s="33">
        <f t="shared" si="0"/>
        <v>0</v>
      </c>
      <c r="G5" s="33">
        <f t="shared" si="0"/>
        <v>0</v>
      </c>
      <c r="H5" s="33">
        <f t="shared" si="0"/>
        <v>0</v>
      </c>
      <c r="I5" s="33">
        <f t="shared" si="0"/>
        <v>0</v>
      </c>
    </row>
    <row r="6" spans="1:9" ht="15" x14ac:dyDescent="0.25">
      <c r="A6" t="s">
        <v>1650</v>
      </c>
      <c r="B6" s="33"/>
      <c r="C6" s="33"/>
      <c r="D6" s="33">
        <f t="shared" si="0"/>
        <v>0</v>
      </c>
      <c r="E6" s="33">
        <f t="shared" si="0"/>
        <v>0</v>
      </c>
      <c r="F6" s="33">
        <f t="shared" si="0"/>
        <v>0</v>
      </c>
      <c r="G6" s="33">
        <f t="shared" si="0"/>
        <v>0</v>
      </c>
      <c r="H6" s="33">
        <f t="shared" si="0"/>
        <v>0</v>
      </c>
      <c r="I6" s="33">
        <f t="shared" si="0"/>
        <v>0</v>
      </c>
    </row>
    <row r="9" spans="1:9" ht="15" x14ac:dyDescent="0.25">
      <c r="A9" t="s">
        <v>1497</v>
      </c>
      <c r="B9" t="s">
        <v>1498</v>
      </c>
    </row>
    <row r="10" spans="1:9" ht="15" x14ac:dyDescent="0.25">
      <c r="A10" t="s">
        <v>1500</v>
      </c>
      <c r="B10" s="14" t="s">
        <v>3098</v>
      </c>
    </row>
    <row r="13" spans="1:9" ht="15" x14ac:dyDescent="0.25">
      <c r="A13" t="s">
        <v>1687</v>
      </c>
    </row>
    <row r="14" spans="1:9" ht="15" x14ac:dyDescent="0.25">
      <c r="B14" s="39" t="s">
        <v>1678</v>
      </c>
      <c r="C14" s="39">
        <v>2</v>
      </c>
    </row>
    <row r="15" spans="1:9" ht="15" x14ac:dyDescent="0.25">
      <c r="A15" s="12" t="s">
        <v>1640</v>
      </c>
      <c r="B15" s="12"/>
      <c r="C15" s="12">
        <f>C14</f>
        <v>2</v>
      </c>
    </row>
    <row r="17" spans="1:9" s="301" customFormat="1" ht="15" x14ac:dyDescent="0.25">
      <c r="A17" s="301" t="s">
        <v>1992</v>
      </c>
    </row>
    <row r="18" spans="1:9" s="301" customFormat="1" ht="15" x14ac:dyDescent="0.25">
      <c r="A18" s="301" t="s">
        <v>3260</v>
      </c>
    </row>
    <row r="19" spans="1:9" s="301" customFormat="1" ht="15" x14ac:dyDescent="0.25">
      <c r="A19" s="301" t="s">
        <v>3261</v>
      </c>
    </row>
    <row r="20" spans="1:9" s="301" customFormat="1" ht="15" x14ac:dyDescent="0.25">
      <c r="A20" s="301" t="s">
        <v>3254</v>
      </c>
    </row>
    <row r="21" spans="1:9" s="301" customFormat="1" ht="15" x14ac:dyDescent="0.25"/>
    <row r="22" spans="1:9" ht="15" x14ac:dyDescent="0.25">
      <c r="B22" s="39"/>
      <c r="C22" s="39"/>
      <c r="E22" s="30" t="str">
        <f>Summary!C4</f>
        <v>2015/16</v>
      </c>
      <c r="F22" s="30" t="str">
        <f>Summary!D4</f>
        <v>2016/17</v>
      </c>
      <c r="G22" s="30" t="str">
        <f>Summary!E4</f>
        <v>2017/18</v>
      </c>
      <c r="H22" s="30" t="str">
        <f>Summary!F4</f>
        <v>2018/19</v>
      </c>
      <c r="I22" s="30" t="str">
        <f>Summary!G4</f>
        <v>2019/20</v>
      </c>
    </row>
    <row r="23" spans="1:9" x14ac:dyDescent="0.3">
      <c r="A23" s="16" t="s">
        <v>1368</v>
      </c>
      <c r="B23" s="16" t="s">
        <v>148</v>
      </c>
      <c r="C23" s="43"/>
      <c r="D23" s="16"/>
      <c r="E23" s="16">
        <v>4</v>
      </c>
      <c r="F23" s="16">
        <v>4</v>
      </c>
      <c r="G23" s="16">
        <v>4</v>
      </c>
      <c r="H23" s="16">
        <v>4</v>
      </c>
      <c r="I23" s="16">
        <v>4</v>
      </c>
    </row>
    <row r="24" spans="1:9" ht="15" x14ac:dyDescent="0.25">
      <c r="A24" s="8" t="s">
        <v>1646</v>
      </c>
      <c r="C24" s="39"/>
    </row>
    <row r="25" spans="1:9" ht="15" x14ac:dyDescent="0.25">
      <c r="A25" s="14" t="s">
        <v>1658</v>
      </c>
      <c r="B25" s="15">
        <v>0.5</v>
      </c>
      <c r="C25" s="14" t="s">
        <v>2003</v>
      </c>
    </row>
    <row r="26" spans="1:9" ht="15" x14ac:dyDescent="0.25">
      <c r="A26" s="14" t="s">
        <v>1997</v>
      </c>
      <c r="B26" s="15">
        <v>0.25</v>
      </c>
      <c r="C26" s="14" t="s">
        <v>2001</v>
      </c>
    </row>
    <row r="27" spans="1:9" ht="15" x14ac:dyDescent="0.25">
      <c r="A27" s="14" t="s">
        <v>1643</v>
      </c>
      <c r="B27" s="55">
        <v>0</v>
      </c>
      <c r="C27" s="14"/>
    </row>
    <row r="28" spans="1:9" ht="15" x14ac:dyDescent="0.25">
      <c r="A28" s="14"/>
      <c r="B28" s="55"/>
      <c r="C28" s="14"/>
    </row>
    <row r="29" spans="1:9" ht="15" x14ac:dyDescent="0.25">
      <c r="A29" s="42" t="s">
        <v>1647</v>
      </c>
      <c r="B29" s="15"/>
      <c r="C29" s="14"/>
    </row>
    <row r="30" spans="1:9" ht="15" x14ac:dyDescent="0.25">
      <c r="A30" s="14" t="s">
        <v>1656</v>
      </c>
      <c r="B30" s="15"/>
      <c r="C30" s="14"/>
    </row>
    <row r="31" spans="1:9" x14ac:dyDescent="0.3">
      <c r="A31" s="14" t="s">
        <v>1651</v>
      </c>
      <c r="B31" s="55"/>
    </row>
    <row r="32" spans="1:9" x14ac:dyDescent="0.3">
      <c r="A32" s="14" t="s">
        <v>1649</v>
      </c>
      <c r="B32" s="55">
        <v>0</v>
      </c>
      <c r="C32" s="14"/>
    </row>
    <row r="33" spans="1:9" x14ac:dyDescent="0.3">
      <c r="A33" s="14" t="s">
        <v>1650</v>
      </c>
      <c r="B33" s="55">
        <v>0</v>
      </c>
      <c r="C33" s="7"/>
    </row>
    <row r="34" spans="1:9" x14ac:dyDescent="0.3">
      <c r="A34" s="14"/>
      <c r="B34" s="14"/>
      <c r="C34" s="14"/>
    </row>
    <row r="35" spans="1:9" x14ac:dyDescent="0.3">
      <c r="A35" s="14"/>
      <c r="B35" s="46" t="s">
        <v>2712</v>
      </c>
      <c r="C35" s="46" t="s">
        <v>2718</v>
      </c>
      <c r="D35" s="30" t="s">
        <v>1655</v>
      </c>
      <c r="E35" s="30" t="str">
        <f>Summary!C4</f>
        <v>2015/16</v>
      </c>
      <c r="F35" s="30" t="str">
        <f>Summary!D4</f>
        <v>2016/17</v>
      </c>
      <c r="G35" s="30" t="str">
        <f>Summary!E4</f>
        <v>2017/18</v>
      </c>
      <c r="H35" s="30" t="str">
        <f>Summary!F4</f>
        <v>2018/19</v>
      </c>
      <c r="I35" s="30" t="str">
        <f>Summary!G4</f>
        <v>2019/20</v>
      </c>
    </row>
    <row r="36" spans="1:9" x14ac:dyDescent="0.3">
      <c r="A36" s="14" t="s">
        <v>1648</v>
      </c>
      <c r="B36" s="40">
        <f>B25*HourlyRateAPAMaintenanceStaff+B26*HourlyRateAPAOMSupervisor</f>
        <v>81.850500000000011</v>
      </c>
      <c r="C36" s="40">
        <f>B36*$C$15</f>
        <v>163.70100000000002</v>
      </c>
      <c r="D36" s="33">
        <f>C36*SUMPRODUCT(LabourAdjustmentFactor,E$23:I$23)</f>
        <v>3527.9115607789454</v>
      </c>
      <c r="E36" s="33">
        <f>$C36*E$23*'Modelling Assumptions'!E$101</f>
        <v>671.17410000000007</v>
      </c>
      <c r="F36" s="33">
        <f>$C36*F$23*'Modelling Assumptions'!F$101</f>
        <v>687.95345250000003</v>
      </c>
      <c r="G36" s="33">
        <f>$C36*G$23*'Modelling Assumptions'!G$101</f>
        <v>705.15228881250005</v>
      </c>
      <c r="H36" s="33">
        <f>$C36*H$23*'Modelling Assumptions'!H$101</f>
        <v>722.78109603281246</v>
      </c>
      <c r="I36" s="33">
        <f>$C36*I$23*'Modelling Assumptions'!I$101</f>
        <v>740.85062343363268</v>
      </c>
    </row>
    <row r="37" spans="1:9" x14ac:dyDescent="0.3">
      <c r="A37" s="14" t="s">
        <v>1643</v>
      </c>
      <c r="B37" s="40">
        <f>B27</f>
        <v>0</v>
      </c>
      <c r="C37" s="40">
        <f>B37*$C$15</f>
        <v>0</v>
      </c>
      <c r="D37" s="33">
        <f>C37*SUMPRODUCT(MaterialsAdjustmentFactor,E$23:I$23)</f>
        <v>0</v>
      </c>
      <c r="E37" s="33">
        <f>$C37*E$23*'Modelling Assumptions'!E$102</f>
        <v>0</v>
      </c>
      <c r="F37" s="33">
        <f>$C37*F$23*'Modelling Assumptions'!F$102</f>
        <v>0</v>
      </c>
      <c r="G37" s="33">
        <f>$C37*G$23*'Modelling Assumptions'!G$102</f>
        <v>0</v>
      </c>
      <c r="H37" s="33">
        <f>$C37*H$23*'Modelling Assumptions'!H$102</f>
        <v>0</v>
      </c>
      <c r="I37" s="33">
        <f>$C37*I$23*'Modelling Assumptions'!I$102</f>
        <v>0</v>
      </c>
    </row>
    <row r="38" spans="1:9" x14ac:dyDescent="0.3">
      <c r="A38" s="14" t="s">
        <v>1649</v>
      </c>
      <c r="B38" s="40">
        <f>B32</f>
        <v>0</v>
      </c>
      <c r="C38" s="40">
        <f>B38*$C$15</f>
        <v>0</v>
      </c>
      <c r="D38" s="33">
        <f>C38*SUMPRODUCT(LabourAdjustmentFactor,E$23:I$23)</f>
        <v>0</v>
      </c>
      <c r="E38" s="33">
        <f>$C38*E$23*'Modelling Assumptions'!E$101</f>
        <v>0</v>
      </c>
      <c r="F38" s="33">
        <f>$C38*F$23*'Modelling Assumptions'!F$101</f>
        <v>0</v>
      </c>
      <c r="G38" s="33">
        <f>$C38*G$23*'Modelling Assumptions'!G$101</f>
        <v>0</v>
      </c>
      <c r="H38" s="33">
        <f>$C38*H$23*'Modelling Assumptions'!H$101</f>
        <v>0</v>
      </c>
      <c r="I38" s="33">
        <f>$C38*I$23*'Modelling Assumptions'!I$101</f>
        <v>0</v>
      </c>
    </row>
    <row r="39" spans="1:9" x14ac:dyDescent="0.3">
      <c r="A39" s="14" t="s">
        <v>1650</v>
      </c>
      <c r="B39" s="40">
        <f>B33</f>
        <v>0</v>
      </c>
      <c r="C39" s="40">
        <f>B39*$C$15</f>
        <v>0</v>
      </c>
      <c r="D39" s="33">
        <f>C39*SUMPRODUCT(MaterialsAdjustmentFactor,E$23:I$23)</f>
        <v>0</v>
      </c>
      <c r="E39" s="33">
        <f>$C39*E$23*'Modelling Assumptions'!E$102</f>
        <v>0</v>
      </c>
      <c r="F39" s="33">
        <f>$C39*F$23*'Modelling Assumptions'!F$102</f>
        <v>0</v>
      </c>
      <c r="G39" s="33">
        <f>$C39*G$23*'Modelling Assumptions'!G$102</f>
        <v>0</v>
      </c>
      <c r="H39" s="33">
        <f>$C39*H$23*'Modelling Assumptions'!H$102</f>
        <v>0</v>
      </c>
      <c r="I39" s="33">
        <f>$C39*I$23*'Modelling Assumptions'!I$102</f>
        <v>0</v>
      </c>
    </row>
    <row r="40" spans="1:9" x14ac:dyDescent="0.3">
      <c r="A40" s="14"/>
      <c r="B40" s="14"/>
      <c r="C40" s="14"/>
    </row>
    <row r="41" spans="1:9" x14ac:dyDescent="0.3">
      <c r="A41" s="14"/>
      <c r="B41" s="14"/>
      <c r="C41" s="14"/>
    </row>
    <row r="42" spans="1:9" x14ac:dyDescent="0.3">
      <c r="A42" s="14"/>
      <c r="B42" s="14"/>
      <c r="C42" s="14"/>
    </row>
    <row r="43" spans="1:9" x14ac:dyDescent="0.3">
      <c r="A43" s="10" t="s">
        <v>1641</v>
      </c>
      <c r="B43" s="44"/>
      <c r="C43" s="44"/>
      <c r="D43" s="10"/>
      <c r="E43" s="10"/>
      <c r="F43" s="10"/>
      <c r="G43" s="10"/>
      <c r="H43" s="10"/>
      <c r="I43" s="10"/>
    </row>
    <row r="44" spans="1:9" x14ac:dyDescent="0.3">
      <c r="A44" t="s">
        <v>3</v>
      </c>
      <c r="B44" t="s">
        <v>2</v>
      </c>
      <c r="C44" t="s">
        <v>1</v>
      </c>
    </row>
    <row r="45" spans="1:9" x14ac:dyDescent="0.3">
      <c r="A45" t="s">
        <v>1368</v>
      </c>
      <c r="B45" t="s">
        <v>148</v>
      </c>
    </row>
    <row r="46" spans="1:9" x14ac:dyDescent="0.3">
      <c r="A46" t="s">
        <v>147</v>
      </c>
      <c r="B46" t="s">
        <v>146</v>
      </c>
      <c r="C46" t="s">
        <v>145</v>
      </c>
      <c r="D46" t="s">
        <v>144</v>
      </c>
    </row>
    <row r="47" spans="1:9" x14ac:dyDescent="0.3">
      <c r="A47" t="s">
        <v>147</v>
      </c>
      <c r="B47" t="s">
        <v>146</v>
      </c>
      <c r="C47" t="s">
        <v>385</v>
      </c>
      <c r="D47" t="s">
        <v>384</v>
      </c>
    </row>
    <row r="53" spans="1:5" x14ac:dyDescent="0.3">
      <c r="A53" t="s">
        <v>1098</v>
      </c>
      <c r="B53" t="s">
        <v>513</v>
      </c>
    </row>
    <row r="54" spans="1:5" x14ac:dyDescent="0.3">
      <c r="A54" t="s">
        <v>1369</v>
      </c>
      <c r="B54" t="s">
        <v>1100</v>
      </c>
      <c r="C54" t="s">
        <v>1101</v>
      </c>
      <c r="D54" s="29">
        <v>41617.435416666667</v>
      </c>
      <c r="E54" t="s">
        <v>1370</v>
      </c>
    </row>
    <row r="55" spans="1:5" x14ac:dyDescent="0.3">
      <c r="A55" t="s">
        <v>1371</v>
      </c>
      <c r="B55" t="s">
        <v>1100</v>
      </c>
      <c r="C55" t="s">
        <v>1101</v>
      </c>
      <c r="D55" s="29">
        <v>41535.57708333333</v>
      </c>
      <c r="E55" t="s">
        <v>1372</v>
      </c>
    </row>
    <row r="56" spans="1:5" x14ac:dyDescent="0.3">
      <c r="A56" t="s">
        <v>1373</v>
      </c>
      <c r="B56" t="s">
        <v>1114</v>
      </c>
      <c r="C56" t="s">
        <v>1101</v>
      </c>
      <c r="D56" s="29">
        <v>41452.338194444441</v>
      </c>
    </row>
    <row r="57" spans="1:5" x14ac:dyDescent="0.3">
      <c r="A57" t="s">
        <v>1374</v>
      </c>
      <c r="B57" t="s">
        <v>1100</v>
      </c>
      <c r="C57" t="s">
        <v>1101</v>
      </c>
      <c r="D57" s="29">
        <v>41617.435416666667</v>
      </c>
      <c r="E57" t="s">
        <v>1370</v>
      </c>
    </row>
    <row r="58" spans="1:5" x14ac:dyDescent="0.3">
      <c r="A58" t="s">
        <v>1375</v>
      </c>
      <c r="B58" t="s">
        <v>1100</v>
      </c>
      <c r="C58" t="s">
        <v>1101</v>
      </c>
      <c r="D58" s="29">
        <v>41565.489583333336</v>
      </c>
      <c r="E58" t="s">
        <v>1286</v>
      </c>
    </row>
    <row r="59" spans="1:5" x14ac:dyDescent="0.3">
      <c r="A59" t="s">
        <v>1376</v>
      </c>
      <c r="B59" t="s">
        <v>1114</v>
      </c>
      <c r="C59" t="s">
        <v>1101</v>
      </c>
      <c r="D59" s="29">
        <v>41452.338194444441</v>
      </c>
    </row>
  </sheetData>
  <hyperlinks>
    <hyperlink ref="A2" location="INDEX!A8" display="Return to Index"/>
  </hyperlinks>
  <pageMargins left="0.7" right="0.7" top="0.75" bottom="0.75" header="0.3" footer="0.3"/>
  <pageSetup paperSize="9" fitToHeight="100" orientation="landscape" r:id="rId1"/>
  <headerFooter>
    <oddHeader>&amp;C&amp;A</oddHeader>
    <oddFooter>&amp;L&amp;F&amp;C&amp;P of &amp;N&amp;R&amp;D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81</vt:i4>
      </vt:variant>
      <vt:variant>
        <vt:lpstr>Charts</vt:lpstr>
      </vt:variant>
      <vt:variant>
        <vt:i4>1</vt:i4>
      </vt:variant>
      <vt:variant>
        <vt:lpstr>Named Ranges</vt:lpstr>
      </vt:variant>
      <vt:variant>
        <vt:i4>24</vt:i4>
      </vt:variant>
    </vt:vector>
  </HeadingPairs>
  <TitlesOfParts>
    <vt:vector size="106" baseType="lpstr">
      <vt:lpstr>INDEX</vt:lpstr>
      <vt:lpstr>Read Me</vt:lpstr>
      <vt:lpstr>Summary</vt:lpstr>
      <vt:lpstr>Asset Mgt Team</vt:lpstr>
      <vt:lpstr>Summary of PMs</vt:lpstr>
      <vt:lpstr>Modelling Assumptions</vt:lpstr>
      <vt:lpstr>0000 (1)</vt:lpstr>
      <vt:lpstr>0000 (2)</vt:lpstr>
      <vt:lpstr>0001</vt:lpstr>
      <vt:lpstr>0003</vt:lpstr>
      <vt:lpstr>0004</vt:lpstr>
      <vt:lpstr>0005</vt:lpstr>
      <vt:lpstr>0006</vt:lpstr>
      <vt:lpstr>0010 (1)</vt:lpstr>
      <vt:lpstr>0010 (2)</vt:lpstr>
      <vt:lpstr>0011</vt:lpstr>
      <vt:lpstr>0013</vt:lpstr>
      <vt:lpstr>0014</vt:lpstr>
      <vt:lpstr>0016</vt:lpstr>
      <vt:lpstr>0017</vt:lpstr>
      <vt:lpstr>0019</vt:lpstr>
      <vt:lpstr>0022</vt:lpstr>
      <vt:lpstr>0024</vt:lpstr>
      <vt:lpstr>0026</vt:lpstr>
      <vt:lpstr>0028</vt:lpstr>
      <vt:lpstr>0038 (1)</vt:lpstr>
      <vt:lpstr>0038 (2)</vt:lpstr>
      <vt:lpstr>0042</vt:lpstr>
      <vt:lpstr>0050 (1)</vt:lpstr>
      <vt:lpstr>0050 (2)</vt:lpstr>
      <vt:lpstr>0052</vt:lpstr>
      <vt:lpstr>0054</vt:lpstr>
      <vt:lpstr>0056</vt:lpstr>
      <vt:lpstr>0060</vt:lpstr>
      <vt:lpstr>0062</vt:lpstr>
      <vt:lpstr>0104 (1)</vt:lpstr>
      <vt:lpstr>0104 (2)</vt:lpstr>
      <vt:lpstr>0104 (3)</vt:lpstr>
      <vt:lpstr>0104 (4)</vt:lpstr>
      <vt:lpstr>0110</vt:lpstr>
      <vt:lpstr>0120</vt:lpstr>
      <vt:lpstr>0124</vt:lpstr>
      <vt:lpstr>0126</vt:lpstr>
      <vt:lpstr>0128</vt:lpstr>
      <vt:lpstr>0140</vt:lpstr>
      <vt:lpstr>0142</vt:lpstr>
      <vt:lpstr>0150</vt:lpstr>
      <vt:lpstr>0160 (1)</vt:lpstr>
      <vt:lpstr>0160 (2)</vt:lpstr>
      <vt:lpstr>0180</vt:lpstr>
      <vt:lpstr>Prestart Inspection</vt:lpstr>
      <vt:lpstr>Cable Repairs</vt:lpstr>
      <vt:lpstr>IGBT Repairs</vt:lpstr>
      <vt:lpstr>Control System Repairs</vt:lpstr>
      <vt:lpstr>Building ac</vt:lpstr>
      <vt:lpstr>Electricity Costs</vt:lpstr>
      <vt:lpstr>Control Room Costs</vt:lpstr>
      <vt:lpstr>Remote Comms</vt:lpstr>
      <vt:lpstr>DBYD</vt:lpstr>
      <vt:lpstr>Site Security</vt:lpstr>
      <vt:lpstr>Training Courses</vt:lpstr>
      <vt:lpstr>Onsite Test Equipment</vt:lpstr>
      <vt:lpstr>Incidental Investigations</vt:lpstr>
      <vt:lpstr>Travel</vt:lpstr>
      <vt:lpstr>Other Items</vt:lpstr>
      <vt:lpstr>Operations Manager</vt:lpstr>
      <vt:lpstr>Senior Reliability Engineer</vt:lpstr>
      <vt:lpstr>Reliability Engineer</vt:lpstr>
      <vt:lpstr>Works Planner</vt:lpstr>
      <vt:lpstr>Work Practices Specialist</vt:lpstr>
      <vt:lpstr>Blank</vt:lpstr>
      <vt:lpstr>DL PMs</vt:lpstr>
      <vt:lpstr>OnSite Contractors</vt:lpstr>
      <vt:lpstr>DL OPEX Budget</vt:lpstr>
      <vt:lpstr>Schematics</vt:lpstr>
      <vt:lpstr>Components in Schematic</vt:lpstr>
      <vt:lpstr>Grouped Components</vt:lpstr>
      <vt:lpstr>ABB Maintenance</vt:lpstr>
      <vt:lpstr>Byron Bay Trees</vt:lpstr>
      <vt:lpstr>Electricity Invoices</vt:lpstr>
      <vt:lpstr>Maintenance Documents</vt:lpstr>
      <vt:lpstr>Chart Summary</vt:lpstr>
      <vt:lpstr>APASupervisorHours</vt:lpstr>
      <vt:lpstr>APATechnicianHours</vt:lpstr>
      <vt:lpstr>CapitaliseThisItem</vt:lpstr>
      <vt:lpstr>CostOfCablePerMetre</vt:lpstr>
      <vt:lpstr>CostPerCableJoint</vt:lpstr>
      <vt:lpstr>CostPerIGBT</vt:lpstr>
      <vt:lpstr>ElectricalContractorHourlyRate</vt:lpstr>
      <vt:lpstr>FullTimeHoursPerYear</vt:lpstr>
      <vt:lpstr>HCCPercentage</vt:lpstr>
      <vt:lpstr>HourlyRateAPAMaintenanceStaff</vt:lpstr>
      <vt:lpstr>HourlyRateAPAOMSupervisor</vt:lpstr>
      <vt:lpstr>HourlyRateAPAOperationsManager</vt:lpstr>
      <vt:lpstr>HourlyRateAPAReliabilityEng</vt:lpstr>
      <vt:lpstr>HourlyRateAPAWorkPracticesSpecialist</vt:lpstr>
      <vt:lpstr>HourlyRateAPAWorksPlanner</vt:lpstr>
      <vt:lpstr>HourlyRateSeniorReliabilityEng</vt:lpstr>
      <vt:lpstr>InflationContractorLabour</vt:lpstr>
      <vt:lpstr>InflationContractorMaterial</vt:lpstr>
      <vt:lpstr>LabourAdjustmentFactor</vt:lpstr>
      <vt:lpstr>MaterialsAdjustmentFactor</vt:lpstr>
      <vt:lpstr>MOMCSA_Multiplier</vt:lpstr>
      <vt:lpstr>TotalOPEXInAERPeriod</vt:lpstr>
      <vt:lpstr>VegetationManagement</vt:lpstr>
      <vt:lpstr>VegetationManagementYardPercentage</vt:lpstr>
    </vt:vector>
  </TitlesOfParts>
  <Company>Phacelift Consulting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Directlink O&amp;M 2015/16 to 2019/20</dc:title>
  <dc:creator>martin.gill@phacelift.com.au</dc:creator>
  <cp:lastModifiedBy>Peter</cp:lastModifiedBy>
  <cp:lastPrinted>2014-05-19T05:01:22Z</cp:lastPrinted>
  <dcterms:created xsi:type="dcterms:W3CDTF">2013-12-11T05:15:53Z</dcterms:created>
  <dcterms:modified xsi:type="dcterms:W3CDTF">2014-05-23T03:42:31Z</dcterms:modified>
</cp:coreProperties>
</file>