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24226"/>
  <mc:AlternateContent xmlns:mc="http://schemas.openxmlformats.org/markup-compatibility/2006">
    <mc:Choice Requires="x15">
      <x15ac:absPath xmlns:x15ac="http://schemas.microsoft.com/office/spreadsheetml/2010/11/ac" url="/Volumes/Mike2019/MC_CLIENTS/2021/ACCC Electricity Benchmarking/Stata/"/>
    </mc:Choice>
  </mc:AlternateContent>
  <xr:revisionPtr revIDLastSave="0" documentId="13_ncr:1_{4D1C39DD-139C-BE48-9EFA-CB972078E20D}" xr6:coauthVersionLast="36" xr6:coauthVersionMax="47" xr10:uidLastSave="{00000000-0000-0000-0000-000000000000}"/>
  <bookViews>
    <workbookView xWindow="0" yWindow="500" windowWidth="23420" windowHeight="24960" tabRatio="570" activeTab="2" xr2:uid="{00000000-000D-0000-FFFF-FFFF00000000}"/>
  </bookViews>
  <sheets>
    <sheet name="NOTES" sheetId="13" r:id="rId1"/>
    <sheet name="DNSPNZSourceData" sheetId="1" r:id="rId2"/>
    <sheet name="DNSP NZ Med 2019ABR" sheetId="28" r:id="rId3"/>
    <sheet name="DNSPOntSourceData" sheetId="18" r:id="rId4"/>
    <sheet name="DNSP Ont Med 2019ABR" sheetId="25" r:id="rId5"/>
    <sheet name="NZ MaxDemand Calcs" sheetId="15" r:id="rId6"/>
    <sheet name="NZ LCI" sheetId="16" r:id="rId7"/>
    <sheet name="NZ PPI &amp; Opex Price" sheetId="17" r:id="rId8"/>
    <sheet name="Ont Opex Price" sheetId="20"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s>
  <definedNames>
    <definedName name="_xlnm._FilterDatabase" localSheetId="2" hidden="1">'DNSP NZ Med 2019ABR'!#REF!</definedName>
    <definedName name="_xlnm._FilterDatabase" localSheetId="4" hidden="1">'DNSP Ont Med 2019ABR'!#REF!</definedName>
    <definedName name="_xlnm._FilterDatabase" localSheetId="1" hidden="1">DNSPNZSourceData!$A$2:$AE$285</definedName>
    <definedName name="_xlnm._FilterDatabase" localSheetId="3" hidden="1">DNSPOntSourceData!$A$2:$AC$1125</definedName>
    <definedName name="_xlnm._FilterDatabase" localSheetId="5" hidden="1">'NZ MaxDemand Calcs'!$A$3:$U$277</definedName>
  </definedNames>
  <calcPr calcId="181029"/>
</workbook>
</file>

<file path=xl/calcChain.xml><?xml version="1.0" encoding="utf-8"?>
<calcChain xmlns="http://schemas.openxmlformats.org/spreadsheetml/2006/main">
  <c r="J121" i="25" l="1"/>
  <c r="J122" i="25"/>
  <c r="J123" i="25"/>
  <c r="J124" i="25"/>
  <c r="J110" i="25"/>
  <c r="J111" i="25"/>
  <c r="J112" i="25"/>
  <c r="J113" i="25"/>
  <c r="J114" i="25"/>
  <c r="J115" i="25"/>
  <c r="J116" i="25"/>
  <c r="J117" i="25"/>
  <c r="J118" i="25"/>
  <c r="J119" i="25"/>
  <c r="I124" i="25"/>
  <c r="I123" i="25"/>
  <c r="I122" i="25"/>
  <c r="I121" i="25"/>
  <c r="I120" i="25" s="1"/>
  <c r="I111" i="25"/>
  <c r="I112" i="25"/>
  <c r="I113" i="25"/>
  <c r="I114" i="25"/>
  <c r="I115" i="25"/>
  <c r="I116" i="25"/>
  <c r="I117" i="25"/>
  <c r="I118" i="25"/>
  <c r="I119" i="25"/>
  <c r="I110" i="25"/>
  <c r="F111" i="25"/>
  <c r="F112" i="25"/>
  <c r="F113" i="25"/>
  <c r="F114" i="25"/>
  <c r="F115" i="25"/>
  <c r="F116" i="25"/>
  <c r="F117" i="25"/>
  <c r="F118" i="25"/>
  <c r="F119" i="25"/>
  <c r="F120" i="25"/>
  <c r="F121" i="25"/>
  <c r="F122" i="25"/>
  <c r="F123" i="25"/>
  <c r="F124" i="25"/>
  <c r="F110" i="25"/>
  <c r="J271" i="18" l="1"/>
  <c r="J270" i="18"/>
  <c r="K271" i="18"/>
  <c r="K270" i="18"/>
  <c r="E518" i="25"/>
  <c r="E519" i="25"/>
  <c r="E520" i="25"/>
  <c r="E521" i="25"/>
  <c r="E522" i="25"/>
  <c r="E523" i="25"/>
  <c r="E524" i="25"/>
  <c r="E525" i="25"/>
  <c r="E526" i="25"/>
  <c r="E527" i="25"/>
  <c r="E528" i="25"/>
  <c r="E529" i="25"/>
  <c r="E530" i="25"/>
  <c r="E531" i="25"/>
  <c r="E517" i="25"/>
  <c r="E228" i="25"/>
  <c r="E229" i="25"/>
  <c r="F1127" i="18"/>
  <c r="F1112" i="18"/>
  <c r="F1097" i="18"/>
  <c r="F1082" i="18"/>
  <c r="F1067" i="18"/>
  <c r="F1052" i="18"/>
  <c r="F1037" i="18"/>
  <c r="F1022" i="18"/>
  <c r="F1007" i="18"/>
  <c r="F992" i="18"/>
  <c r="F977" i="18"/>
  <c r="F962" i="18"/>
  <c r="F947" i="18"/>
  <c r="F932" i="18"/>
  <c r="F917" i="18"/>
  <c r="F902" i="18"/>
  <c r="F887" i="18"/>
  <c r="F872" i="18"/>
  <c r="F857" i="18"/>
  <c r="F841" i="18"/>
  <c r="F842" i="18"/>
  <c r="F826" i="18"/>
  <c r="F827" i="18"/>
  <c r="F812" i="18"/>
  <c r="F797" i="18"/>
  <c r="F782" i="18"/>
  <c r="F767" i="18"/>
  <c r="F752" i="18"/>
  <c r="F737" i="18"/>
  <c r="F722" i="18"/>
  <c r="F707" i="18"/>
  <c r="F692" i="18"/>
  <c r="F677" i="18"/>
  <c r="F662" i="18"/>
  <c r="F647" i="18"/>
  <c r="F632" i="18"/>
  <c r="F617" i="18"/>
  <c r="F602" i="18"/>
  <c r="F587" i="18"/>
  <c r="F572" i="18"/>
  <c r="F557" i="18"/>
  <c r="F542" i="18"/>
  <c r="F527" i="18"/>
  <c r="F512" i="18"/>
  <c r="F497" i="18"/>
  <c r="F482" i="18"/>
  <c r="F467" i="18"/>
  <c r="F452" i="18"/>
  <c r="F437" i="18"/>
  <c r="F422" i="18"/>
  <c r="F407" i="18"/>
  <c r="F392" i="18"/>
  <c r="F377" i="18"/>
  <c r="F362" i="18"/>
  <c r="F347" i="18"/>
  <c r="F332" i="18"/>
  <c r="F317" i="18"/>
  <c r="F302" i="18"/>
  <c r="F287" i="18"/>
  <c r="F272" i="18"/>
  <c r="F257" i="18"/>
  <c r="F242" i="18"/>
  <c r="F227" i="18"/>
  <c r="F212" i="18"/>
  <c r="F197" i="18"/>
  <c r="F182" i="18"/>
  <c r="F167" i="18"/>
  <c r="F152" i="18"/>
  <c r="F137" i="18"/>
  <c r="F122" i="18"/>
  <c r="F107" i="18"/>
  <c r="F92" i="18"/>
  <c r="F77" i="18"/>
  <c r="F62" i="18"/>
  <c r="F47" i="18"/>
  <c r="F17" i="18"/>
  <c r="F32" i="18"/>
  <c r="W28" i="20"/>
  <c r="U28" i="20"/>
  <c r="J28" i="20" s="1"/>
  <c r="O29" i="20"/>
  <c r="F28" i="20"/>
  <c r="G28" i="20"/>
  <c r="P28" i="20" s="1"/>
  <c r="Q28" i="20" s="1"/>
  <c r="S28" i="20" s="1"/>
  <c r="B28" i="20"/>
  <c r="C28" i="20"/>
  <c r="O28" i="20" s="1"/>
  <c r="A28" i="20"/>
  <c r="K111" i="25" l="1"/>
  <c r="K112" i="25"/>
  <c r="K113" i="25"/>
  <c r="K114" i="25"/>
  <c r="K115" i="25"/>
  <c r="K117" i="25"/>
  <c r="K118" i="25"/>
  <c r="K121" i="25"/>
  <c r="K122" i="25"/>
  <c r="K123" i="25"/>
  <c r="H111" i="25"/>
  <c r="H112" i="25"/>
  <c r="H113" i="25"/>
  <c r="H114" i="25"/>
  <c r="H115" i="25"/>
  <c r="H116" i="25"/>
  <c r="H117" i="25"/>
  <c r="H118" i="25"/>
  <c r="H119" i="25"/>
  <c r="H120" i="25"/>
  <c r="H121" i="25"/>
  <c r="H122" i="25"/>
  <c r="H123" i="25"/>
  <c r="H125" i="25"/>
  <c r="H110" i="25"/>
  <c r="D111" i="25"/>
  <c r="D112" i="25"/>
  <c r="D113" i="25"/>
  <c r="D114" i="25"/>
  <c r="D115" i="25"/>
  <c r="D116" i="25"/>
  <c r="D117" i="25"/>
  <c r="D118" i="25"/>
  <c r="D119" i="25"/>
  <c r="D120" i="25"/>
  <c r="D121" i="25"/>
  <c r="D122" i="25"/>
  <c r="D123" i="25"/>
  <c r="D110" i="25"/>
  <c r="I518" i="25"/>
  <c r="J518" i="25"/>
  <c r="I519" i="25"/>
  <c r="J519" i="25"/>
  <c r="K519" i="25" s="1"/>
  <c r="I520" i="25"/>
  <c r="J520" i="25"/>
  <c r="I521" i="25"/>
  <c r="J521" i="25"/>
  <c r="I522" i="25"/>
  <c r="J522" i="25"/>
  <c r="I523" i="25"/>
  <c r="J523" i="25"/>
  <c r="I524" i="25"/>
  <c r="J524" i="25"/>
  <c r="I525" i="25"/>
  <c r="J525" i="25"/>
  <c r="I526" i="25"/>
  <c r="J526" i="25"/>
  <c r="I527" i="25"/>
  <c r="J527" i="25"/>
  <c r="I528" i="25"/>
  <c r="J528" i="25"/>
  <c r="I529" i="25"/>
  <c r="J529" i="25"/>
  <c r="I530" i="25"/>
  <c r="J530" i="25"/>
  <c r="J517" i="25"/>
  <c r="I517" i="25"/>
  <c r="H518" i="25"/>
  <c r="H519" i="25"/>
  <c r="H520" i="25"/>
  <c r="H521" i="25"/>
  <c r="H522" i="25"/>
  <c r="H523" i="25"/>
  <c r="H524" i="25"/>
  <c r="H525" i="25"/>
  <c r="H526" i="25"/>
  <c r="H527" i="25"/>
  <c r="H528" i="25"/>
  <c r="H529" i="25"/>
  <c r="H530" i="25"/>
  <c r="H517" i="25"/>
  <c r="F518" i="25"/>
  <c r="F519" i="25"/>
  <c r="F520" i="25"/>
  <c r="F521" i="25"/>
  <c r="F522" i="25"/>
  <c r="F523" i="25"/>
  <c r="F524" i="25"/>
  <c r="F525" i="25"/>
  <c r="F526" i="25"/>
  <c r="F527" i="25"/>
  <c r="F528" i="25"/>
  <c r="F529" i="25"/>
  <c r="F530" i="25"/>
  <c r="F517" i="25"/>
  <c r="G517" i="25" s="1"/>
  <c r="D518" i="25"/>
  <c r="D519" i="25"/>
  <c r="D520" i="25"/>
  <c r="D521" i="25"/>
  <c r="D522" i="25"/>
  <c r="D523" i="25"/>
  <c r="D524" i="25"/>
  <c r="D525" i="25"/>
  <c r="D526" i="25"/>
  <c r="D527" i="25"/>
  <c r="D528" i="25"/>
  <c r="D529" i="25"/>
  <c r="D530" i="25"/>
  <c r="D517" i="25"/>
  <c r="J260" i="25"/>
  <c r="J261" i="25"/>
  <c r="J262" i="25"/>
  <c r="J263" i="25"/>
  <c r="J264" i="25"/>
  <c r="J265" i="25"/>
  <c r="J266" i="25"/>
  <c r="J267" i="25"/>
  <c r="J268" i="25"/>
  <c r="J269" i="25"/>
  <c r="J270" i="25"/>
  <c r="J271" i="25"/>
  <c r="J272" i="25"/>
  <c r="J259" i="25"/>
  <c r="I260" i="25"/>
  <c r="I261" i="25"/>
  <c r="I262" i="25"/>
  <c r="I263" i="25"/>
  <c r="I264" i="25"/>
  <c r="I265" i="25"/>
  <c r="I266" i="25"/>
  <c r="I267" i="25"/>
  <c r="I268" i="25"/>
  <c r="I269" i="25"/>
  <c r="I270" i="25"/>
  <c r="I271" i="25"/>
  <c r="I272" i="25"/>
  <c r="I259" i="25"/>
  <c r="H260" i="25"/>
  <c r="H261" i="25"/>
  <c r="H262" i="25"/>
  <c r="H263" i="25"/>
  <c r="H264" i="25"/>
  <c r="H265" i="25"/>
  <c r="H266" i="25"/>
  <c r="H267" i="25"/>
  <c r="H268" i="25"/>
  <c r="H269" i="25"/>
  <c r="H270" i="25"/>
  <c r="H271" i="25"/>
  <c r="H272" i="25"/>
  <c r="H259" i="25"/>
  <c r="F260" i="25"/>
  <c r="G260" i="25" s="1"/>
  <c r="F261" i="25"/>
  <c r="F262" i="25"/>
  <c r="F263" i="25"/>
  <c r="F264" i="25"/>
  <c r="F265" i="25"/>
  <c r="F266" i="25"/>
  <c r="F267" i="25"/>
  <c r="F268" i="25"/>
  <c r="F269" i="25"/>
  <c r="F270" i="25"/>
  <c r="F271" i="25"/>
  <c r="F272" i="25"/>
  <c r="F259" i="25"/>
  <c r="G259" i="25" s="1"/>
  <c r="D260" i="25"/>
  <c r="D261" i="25"/>
  <c r="D262" i="25"/>
  <c r="D263" i="25"/>
  <c r="D264" i="25"/>
  <c r="D265" i="25"/>
  <c r="D266" i="25"/>
  <c r="D267" i="25"/>
  <c r="D268" i="25"/>
  <c r="D269" i="25"/>
  <c r="D270" i="25"/>
  <c r="D271" i="25"/>
  <c r="D272" i="25"/>
  <c r="D259" i="25"/>
  <c r="K259" i="25" l="1"/>
  <c r="K527" i="25"/>
  <c r="K264" i="25"/>
  <c r="K530" i="25"/>
  <c r="K263" i="25"/>
  <c r="K529" i="25"/>
  <c r="K525" i="25"/>
  <c r="K521" i="25"/>
  <c r="J120" i="25"/>
  <c r="K120" i="25" s="1"/>
  <c r="K528" i="25"/>
  <c r="K524" i="25"/>
  <c r="K116" i="25"/>
  <c r="K262" i="25"/>
  <c r="K261" i="25"/>
  <c r="K518" i="25"/>
  <c r="K271" i="25"/>
  <c r="K270" i="25"/>
  <c r="K523" i="25"/>
  <c r="K269" i="25"/>
  <c r="K268" i="25"/>
  <c r="K522" i="25"/>
  <c r="K260" i="25"/>
  <c r="K267" i="25"/>
  <c r="K517" i="25"/>
  <c r="K272" i="25"/>
  <c r="K273" i="25" s="1"/>
  <c r="K266" i="25"/>
  <c r="K265" i="25"/>
  <c r="K526" i="25"/>
  <c r="K520" i="25"/>
  <c r="G261" i="25"/>
  <c r="G262" i="25" s="1"/>
  <c r="G263" i="25" s="1"/>
  <c r="G264" i="25" s="1"/>
  <c r="G265" i="25" s="1"/>
  <c r="G266" i="25" s="1"/>
  <c r="G267" i="25" s="1"/>
  <c r="G268" i="25" s="1"/>
  <c r="G269" i="25" s="1"/>
  <c r="G270" i="25" s="1"/>
  <c r="G271" i="25" s="1"/>
  <c r="G272" i="25" s="1"/>
  <c r="G273" i="25" s="1"/>
  <c r="G518" i="25"/>
  <c r="G519" i="25" s="1"/>
  <c r="G520" i="25" s="1"/>
  <c r="G521" i="25" s="1"/>
  <c r="G522" i="25" s="1"/>
  <c r="G523" i="25" s="1"/>
  <c r="G524" i="25" s="1"/>
  <c r="G525" i="25" s="1"/>
  <c r="G526" i="25" s="1"/>
  <c r="G527" i="25" s="1"/>
  <c r="G528" i="25" s="1"/>
  <c r="G529" i="25" s="1"/>
  <c r="G530" i="25" s="1"/>
  <c r="J273" i="25"/>
  <c r="K119" i="25"/>
  <c r="E516" i="25" l="1"/>
  <c r="E513" i="25"/>
  <c r="E498" i="25"/>
  <c r="E483" i="25"/>
  <c r="E468" i="25"/>
  <c r="E453" i="25"/>
  <c r="J453" i="25"/>
  <c r="E438" i="25"/>
  <c r="E423" i="25"/>
  <c r="E408" i="25"/>
  <c r="E393" i="25"/>
  <c r="E378" i="25"/>
  <c r="E363" i="25"/>
  <c r="E348" i="25"/>
  <c r="E333" i="25"/>
  <c r="E318" i="25"/>
  <c r="E303" i="25"/>
  <c r="E288" i="25"/>
  <c r="E273" i="25"/>
  <c r="E258" i="25"/>
  <c r="E214" i="25"/>
  <c r="E199" i="25"/>
  <c r="E184" i="25"/>
  <c r="E169" i="25"/>
  <c r="E154" i="25"/>
  <c r="E139" i="25"/>
  <c r="E124" i="25"/>
  <c r="E97" i="25"/>
  <c r="E58" i="25"/>
  <c r="E31" i="25"/>
  <c r="E16" i="25" s="1"/>
  <c r="K1097" i="18"/>
  <c r="J1097" i="18"/>
  <c r="I1097" i="18"/>
  <c r="H468" i="25" s="1"/>
  <c r="G1097" i="18"/>
  <c r="H1097" i="18" s="1"/>
  <c r="G468" i="25" s="1"/>
  <c r="E1097" i="18"/>
  <c r="D468" i="25" s="1"/>
  <c r="K1067" i="18"/>
  <c r="L1067" i="18" s="1"/>
  <c r="J1067" i="18"/>
  <c r="I1067" i="18"/>
  <c r="G1067" i="18"/>
  <c r="H1067" i="18" s="1"/>
  <c r="E1067" i="18"/>
  <c r="K1052" i="18"/>
  <c r="L1052" i="18" s="1"/>
  <c r="K483" i="25" s="1"/>
  <c r="J1052" i="18"/>
  <c r="I483" i="25" s="1"/>
  <c r="I1052" i="18"/>
  <c r="H483" i="25" s="1"/>
  <c r="G1052" i="18"/>
  <c r="H1052" i="18" s="1"/>
  <c r="G483" i="25" s="1"/>
  <c r="E1052" i="18"/>
  <c r="D483" i="25" s="1"/>
  <c r="K1037" i="18"/>
  <c r="J199" i="25" s="1"/>
  <c r="J1037" i="18"/>
  <c r="I199" i="25" s="1"/>
  <c r="I1037" i="18"/>
  <c r="H199" i="25" s="1"/>
  <c r="G1037" i="18"/>
  <c r="F199" i="25" s="1"/>
  <c r="E1037" i="18"/>
  <c r="D199" i="25" s="1"/>
  <c r="K1022" i="18"/>
  <c r="J1022" i="18"/>
  <c r="L1022" i="18" s="1"/>
  <c r="I1022" i="18"/>
  <c r="G1022" i="18"/>
  <c r="H1022" i="18" s="1"/>
  <c r="E1022" i="18"/>
  <c r="L1007" i="18"/>
  <c r="K1007" i="18"/>
  <c r="J1007" i="18"/>
  <c r="I1007" i="18"/>
  <c r="H124" i="25" s="1"/>
  <c r="H1007" i="18"/>
  <c r="G1007" i="18"/>
  <c r="E1007" i="18"/>
  <c r="D124" i="25" s="1"/>
  <c r="K992" i="18"/>
  <c r="J992" i="18"/>
  <c r="I992" i="18"/>
  <c r="H31" i="25" s="1"/>
  <c r="G992" i="18"/>
  <c r="H992" i="18" s="1"/>
  <c r="G31" i="25" s="1"/>
  <c r="E992" i="18"/>
  <c r="D31" i="25" s="1"/>
  <c r="K977" i="18"/>
  <c r="L977" i="18" s="1"/>
  <c r="J977" i="18"/>
  <c r="I977" i="18"/>
  <c r="G977" i="18"/>
  <c r="H977" i="18" s="1"/>
  <c r="E977" i="18"/>
  <c r="K932" i="18"/>
  <c r="J932" i="18"/>
  <c r="I932" i="18"/>
  <c r="G932" i="18"/>
  <c r="H932" i="18" s="1"/>
  <c r="E932" i="18"/>
  <c r="K917" i="18"/>
  <c r="J917" i="18"/>
  <c r="L917" i="18" s="1"/>
  <c r="I917" i="18"/>
  <c r="H917" i="18"/>
  <c r="G917" i="18"/>
  <c r="E917" i="18"/>
  <c r="K902" i="18"/>
  <c r="J902" i="18"/>
  <c r="I902" i="18"/>
  <c r="G902" i="18"/>
  <c r="H902" i="18" s="1"/>
  <c r="E902" i="18"/>
  <c r="J887" i="18"/>
  <c r="I378" i="25" s="1"/>
  <c r="K887" i="18"/>
  <c r="J378" i="25" s="1"/>
  <c r="I887" i="18"/>
  <c r="H378" i="25" s="1"/>
  <c r="G887" i="18"/>
  <c r="F378" i="25" s="1"/>
  <c r="E887" i="18"/>
  <c r="D378" i="25" s="1"/>
  <c r="K857" i="18"/>
  <c r="J857" i="18"/>
  <c r="I348" i="25" s="1"/>
  <c r="I857" i="18"/>
  <c r="H348" i="25" s="1"/>
  <c r="G857" i="18"/>
  <c r="H857" i="18" s="1"/>
  <c r="G348" i="25" s="1"/>
  <c r="E857" i="18"/>
  <c r="D348" i="25" s="1"/>
  <c r="K827" i="18"/>
  <c r="J827" i="18"/>
  <c r="L827" i="18" s="1"/>
  <c r="I827" i="18"/>
  <c r="H827" i="18"/>
  <c r="G827" i="18"/>
  <c r="E827" i="18"/>
  <c r="K812" i="18"/>
  <c r="J812" i="18"/>
  <c r="I214" i="25" s="1"/>
  <c r="I812" i="18"/>
  <c r="H214" i="25" s="1"/>
  <c r="G812" i="18"/>
  <c r="H812" i="18" s="1"/>
  <c r="G214" i="25" s="1"/>
  <c r="E812" i="18"/>
  <c r="D214" i="25" s="1"/>
  <c r="K797" i="18"/>
  <c r="L797" i="18" s="1"/>
  <c r="J797" i="18"/>
  <c r="I797" i="18"/>
  <c r="G797" i="18"/>
  <c r="H797" i="18" s="1"/>
  <c r="E797" i="18"/>
  <c r="I782" i="18"/>
  <c r="G782" i="18"/>
  <c r="H782" i="18" s="1"/>
  <c r="K782" i="18"/>
  <c r="L782" i="18" s="1"/>
  <c r="J782" i="18"/>
  <c r="E782" i="18"/>
  <c r="K767" i="18"/>
  <c r="L767" i="18" s="1"/>
  <c r="K184" i="25" s="1"/>
  <c r="J767" i="18"/>
  <c r="I184" i="25" s="1"/>
  <c r="I767" i="18"/>
  <c r="H184" i="25" s="1"/>
  <c r="G767" i="18"/>
  <c r="F184" i="25" s="1"/>
  <c r="E767" i="18"/>
  <c r="D184" i="25" s="1"/>
  <c r="K752" i="18"/>
  <c r="L752" i="18" s="1"/>
  <c r="J752" i="18"/>
  <c r="I752" i="18"/>
  <c r="G752" i="18"/>
  <c r="H752" i="18" s="1"/>
  <c r="E752" i="18"/>
  <c r="K737" i="18"/>
  <c r="J737" i="18"/>
  <c r="I453" i="25" s="1"/>
  <c r="I737" i="18"/>
  <c r="H453" i="25" s="1"/>
  <c r="G737" i="18"/>
  <c r="H737" i="18" s="1"/>
  <c r="G453" i="25" s="1"/>
  <c r="E737" i="18"/>
  <c r="D453" i="25" s="1"/>
  <c r="K707" i="18"/>
  <c r="L707" i="18" s="1"/>
  <c r="J707" i="18"/>
  <c r="I707" i="18"/>
  <c r="G707" i="18"/>
  <c r="H707" i="18" s="1"/>
  <c r="E707" i="18"/>
  <c r="J692" i="18"/>
  <c r="K692" i="18"/>
  <c r="J258" i="25" s="1"/>
  <c r="I692" i="18"/>
  <c r="H258" i="25" s="1"/>
  <c r="G692" i="18"/>
  <c r="F258" i="25" s="1"/>
  <c r="E692" i="18"/>
  <c r="D258" i="25" s="1"/>
  <c r="K677" i="18"/>
  <c r="L677" i="18" s="1"/>
  <c r="J677" i="18"/>
  <c r="I363" i="25" s="1"/>
  <c r="I677" i="18"/>
  <c r="H363" i="25" s="1"/>
  <c r="H676" i="18"/>
  <c r="G677" i="18"/>
  <c r="F363" i="25" s="1"/>
  <c r="E677" i="18"/>
  <c r="D363" i="25" s="1"/>
  <c r="K662" i="18"/>
  <c r="L662" i="18" s="1"/>
  <c r="J662" i="18"/>
  <c r="I662" i="18"/>
  <c r="H393" i="25" s="1"/>
  <c r="G662" i="18"/>
  <c r="H662" i="18" s="1"/>
  <c r="G393" i="25" s="1"/>
  <c r="E662" i="18"/>
  <c r="D393" i="25" s="1"/>
  <c r="K632" i="18"/>
  <c r="J97" i="25" s="1"/>
  <c r="J632" i="18"/>
  <c r="I97" i="25" s="1"/>
  <c r="I632" i="18"/>
  <c r="H97" i="25" s="1"/>
  <c r="G632" i="18"/>
  <c r="F97" i="25" s="1"/>
  <c r="E632" i="18"/>
  <c r="D97" i="25" s="1"/>
  <c r="K617" i="18"/>
  <c r="J617" i="18"/>
  <c r="L617" i="18" s="1"/>
  <c r="I617" i="18"/>
  <c r="H617" i="18"/>
  <c r="G617" i="18"/>
  <c r="E617" i="18"/>
  <c r="K602" i="18"/>
  <c r="J602" i="18"/>
  <c r="I602" i="18"/>
  <c r="G602" i="18"/>
  <c r="H602" i="18" s="1"/>
  <c r="E602" i="18"/>
  <c r="K587" i="18"/>
  <c r="J139" i="25" s="1"/>
  <c r="J587" i="18"/>
  <c r="I139" i="25" s="1"/>
  <c r="I587" i="18"/>
  <c r="H139" i="25" s="1"/>
  <c r="G587" i="18"/>
  <c r="F139" i="25" s="1"/>
  <c r="E587" i="18"/>
  <c r="D139" i="25" s="1"/>
  <c r="K572" i="18"/>
  <c r="J572" i="18"/>
  <c r="I438" i="25" s="1"/>
  <c r="I572" i="18"/>
  <c r="H438" i="25" s="1"/>
  <c r="G572" i="18"/>
  <c r="H572" i="18" s="1"/>
  <c r="G438" i="25" s="1"/>
  <c r="E572" i="18"/>
  <c r="D438" i="25" s="1"/>
  <c r="K124" i="25" l="1"/>
  <c r="J184" i="25"/>
  <c r="L572" i="18"/>
  <c r="K438" i="25" s="1"/>
  <c r="H767" i="18"/>
  <c r="G184" i="25" s="1"/>
  <c r="L812" i="18"/>
  <c r="K214" i="25" s="1"/>
  <c r="L857" i="18"/>
  <c r="K348" i="25" s="1"/>
  <c r="L992" i="18"/>
  <c r="I468" i="25"/>
  <c r="L602" i="18"/>
  <c r="L692" i="18"/>
  <c r="K258" i="25" s="1"/>
  <c r="L902" i="18"/>
  <c r="L932" i="18"/>
  <c r="L1097" i="18"/>
  <c r="K468" i="25" s="1"/>
  <c r="H587" i="18"/>
  <c r="G139" i="25" s="1"/>
  <c r="L587" i="18"/>
  <c r="K139" i="25" s="1"/>
  <c r="H677" i="18"/>
  <c r="L737" i="18"/>
  <c r="K453" i="25" s="1"/>
  <c r="L887" i="18"/>
  <c r="K378" i="25" s="1"/>
  <c r="H1037" i="18"/>
  <c r="G199" i="25" s="1"/>
  <c r="L1037" i="18"/>
  <c r="K199" i="25" s="1"/>
  <c r="J348" i="25"/>
  <c r="F348" i="25"/>
  <c r="J363" i="25"/>
  <c r="K363" i="25" s="1"/>
  <c r="F393" i="25"/>
  <c r="J438" i="25"/>
  <c r="F438" i="25"/>
  <c r="F453" i="25"/>
  <c r="J468" i="25"/>
  <c r="F468" i="25"/>
  <c r="J483" i="25"/>
  <c r="F483" i="25"/>
  <c r="H692" i="18"/>
  <c r="G258" i="25" s="1"/>
  <c r="H887" i="18"/>
  <c r="G378" i="25" s="1"/>
  <c r="H632" i="18"/>
  <c r="G97" i="25" s="1"/>
  <c r="L632" i="18"/>
  <c r="K97" i="25" s="1"/>
  <c r="F31" i="25"/>
  <c r="J214" i="25"/>
  <c r="F214" i="25"/>
  <c r="I258" i="25"/>
  <c r="J542" i="18"/>
  <c r="K542" i="18"/>
  <c r="I542" i="18"/>
  <c r="G542" i="18"/>
  <c r="H542" i="18" s="1"/>
  <c r="E542" i="18"/>
  <c r="K527" i="18"/>
  <c r="J58" i="25" s="1"/>
  <c r="J527" i="18"/>
  <c r="I527" i="18"/>
  <c r="H58" i="25" s="1"/>
  <c r="G527" i="18"/>
  <c r="E527" i="18"/>
  <c r="D58" i="25" s="1"/>
  <c r="K512" i="18"/>
  <c r="J16" i="25" s="1"/>
  <c r="J512" i="18"/>
  <c r="I16" i="25" s="1"/>
  <c r="I512" i="18"/>
  <c r="H16" i="25" s="1"/>
  <c r="G512" i="18"/>
  <c r="F16" i="25" s="1"/>
  <c r="E512" i="18"/>
  <c r="D16" i="25" s="1"/>
  <c r="K482" i="18"/>
  <c r="J482" i="18"/>
  <c r="I482" i="18"/>
  <c r="G482" i="18"/>
  <c r="H482" i="18" s="1"/>
  <c r="E482" i="18"/>
  <c r="K467" i="18"/>
  <c r="J467" i="18"/>
  <c r="I467" i="18"/>
  <c r="G467" i="18"/>
  <c r="H467" i="18" s="1"/>
  <c r="E467" i="18"/>
  <c r="K437" i="18"/>
  <c r="J437" i="18"/>
  <c r="I437" i="18"/>
  <c r="G437" i="18"/>
  <c r="H437" i="18" s="1"/>
  <c r="E437" i="18"/>
  <c r="K422" i="18"/>
  <c r="J498" i="25" s="1"/>
  <c r="J422" i="18"/>
  <c r="I498" i="25" s="1"/>
  <c r="I422" i="18"/>
  <c r="H498" i="25" s="1"/>
  <c r="G422" i="18"/>
  <c r="F498" i="25" s="1"/>
  <c r="E422" i="18"/>
  <c r="D498" i="25" s="1"/>
  <c r="K110" i="25" l="1"/>
  <c r="K16" i="25"/>
  <c r="L482" i="18"/>
  <c r="L437" i="18"/>
  <c r="L542" i="18"/>
  <c r="H422" i="18"/>
  <c r="G498" i="25" s="1"/>
  <c r="L422" i="18"/>
  <c r="K498" i="25" s="1"/>
  <c r="H527" i="18"/>
  <c r="G58" i="25" s="1"/>
  <c r="F58" i="25"/>
  <c r="L467" i="18"/>
  <c r="H512" i="18"/>
  <c r="L512" i="18"/>
  <c r="L527" i="18"/>
  <c r="K58" i="25" s="1"/>
  <c r="I58" i="25"/>
  <c r="K377" i="18"/>
  <c r="J377" i="18"/>
  <c r="I377" i="18"/>
  <c r="G377" i="18"/>
  <c r="H377" i="18" s="1"/>
  <c r="E377" i="18"/>
  <c r="K362" i="18"/>
  <c r="J288" i="25" s="1"/>
  <c r="J362" i="18"/>
  <c r="I288" i="25" s="1"/>
  <c r="I362" i="18"/>
  <c r="H288" i="25" s="1"/>
  <c r="G362" i="18"/>
  <c r="E362" i="18"/>
  <c r="D288" i="25" s="1"/>
  <c r="K347" i="18"/>
  <c r="J347" i="18"/>
  <c r="I347" i="18"/>
  <c r="G347" i="18"/>
  <c r="H347" i="18" s="1"/>
  <c r="E347" i="18"/>
  <c r="K332" i="18"/>
  <c r="J513" i="25" s="1"/>
  <c r="J332" i="18"/>
  <c r="I513" i="25" s="1"/>
  <c r="I332" i="18"/>
  <c r="H513" i="25" s="1"/>
  <c r="G332" i="18"/>
  <c r="F513" i="25" s="1"/>
  <c r="E332" i="18"/>
  <c r="D513" i="25" s="1"/>
  <c r="H332" i="18" l="1"/>
  <c r="G513" i="25" s="1"/>
  <c r="L347" i="18"/>
  <c r="H362" i="18"/>
  <c r="G288" i="25" s="1"/>
  <c r="F288" i="25"/>
  <c r="L362" i="18"/>
  <c r="K288" i="25" s="1"/>
  <c r="L332" i="18"/>
  <c r="K513" i="25" s="1"/>
  <c r="L377" i="18"/>
  <c r="K317" i="18"/>
  <c r="J423" i="25" s="1"/>
  <c r="J317" i="18"/>
  <c r="I423" i="25" s="1"/>
  <c r="I317" i="18"/>
  <c r="H423" i="25" s="1"/>
  <c r="G317" i="18"/>
  <c r="E317" i="18"/>
  <c r="D423" i="25" s="1"/>
  <c r="K302" i="18"/>
  <c r="J302" i="18"/>
  <c r="I302" i="18"/>
  <c r="G302" i="18"/>
  <c r="H302" i="18" s="1"/>
  <c r="E302" i="18"/>
  <c r="K287" i="18"/>
  <c r="J531" i="25" s="1"/>
  <c r="J287" i="18"/>
  <c r="I531" i="25" s="1"/>
  <c r="I287" i="18"/>
  <c r="H531" i="25" s="1"/>
  <c r="G287" i="18"/>
  <c r="E287" i="18"/>
  <c r="D531" i="25" s="1"/>
  <c r="K272" i="18"/>
  <c r="J272" i="18"/>
  <c r="I272" i="18"/>
  <c r="H154" i="25" s="1"/>
  <c r="G272" i="18"/>
  <c r="E272" i="18"/>
  <c r="D154" i="25" s="1"/>
  <c r="K257" i="18"/>
  <c r="J303" i="25" s="1"/>
  <c r="J257" i="18"/>
  <c r="I303" i="25" s="1"/>
  <c r="I257" i="18"/>
  <c r="H303" i="25" s="1"/>
  <c r="H256" i="18"/>
  <c r="G257" i="18"/>
  <c r="E257" i="18"/>
  <c r="D303" i="25" s="1"/>
  <c r="K227" i="18"/>
  <c r="J229" i="25" s="1"/>
  <c r="J227" i="18"/>
  <c r="I229" i="25" s="1"/>
  <c r="I227" i="18"/>
  <c r="H229" i="25" s="1"/>
  <c r="G227" i="18"/>
  <c r="E227" i="18"/>
  <c r="D229" i="25" s="1"/>
  <c r="K531" i="25" l="1"/>
  <c r="H287" i="18"/>
  <c r="F531" i="25"/>
  <c r="G531" i="25" s="1"/>
  <c r="H317" i="18"/>
  <c r="G423" i="25" s="1"/>
  <c r="F423" i="25"/>
  <c r="K229" i="25"/>
  <c r="H272" i="18"/>
  <c r="G154" i="25" s="1"/>
  <c r="F154" i="25"/>
  <c r="L287" i="18"/>
  <c r="L302" i="18"/>
  <c r="H227" i="18"/>
  <c r="F229" i="25"/>
  <c r="H257" i="18"/>
  <c r="F303" i="25"/>
  <c r="K303" i="25"/>
  <c r="L227" i="18"/>
  <c r="L257" i="18"/>
  <c r="L272" i="18"/>
  <c r="L317" i="18"/>
  <c r="K423" i="25" s="1"/>
  <c r="K212" i="18"/>
  <c r="J212" i="18"/>
  <c r="I212" i="18"/>
  <c r="G212" i="18"/>
  <c r="H212" i="18" s="1"/>
  <c r="E212" i="18"/>
  <c r="K197" i="18"/>
  <c r="J197" i="18"/>
  <c r="I197" i="18"/>
  <c r="G197" i="18"/>
  <c r="H197" i="18" s="1"/>
  <c r="E197" i="18"/>
  <c r="K182" i="18"/>
  <c r="J182" i="18"/>
  <c r="I182" i="18"/>
  <c r="G182" i="18"/>
  <c r="H182" i="18" s="1"/>
  <c r="E182" i="18"/>
  <c r="K167" i="18"/>
  <c r="J167" i="18"/>
  <c r="I167" i="18"/>
  <c r="G167" i="18"/>
  <c r="H167" i="18" s="1"/>
  <c r="E167" i="18"/>
  <c r="K152" i="18"/>
  <c r="J152" i="18"/>
  <c r="I152" i="18"/>
  <c r="G152" i="18"/>
  <c r="H152" i="18" s="1"/>
  <c r="E152" i="18"/>
  <c r="K137" i="18"/>
  <c r="J408" i="25" s="1"/>
  <c r="J137" i="18"/>
  <c r="I408" i="25" s="1"/>
  <c r="I137" i="18"/>
  <c r="H408" i="25" s="1"/>
  <c r="G137" i="18"/>
  <c r="E137" i="18"/>
  <c r="D408" i="25" s="1"/>
  <c r="K107" i="18"/>
  <c r="J169" i="25" s="1"/>
  <c r="J107" i="18"/>
  <c r="I169" i="25" s="1"/>
  <c r="I107" i="18"/>
  <c r="H169" i="25" s="1"/>
  <c r="G107" i="18"/>
  <c r="E107" i="18"/>
  <c r="D169" i="25" s="1"/>
  <c r="K92" i="18"/>
  <c r="J318" i="25" s="1"/>
  <c r="J92" i="18"/>
  <c r="I318" i="25" s="1"/>
  <c r="I92" i="18"/>
  <c r="H318" i="25" s="1"/>
  <c r="G92" i="18"/>
  <c r="E92" i="18"/>
  <c r="D318" i="25" s="1"/>
  <c r="K62" i="18"/>
  <c r="J333" i="25" s="1"/>
  <c r="J62" i="18"/>
  <c r="I333" i="25" s="1"/>
  <c r="I62" i="18"/>
  <c r="H333" i="25" s="1"/>
  <c r="G62" i="18"/>
  <c r="E62" i="18"/>
  <c r="D333" i="25" s="1"/>
  <c r="K47" i="18"/>
  <c r="J47" i="18"/>
  <c r="I47" i="18"/>
  <c r="G47" i="18"/>
  <c r="H47" i="18" s="1"/>
  <c r="E47" i="18"/>
  <c r="K32" i="18"/>
  <c r="J32" i="18"/>
  <c r="I32" i="18"/>
  <c r="G32" i="18"/>
  <c r="H32" i="18" s="1"/>
  <c r="E32" i="18"/>
  <c r="K17" i="18"/>
  <c r="J516" i="25" s="1"/>
  <c r="J17" i="18"/>
  <c r="I516" i="25" s="1"/>
  <c r="L32" i="18" l="1"/>
  <c r="H62" i="18"/>
  <c r="G333" i="25" s="1"/>
  <c r="F333" i="25"/>
  <c r="H92" i="18"/>
  <c r="G318" i="25" s="1"/>
  <c r="F318" i="25"/>
  <c r="L47" i="18"/>
  <c r="H107" i="18"/>
  <c r="G169" i="25" s="1"/>
  <c r="F169" i="25"/>
  <c r="H137" i="18"/>
  <c r="G408" i="25" s="1"/>
  <c r="F408" i="25"/>
  <c r="L62" i="18"/>
  <c r="K333" i="25" s="1"/>
  <c r="L152" i="18"/>
  <c r="L92" i="18"/>
  <c r="K318" i="25" s="1"/>
  <c r="L17" i="18"/>
  <c r="K516" i="25" s="1"/>
  <c r="L107" i="18"/>
  <c r="K169" i="25" s="1"/>
  <c r="L197" i="18"/>
  <c r="L137" i="18"/>
  <c r="K408" i="25" s="1"/>
  <c r="L167" i="18"/>
  <c r="L182" i="18"/>
  <c r="L212" i="18"/>
  <c r="I17" i="18"/>
  <c r="H516" i="25" s="1"/>
  <c r="G17" i="18"/>
  <c r="F516" i="25" s="1"/>
  <c r="E17" i="18"/>
  <c r="D516" i="25" s="1"/>
  <c r="C227" i="18" l="1"/>
  <c r="C17" i="18"/>
  <c r="C16" i="18"/>
  <c r="D286" i="28"/>
  <c r="E286" i="28"/>
  <c r="F286" i="28"/>
  <c r="G286" i="28"/>
  <c r="H286" i="28"/>
  <c r="I286" i="28"/>
  <c r="J286" i="28"/>
  <c r="A271" i="28"/>
  <c r="B271" i="28"/>
  <c r="C271" i="28"/>
  <c r="D271" i="28"/>
  <c r="E271" i="28"/>
  <c r="F271" i="28"/>
  <c r="G271" i="28"/>
  <c r="H271" i="28"/>
  <c r="I271" i="28"/>
  <c r="J271" i="28"/>
  <c r="K271" i="28"/>
  <c r="A256" i="28"/>
  <c r="B256" i="28"/>
  <c r="C256" i="28"/>
  <c r="D256" i="28"/>
  <c r="E256" i="28"/>
  <c r="F256" i="28"/>
  <c r="G256" i="28"/>
  <c r="H256" i="28"/>
  <c r="I256" i="28"/>
  <c r="J256" i="28"/>
  <c r="K256" i="28"/>
  <c r="A241" i="28"/>
  <c r="B241" i="28"/>
  <c r="C241" i="28"/>
  <c r="D241" i="28"/>
  <c r="E241" i="28"/>
  <c r="F241" i="28"/>
  <c r="G241" i="28"/>
  <c r="H241" i="28"/>
  <c r="I241" i="28"/>
  <c r="J241" i="28"/>
  <c r="K241" i="28"/>
  <c r="A226" i="28"/>
  <c r="B226" i="28"/>
  <c r="C226" i="28"/>
  <c r="D226" i="28"/>
  <c r="E226" i="28"/>
  <c r="F226" i="28"/>
  <c r="G226" i="28"/>
  <c r="H226" i="28"/>
  <c r="I226" i="28"/>
  <c r="J226" i="28"/>
  <c r="K226" i="28"/>
  <c r="A211" i="28"/>
  <c r="B211" i="28"/>
  <c r="C211" i="28"/>
  <c r="D211" i="28"/>
  <c r="E211" i="28"/>
  <c r="F211" i="28"/>
  <c r="G211" i="28"/>
  <c r="H211" i="28"/>
  <c r="I211" i="28"/>
  <c r="J211" i="28"/>
  <c r="K211" i="28"/>
  <c r="A196" i="28"/>
  <c r="B196" i="28"/>
  <c r="C196" i="28"/>
  <c r="D196" i="28"/>
  <c r="E196" i="28"/>
  <c r="F196" i="28"/>
  <c r="G196" i="28"/>
  <c r="H196" i="28"/>
  <c r="I196" i="28"/>
  <c r="J196" i="28"/>
  <c r="K196" i="28"/>
  <c r="A181" i="28"/>
  <c r="B181" i="28"/>
  <c r="C181" i="28"/>
  <c r="D181" i="28"/>
  <c r="E181" i="28"/>
  <c r="F181" i="28"/>
  <c r="G181" i="28"/>
  <c r="H181" i="28"/>
  <c r="I181" i="28"/>
  <c r="J181" i="28"/>
  <c r="K181" i="28"/>
  <c r="A166" i="28"/>
  <c r="B166" i="28"/>
  <c r="C166" i="28"/>
  <c r="D166" i="28"/>
  <c r="E166" i="28"/>
  <c r="F166" i="28"/>
  <c r="G166" i="28"/>
  <c r="H166" i="28"/>
  <c r="I166" i="28"/>
  <c r="J166" i="28"/>
  <c r="K166" i="28"/>
  <c r="A151" i="28"/>
  <c r="B151" i="28"/>
  <c r="C151" i="28"/>
  <c r="D151" i="28"/>
  <c r="E151" i="28"/>
  <c r="F151" i="28"/>
  <c r="G151" i="28"/>
  <c r="H151" i="28"/>
  <c r="I151" i="28"/>
  <c r="J151" i="28"/>
  <c r="K151" i="28"/>
  <c r="A136" i="28"/>
  <c r="B136" i="28"/>
  <c r="C136" i="28"/>
  <c r="D136" i="28"/>
  <c r="E136" i="28"/>
  <c r="F136" i="28"/>
  <c r="G136" i="28"/>
  <c r="H136" i="28"/>
  <c r="I136" i="28"/>
  <c r="J136" i="28"/>
  <c r="K136" i="28"/>
  <c r="A121" i="28"/>
  <c r="B121" i="28"/>
  <c r="C121" i="28"/>
  <c r="D121" i="28"/>
  <c r="E121" i="28"/>
  <c r="F121" i="28"/>
  <c r="G121" i="28"/>
  <c r="H121" i="28"/>
  <c r="I121" i="28"/>
  <c r="J121" i="28"/>
  <c r="K121" i="28"/>
  <c r="A106" i="28"/>
  <c r="B106" i="28"/>
  <c r="C106" i="28"/>
  <c r="D106" i="28"/>
  <c r="E106" i="28"/>
  <c r="F106" i="28"/>
  <c r="G106" i="28"/>
  <c r="H106" i="28"/>
  <c r="I106" i="28"/>
  <c r="J106" i="28"/>
  <c r="K106" i="28"/>
  <c r="A91" i="28"/>
  <c r="B91" i="28"/>
  <c r="C91" i="28"/>
  <c r="D91" i="28"/>
  <c r="E91" i="28"/>
  <c r="F91" i="28"/>
  <c r="G91" i="28"/>
  <c r="H91" i="28"/>
  <c r="I91" i="28"/>
  <c r="J91" i="28"/>
  <c r="K91" i="28"/>
  <c r="A76" i="28"/>
  <c r="B76" i="28"/>
  <c r="C76" i="28"/>
  <c r="D76" i="28"/>
  <c r="E76" i="28"/>
  <c r="F76" i="28"/>
  <c r="G76" i="28"/>
  <c r="I76" i="28"/>
  <c r="J76" i="28"/>
  <c r="K76" i="28"/>
  <c r="A61" i="28"/>
  <c r="B61" i="28"/>
  <c r="C61" i="28"/>
  <c r="D61" i="28"/>
  <c r="E61" i="28"/>
  <c r="F61" i="28"/>
  <c r="G61" i="28"/>
  <c r="H61" i="28"/>
  <c r="I61" i="28"/>
  <c r="J61" i="28"/>
  <c r="K61" i="28"/>
  <c r="A46" i="28"/>
  <c r="B46" i="28"/>
  <c r="C46" i="28"/>
  <c r="D46" i="28"/>
  <c r="E46" i="28"/>
  <c r="F46" i="28"/>
  <c r="G46" i="28"/>
  <c r="H46" i="28"/>
  <c r="I46" i="28"/>
  <c r="J46" i="28"/>
  <c r="K46" i="28"/>
  <c r="A31" i="28"/>
  <c r="B31" i="28"/>
  <c r="C31" i="28"/>
  <c r="D31" i="28"/>
  <c r="E31" i="28"/>
  <c r="F31" i="28"/>
  <c r="G31" i="28"/>
  <c r="H31" i="28"/>
  <c r="I31" i="28"/>
  <c r="J31" i="28"/>
  <c r="K31" i="28"/>
  <c r="A16" i="28"/>
  <c r="B16" i="28"/>
  <c r="C16" i="28"/>
  <c r="D16" i="28"/>
  <c r="E16" i="28"/>
  <c r="F16" i="28"/>
  <c r="G16" i="28"/>
  <c r="H16" i="28"/>
  <c r="I16" i="28"/>
  <c r="J16" i="28"/>
  <c r="F287" i="1"/>
  <c r="F272" i="1"/>
  <c r="F257" i="1"/>
  <c r="F242" i="1"/>
  <c r="F227" i="1"/>
  <c r="F212" i="1"/>
  <c r="F197" i="1"/>
  <c r="F182" i="1"/>
  <c r="F167" i="1"/>
  <c r="F152" i="1"/>
  <c r="F137" i="1"/>
  <c r="F122" i="1"/>
  <c r="F107" i="1"/>
  <c r="F92" i="1"/>
  <c r="F77" i="1"/>
  <c r="F62" i="1"/>
  <c r="F47" i="1"/>
  <c r="F32" i="1"/>
  <c r="F17" i="1"/>
  <c r="M28" i="17"/>
  <c r="L28" i="17"/>
  <c r="K28" i="17"/>
  <c r="I28" i="17"/>
  <c r="G28" i="17"/>
  <c r="F28" i="17"/>
  <c r="L70" i="16"/>
  <c r="I72" i="16"/>
  <c r="O287" i="1"/>
  <c r="L287" i="1"/>
  <c r="J287" i="1"/>
  <c r="K287" i="1"/>
  <c r="O272" i="1"/>
  <c r="L272" i="1"/>
  <c r="J272" i="1"/>
  <c r="K272" i="1"/>
  <c r="O257" i="1"/>
  <c r="L257" i="1"/>
  <c r="J257" i="1"/>
  <c r="K257" i="1"/>
  <c r="O242" i="1"/>
  <c r="L242" i="1"/>
  <c r="J242" i="1"/>
  <c r="K242" i="1"/>
  <c r="O227" i="1"/>
  <c r="L227" i="1"/>
  <c r="J227" i="1"/>
  <c r="K227" i="1"/>
  <c r="O212" i="1"/>
  <c r="L212" i="1"/>
  <c r="J212" i="1"/>
  <c r="K212" i="1"/>
  <c r="O197" i="1"/>
  <c r="L197" i="1"/>
  <c r="J197" i="1"/>
  <c r="K197" i="1"/>
  <c r="O182" i="1"/>
  <c r="L182" i="1"/>
  <c r="J182" i="1"/>
  <c r="K182" i="1"/>
  <c r="O167" i="1"/>
  <c r="L167" i="1"/>
  <c r="J167" i="1"/>
  <c r="K167" i="1"/>
  <c r="O152" i="1"/>
  <c r="L152" i="1"/>
  <c r="J152" i="1"/>
  <c r="K152" i="1"/>
  <c r="O137" i="1"/>
  <c r="L137" i="1"/>
  <c r="J137" i="1"/>
  <c r="K137" i="1"/>
  <c r="O122" i="1"/>
  <c r="L122" i="1"/>
  <c r="J122" i="1"/>
  <c r="K122" i="1"/>
  <c r="O107" i="1"/>
  <c r="L107" i="1"/>
  <c r="J107" i="1"/>
  <c r="K107" i="1"/>
  <c r="O92" i="1"/>
  <c r="L92" i="1"/>
  <c r="J92" i="1"/>
  <c r="K92" i="1"/>
  <c r="O77" i="1"/>
  <c r="L77" i="1"/>
  <c r="K77" i="1"/>
  <c r="O62" i="1"/>
  <c r="L62" i="1"/>
  <c r="J62" i="1"/>
  <c r="K62" i="1"/>
  <c r="O47" i="1"/>
  <c r="L47" i="1"/>
  <c r="J47" i="1"/>
  <c r="K47" i="1"/>
  <c r="O32" i="1"/>
  <c r="L32" i="1"/>
  <c r="J32" i="1"/>
  <c r="K32" i="1"/>
  <c r="O17" i="1"/>
  <c r="L17" i="1"/>
  <c r="J17" i="1"/>
  <c r="K17" i="1"/>
  <c r="I287" i="1"/>
  <c r="I272" i="1"/>
  <c r="I257" i="1"/>
  <c r="I227" i="1"/>
  <c r="I197" i="1"/>
  <c r="I167" i="1"/>
  <c r="I152" i="1"/>
  <c r="I122" i="1"/>
  <c r="I77" i="1"/>
  <c r="I62" i="1"/>
  <c r="I32" i="1"/>
  <c r="I17" i="1"/>
  <c r="G272" i="1"/>
  <c r="H272" i="1" s="1"/>
  <c r="G257" i="1"/>
  <c r="H257" i="1" s="1"/>
  <c r="G242" i="1"/>
  <c r="H242" i="1" s="1"/>
  <c r="G227" i="1"/>
  <c r="H227" i="1" s="1"/>
  <c r="G212" i="1"/>
  <c r="H212" i="1" s="1"/>
  <c r="G197" i="1"/>
  <c r="H197" i="1" s="1"/>
  <c r="G182" i="1"/>
  <c r="H182" i="1" s="1"/>
  <c r="G167" i="1"/>
  <c r="H167" i="1" s="1"/>
  <c r="G152" i="1"/>
  <c r="H152" i="1" s="1"/>
  <c r="G137" i="1"/>
  <c r="H137" i="1" s="1"/>
  <c r="G122" i="1"/>
  <c r="H122" i="1" s="1"/>
  <c r="G107" i="1"/>
  <c r="H107" i="1" s="1"/>
  <c r="G92" i="1"/>
  <c r="H92" i="1" s="1"/>
  <c r="G77" i="1"/>
  <c r="H77" i="1" s="1"/>
  <c r="G62" i="1"/>
  <c r="H62" i="1" s="1"/>
  <c r="G47" i="1"/>
  <c r="H47" i="1" s="1"/>
  <c r="G32" i="1"/>
  <c r="H32" i="1" s="1"/>
  <c r="G17" i="1"/>
  <c r="H17" i="1" s="1"/>
  <c r="N303" i="15"/>
  <c r="M303" i="15"/>
  <c r="N288" i="15"/>
  <c r="G287" i="1" s="1"/>
  <c r="H287" i="1" s="1"/>
  <c r="N273" i="15"/>
  <c r="M273" i="15"/>
  <c r="N258" i="15"/>
  <c r="M258" i="15"/>
  <c r="N243" i="15"/>
  <c r="M243" i="15"/>
  <c r="N228" i="15"/>
  <c r="M228" i="15"/>
  <c r="N213" i="15"/>
  <c r="M213" i="15"/>
  <c r="N198" i="15"/>
  <c r="M198" i="15"/>
  <c r="N183" i="15"/>
  <c r="M183" i="15"/>
  <c r="N168" i="15"/>
  <c r="M168" i="15"/>
  <c r="N153" i="15"/>
  <c r="M153" i="15"/>
  <c r="N138" i="15"/>
  <c r="M138" i="15"/>
  <c r="N123" i="15"/>
  <c r="M123" i="15"/>
  <c r="N108" i="15"/>
  <c r="M108" i="15"/>
  <c r="N93" i="15"/>
  <c r="M93" i="15"/>
  <c r="N78" i="15"/>
  <c r="M78" i="15"/>
  <c r="N63" i="15"/>
  <c r="M63" i="15"/>
  <c r="N48" i="15"/>
  <c r="M48" i="15"/>
  <c r="N33" i="15"/>
  <c r="M33" i="15"/>
  <c r="N18" i="15"/>
  <c r="M18" i="15"/>
  <c r="K288" i="15"/>
  <c r="K273" i="15"/>
  <c r="K258" i="15"/>
  <c r="K243" i="15"/>
  <c r="K228" i="15"/>
  <c r="K213" i="15"/>
  <c r="K198" i="15"/>
  <c r="K183" i="15"/>
  <c r="K168" i="15"/>
  <c r="K153" i="15"/>
  <c r="K138" i="15"/>
  <c r="K123" i="15"/>
  <c r="K108" i="15"/>
  <c r="K93" i="15"/>
  <c r="K78" i="15"/>
  <c r="K63" i="15"/>
  <c r="K33" i="15"/>
  <c r="K18" i="15"/>
  <c r="E287" i="1"/>
  <c r="E272" i="1"/>
  <c r="E257" i="1"/>
  <c r="E242" i="1"/>
  <c r="E227" i="1"/>
  <c r="E212" i="1"/>
  <c r="E197" i="1"/>
  <c r="E182" i="1"/>
  <c r="E167" i="1"/>
  <c r="E152" i="1"/>
  <c r="E137" i="1"/>
  <c r="E122" i="1"/>
  <c r="E107" i="1"/>
  <c r="E92" i="1"/>
  <c r="E77" i="1"/>
  <c r="E62" i="1"/>
  <c r="E47" i="1"/>
  <c r="E32" i="1"/>
  <c r="E17" i="1"/>
  <c r="C272" i="1"/>
  <c r="A272" i="1"/>
  <c r="B272" i="1"/>
  <c r="C257" i="1"/>
  <c r="A257" i="1"/>
  <c r="B257" i="1"/>
  <c r="C242" i="1"/>
  <c r="A242" i="1"/>
  <c r="B242" i="1"/>
  <c r="C227" i="1"/>
  <c r="A227" i="1"/>
  <c r="B227" i="1"/>
  <c r="C212" i="1"/>
  <c r="A212" i="1"/>
  <c r="B212" i="1"/>
  <c r="C197" i="1"/>
  <c r="A197" i="1"/>
  <c r="B197" i="1"/>
  <c r="C182" i="1"/>
  <c r="A182" i="1"/>
  <c r="B182" i="1"/>
  <c r="C167" i="1"/>
  <c r="A167" i="1"/>
  <c r="B167" i="1"/>
  <c r="C152" i="1"/>
  <c r="A152" i="1"/>
  <c r="B152" i="1"/>
  <c r="C137" i="1"/>
  <c r="A137" i="1"/>
  <c r="B137" i="1"/>
  <c r="C122" i="1"/>
  <c r="A122" i="1"/>
  <c r="B122" i="1"/>
  <c r="C107" i="1"/>
  <c r="A107" i="1"/>
  <c r="B107" i="1"/>
  <c r="C92" i="1"/>
  <c r="A92" i="1"/>
  <c r="B92" i="1"/>
  <c r="C77" i="1"/>
  <c r="A77" i="1"/>
  <c r="B77" i="1"/>
  <c r="C62" i="1"/>
  <c r="A62" i="1"/>
  <c r="B62" i="1"/>
  <c r="A32" i="1"/>
  <c r="A47" i="1"/>
  <c r="C47" i="1"/>
  <c r="B47" i="1"/>
  <c r="C32" i="1"/>
  <c r="B32" i="1"/>
  <c r="C17" i="1"/>
  <c r="B17" i="1"/>
  <c r="A17" i="1"/>
  <c r="G415" i="18"/>
  <c r="I510" i="18"/>
  <c r="I210" i="18"/>
  <c r="I165" i="18"/>
  <c r="G27" i="20" l="1"/>
  <c r="P27" i="20" s="1"/>
  <c r="C27" i="20"/>
  <c r="O27" i="20" s="1"/>
  <c r="Q27" i="20" l="1"/>
  <c r="S27" i="20" s="1"/>
  <c r="F27" i="20"/>
  <c r="U27" i="20"/>
  <c r="B27" i="20"/>
  <c r="A27" i="20"/>
  <c r="K1111" i="18"/>
  <c r="J1111" i="18"/>
  <c r="I1111" i="18"/>
  <c r="G1111" i="18"/>
  <c r="E1111" i="18"/>
  <c r="K1096" i="18"/>
  <c r="J1096" i="18"/>
  <c r="I467" i="25" s="1"/>
  <c r="I1096" i="18"/>
  <c r="H467" i="25" s="1"/>
  <c r="G1096" i="18"/>
  <c r="E1096" i="18"/>
  <c r="D467" i="25" s="1"/>
  <c r="K1081" i="18"/>
  <c r="J1081" i="18"/>
  <c r="I1081" i="18"/>
  <c r="G1081" i="18"/>
  <c r="E1081" i="18"/>
  <c r="K1066" i="18"/>
  <c r="J1066" i="18"/>
  <c r="I1066" i="18"/>
  <c r="G1066" i="18"/>
  <c r="E1066" i="18"/>
  <c r="K1051" i="18"/>
  <c r="J1051" i="18"/>
  <c r="I482" i="25" s="1"/>
  <c r="I1051" i="18"/>
  <c r="H482" i="25" s="1"/>
  <c r="G1051" i="18"/>
  <c r="F482" i="25" s="1"/>
  <c r="E1051" i="18"/>
  <c r="D482" i="25" s="1"/>
  <c r="K1036" i="18"/>
  <c r="J198" i="25" s="1"/>
  <c r="J1036" i="18"/>
  <c r="I198" i="25" s="1"/>
  <c r="I1036" i="18"/>
  <c r="H198" i="25" s="1"/>
  <c r="G1036" i="18"/>
  <c r="F198" i="25" s="1"/>
  <c r="E1036" i="18"/>
  <c r="D198" i="25" s="1"/>
  <c r="K1021" i="18"/>
  <c r="J1021" i="18"/>
  <c r="I1021" i="18"/>
  <c r="G1021" i="18"/>
  <c r="E1021" i="18"/>
  <c r="K1006" i="18"/>
  <c r="J1006" i="18"/>
  <c r="I1006" i="18"/>
  <c r="G1006" i="18"/>
  <c r="E1006" i="18"/>
  <c r="K991" i="18"/>
  <c r="J991" i="18"/>
  <c r="I991" i="18"/>
  <c r="H30" i="25" s="1"/>
  <c r="G991" i="18"/>
  <c r="F30" i="25" s="1"/>
  <c r="E991" i="18"/>
  <c r="D30" i="25" s="1"/>
  <c r="K976" i="18"/>
  <c r="J976" i="18"/>
  <c r="I976" i="18"/>
  <c r="G976" i="18"/>
  <c r="E976" i="18"/>
  <c r="K961" i="18"/>
  <c r="J961" i="18"/>
  <c r="I961" i="18"/>
  <c r="G961" i="18"/>
  <c r="E961" i="18"/>
  <c r="K931" i="18"/>
  <c r="J931" i="18"/>
  <c r="I931" i="18"/>
  <c r="G931" i="18"/>
  <c r="E931" i="18"/>
  <c r="K916" i="18"/>
  <c r="J916" i="18"/>
  <c r="I916" i="18"/>
  <c r="G916" i="18"/>
  <c r="E916" i="18"/>
  <c r="K901" i="18"/>
  <c r="J901" i="18"/>
  <c r="I901" i="18"/>
  <c r="G901" i="18"/>
  <c r="E901" i="18"/>
  <c r="K886" i="18"/>
  <c r="J377" i="25" s="1"/>
  <c r="J886" i="18"/>
  <c r="I886" i="18"/>
  <c r="H377" i="25" s="1"/>
  <c r="G886" i="18"/>
  <c r="F377" i="25" s="1"/>
  <c r="E886" i="18"/>
  <c r="D377" i="25" s="1"/>
  <c r="K856" i="18"/>
  <c r="J347" i="25" s="1"/>
  <c r="J856" i="18"/>
  <c r="I347" i="25" s="1"/>
  <c r="I856" i="18"/>
  <c r="H347" i="25" s="1"/>
  <c r="G856" i="18"/>
  <c r="F347" i="25" s="1"/>
  <c r="E856" i="18"/>
  <c r="D347" i="25" s="1"/>
  <c r="K826" i="18"/>
  <c r="J826" i="18"/>
  <c r="I826" i="18"/>
  <c r="G826" i="18"/>
  <c r="E826" i="18"/>
  <c r="K811" i="18"/>
  <c r="J811" i="18"/>
  <c r="I213" i="25" s="1"/>
  <c r="I811" i="18"/>
  <c r="H213" i="25" s="1"/>
  <c r="G811" i="18"/>
  <c r="F213" i="25" s="1"/>
  <c r="E811" i="18"/>
  <c r="D213" i="25" s="1"/>
  <c r="K796" i="18"/>
  <c r="J796" i="18"/>
  <c r="I796" i="18"/>
  <c r="G796" i="18"/>
  <c r="E796" i="18"/>
  <c r="K781" i="18"/>
  <c r="J781" i="18"/>
  <c r="I781" i="18"/>
  <c r="G781" i="18"/>
  <c r="E781" i="18"/>
  <c r="K766" i="18"/>
  <c r="J183" i="25" s="1"/>
  <c r="J766" i="18"/>
  <c r="I183" i="25" s="1"/>
  <c r="I766" i="18"/>
  <c r="H183" i="25" s="1"/>
  <c r="G766" i="18"/>
  <c r="F183" i="25" s="1"/>
  <c r="E766" i="18"/>
  <c r="D183" i="25" s="1"/>
  <c r="K751" i="18"/>
  <c r="J751" i="18"/>
  <c r="I751" i="18"/>
  <c r="G751" i="18"/>
  <c r="E751" i="18"/>
  <c r="K736" i="18"/>
  <c r="J736" i="18"/>
  <c r="I452" i="25" s="1"/>
  <c r="I736" i="18"/>
  <c r="H452" i="25" s="1"/>
  <c r="G736" i="18"/>
  <c r="F452" i="25" s="1"/>
  <c r="E736" i="18"/>
  <c r="D452" i="25" s="1"/>
  <c r="K706" i="18"/>
  <c r="J706" i="18"/>
  <c r="I706" i="18"/>
  <c r="G706" i="18"/>
  <c r="E706" i="18"/>
  <c r="K691" i="18"/>
  <c r="J691" i="18"/>
  <c r="I257" i="25" s="1"/>
  <c r="I691" i="18"/>
  <c r="H257" i="25" s="1"/>
  <c r="G691" i="18"/>
  <c r="E691" i="18"/>
  <c r="D257" i="25" s="1"/>
  <c r="K676" i="18"/>
  <c r="J676" i="18"/>
  <c r="I362" i="25" s="1"/>
  <c r="I676" i="18"/>
  <c r="H362" i="25" s="1"/>
  <c r="G676" i="18"/>
  <c r="F362" i="25" s="1"/>
  <c r="E676" i="18"/>
  <c r="D362" i="25" s="1"/>
  <c r="K661" i="18"/>
  <c r="J661" i="18"/>
  <c r="I661" i="18"/>
  <c r="H392" i="25" s="1"/>
  <c r="G661" i="18"/>
  <c r="E661" i="18"/>
  <c r="D392" i="25" s="1"/>
  <c r="K631" i="18"/>
  <c r="J631" i="18"/>
  <c r="I96" i="25" s="1"/>
  <c r="I631" i="18"/>
  <c r="H96" i="25" s="1"/>
  <c r="G631" i="18"/>
  <c r="E631" i="18"/>
  <c r="D96" i="25" s="1"/>
  <c r="K616" i="18"/>
  <c r="J616" i="18"/>
  <c r="I616" i="18"/>
  <c r="G616" i="18"/>
  <c r="E616" i="18"/>
  <c r="K601" i="18"/>
  <c r="J601" i="18"/>
  <c r="I601" i="18"/>
  <c r="G601" i="18"/>
  <c r="E601" i="18"/>
  <c r="K586" i="18"/>
  <c r="J586" i="18"/>
  <c r="I138" i="25" s="1"/>
  <c r="I586" i="18"/>
  <c r="H138" i="25" s="1"/>
  <c r="G586" i="18"/>
  <c r="F138" i="25" s="1"/>
  <c r="E586" i="18"/>
  <c r="D138" i="25" s="1"/>
  <c r="K571" i="18"/>
  <c r="J571" i="18"/>
  <c r="I437" i="25" s="1"/>
  <c r="I571" i="18"/>
  <c r="H437" i="25" s="1"/>
  <c r="G571" i="18"/>
  <c r="F437" i="25" s="1"/>
  <c r="E571" i="18"/>
  <c r="D437" i="25" s="1"/>
  <c r="K556" i="18"/>
  <c r="J556" i="18"/>
  <c r="I556" i="18"/>
  <c r="G556" i="18"/>
  <c r="E556" i="18"/>
  <c r="K541" i="18"/>
  <c r="J541" i="18"/>
  <c r="I541" i="18"/>
  <c r="G541" i="18"/>
  <c r="E541" i="18"/>
  <c r="K526" i="18"/>
  <c r="J526" i="18"/>
  <c r="I57" i="25" s="1"/>
  <c r="I526" i="18"/>
  <c r="H57" i="25" s="1"/>
  <c r="G526" i="18"/>
  <c r="E526" i="18"/>
  <c r="D57" i="25" s="1"/>
  <c r="K511" i="18"/>
  <c r="J511" i="18"/>
  <c r="I15" i="25" s="1"/>
  <c r="I511" i="18"/>
  <c r="H15" i="25" s="1"/>
  <c r="G511" i="18"/>
  <c r="F15" i="25" s="1"/>
  <c r="E511" i="18"/>
  <c r="D15" i="25" s="1"/>
  <c r="K481" i="18"/>
  <c r="J481" i="18"/>
  <c r="I481" i="18"/>
  <c r="G481" i="18"/>
  <c r="E481" i="18"/>
  <c r="K466" i="18"/>
  <c r="J466" i="18"/>
  <c r="I466" i="18"/>
  <c r="G466" i="18"/>
  <c r="E466" i="18"/>
  <c r="K436" i="18"/>
  <c r="J436" i="18"/>
  <c r="I436" i="18"/>
  <c r="G436" i="18"/>
  <c r="E436" i="18"/>
  <c r="K421" i="18"/>
  <c r="J421" i="18"/>
  <c r="I497" i="25" s="1"/>
  <c r="I421" i="18"/>
  <c r="H497" i="25" s="1"/>
  <c r="G421" i="18"/>
  <c r="E421" i="18"/>
  <c r="D497" i="25" s="1"/>
  <c r="K391" i="18"/>
  <c r="J243" i="25" s="1"/>
  <c r="J391" i="18"/>
  <c r="I243" i="25" s="1"/>
  <c r="I391" i="18"/>
  <c r="H243" i="25" s="1"/>
  <c r="G391" i="18"/>
  <c r="F243" i="25" s="1"/>
  <c r="E391" i="18"/>
  <c r="D243" i="25" s="1"/>
  <c r="K376" i="18"/>
  <c r="J376" i="18"/>
  <c r="I376" i="18"/>
  <c r="G376" i="18"/>
  <c r="E376" i="18"/>
  <c r="K361" i="18"/>
  <c r="J361" i="18"/>
  <c r="I287" i="25" s="1"/>
  <c r="I361" i="18"/>
  <c r="H287" i="25" s="1"/>
  <c r="G361" i="18"/>
  <c r="E361" i="18"/>
  <c r="D287" i="25" s="1"/>
  <c r="K346" i="18"/>
  <c r="J346" i="18"/>
  <c r="I346" i="18"/>
  <c r="G346" i="18"/>
  <c r="E346" i="18"/>
  <c r="K331" i="18"/>
  <c r="J331" i="18"/>
  <c r="I512" i="25" s="1"/>
  <c r="I331" i="18"/>
  <c r="H512" i="25" s="1"/>
  <c r="G331" i="18"/>
  <c r="E331" i="18"/>
  <c r="D512" i="25" s="1"/>
  <c r="K316" i="18"/>
  <c r="J316" i="18"/>
  <c r="I422" i="25" s="1"/>
  <c r="I316" i="18"/>
  <c r="H422" i="25" s="1"/>
  <c r="G316" i="18"/>
  <c r="E316" i="18"/>
  <c r="D422" i="25" s="1"/>
  <c r="K301" i="18"/>
  <c r="J301" i="18"/>
  <c r="I301" i="18"/>
  <c r="G301" i="18"/>
  <c r="E301" i="18"/>
  <c r="K286" i="18"/>
  <c r="J286" i="18"/>
  <c r="I286" i="18"/>
  <c r="G286" i="18"/>
  <c r="E286" i="18"/>
  <c r="I271" i="18"/>
  <c r="H153" i="25" s="1"/>
  <c r="G271" i="18"/>
  <c r="F153" i="25" s="1"/>
  <c r="E271" i="18"/>
  <c r="D153" i="25" s="1"/>
  <c r="L236" i="18"/>
  <c r="L228" i="18"/>
  <c r="L229" i="18"/>
  <c r="L230" i="18"/>
  <c r="L231" i="18"/>
  <c r="L232" i="18"/>
  <c r="L233" i="18"/>
  <c r="L234" i="18"/>
  <c r="L235" i="18"/>
  <c r="L237" i="18"/>
  <c r="L238" i="18"/>
  <c r="L239" i="18"/>
  <c r="K256" i="18"/>
  <c r="J302" i="25" s="1"/>
  <c r="J256" i="18"/>
  <c r="I302" i="25" s="1"/>
  <c r="I256" i="18"/>
  <c r="H302" i="25" s="1"/>
  <c r="G256" i="18"/>
  <c r="F302" i="25" s="1"/>
  <c r="E256" i="18"/>
  <c r="D302" i="25" s="1"/>
  <c r="K226" i="18"/>
  <c r="J226" i="18"/>
  <c r="I228" i="25" s="1"/>
  <c r="I226" i="18"/>
  <c r="H228" i="25" s="1"/>
  <c r="G226" i="18"/>
  <c r="F228" i="25" s="1"/>
  <c r="E226" i="18"/>
  <c r="D228" i="25" s="1"/>
  <c r="K211" i="18"/>
  <c r="J211" i="18"/>
  <c r="I211" i="18"/>
  <c r="G211" i="18"/>
  <c r="E211" i="18"/>
  <c r="K196" i="18"/>
  <c r="J196" i="18"/>
  <c r="I196" i="18"/>
  <c r="G196" i="18"/>
  <c r="E196" i="18"/>
  <c r="K181" i="18"/>
  <c r="J181" i="18"/>
  <c r="I181" i="18"/>
  <c r="G181" i="18"/>
  <c r="E181" i="18"/>
  <c r="K166" i="18"/>
  <c r="J166" i="18"/>
  <c r="I166" i="18"/>
  <c r="G166" i="18"/>
  <c r="E166" i="18"/>
  <c r="K151" i="18"/>
  <c r="J151" i="18"/>
  <c r="I151" i="18"/>
  <c r="G151" i="18"/>
  <c r="E151" i="18"/>
  <c r="K136" i="18"/>
  <c r="J136" i="18"/>
  <c r="I407" i="25" s="1"/>
  <c r="I136" i="18"/>
  <c r="H407" i="25" s="1"/>
  <c r="G136" i="18"/>
  <c r="F407" i="25" s="1"/>
  <c r="E136" i="18"/>
  <c r="D407" i="25" s="1"/>
  <c r="K106" i="18"/>
  <c r="J106" i="18"/>
  <c r="I168" i="25" s="1"/>
  <c r="I106" i="18"/>
  <c r="H168" i="25" s="1"/>
  <c r="G106" i="18"/>
  <c r="F168" i="25" s="1"/>
  <c r="E106" i="18"/>
  <c r="D168" i="25" s="1"/>
  <c r="K91" i="18"/>
  <c r="J91" i="18"/>
  <c r="I317" i="25" s="1"/>
  <c r="I91" i="18"/>
  <c r="H317" i="25" s="1"/>
  <c r="G91" i="18"/>
  <c r="F317" i="25" s="1"/>
  <c r="E91" i="18"/>
  <c r="D317" i="25" s="1"/>
  <c r="K61" i="18"/>
  <c r="J61" i="18"/>
  <c r="I332" i="25" s="1"/>
  <c r="I61" i="18"/>
  <c r="H332" i="25" s="1"/>
  <c r="G61" i="18"/>
  <c r="F332" i="25" s="1"/>
  <c r="E61" i="18"/>
  <c r="D332" i="25" s="1"/>
  <c r="K46" i="18"/>
  <c r="J46" i="18"/>
  <c r="I46" i="18"/>
  <c r="G46" i="18"/>
  <c r="E46" i="18"/>
  <c r="K31" i="18"/>
  <c r="J31" i="18"/>
  <c r="I31" i="18"/>
  <c r="G31" i="18"/>
  <c r="E31" i="18"/>
  <c r="K16" i="18"/>
  <c r="J16" i="18"/>
  <c r="I515" i="25" s="1"/>
  <c r="I16" i="18"/>
  <c r="H515" i="25" s="1"/>
  <c r="G16" i="18"/>
  <c r="F515" i="25" s="1"/>
  <c r="E16" i="18"/>
  <c r="D515" i="25" s="1"/>
  <c r="L436" i="18" l="1"/>
  <c r="L1021" i="18"/>
  <c r="L1081" i="18"/>
  <c r="L46" i="18"/>
  <c r="L826" i="18"/>
  <c r="L181" i="18"/>
  <c r="K302" i="25"/>
  <c r="L706" i="18"/>
  <c r="L781" i="18"/>
  <c r="L1066" i="18"/>
  <c r="L31" i="18"/>
  <c r="L151" i="18"/>
  <c r="L211" i="18"/>
  <c r="L346" i="18"/>
  <c r="L466" i="18"/>
  <c r="L541" i="18"/>
  <c r="L601" i="18"/>
  <c r="L796" i="18"/>
  <c r="L916" i="18"/>
  <c r="L301" i="18"/>
  <c r="L391" i="18"/>
  <c r="K243" i="25" s="1"/>
  <c r="L556" i="18"/>
  <c r="L751" i="18"/>
  <c r="L931" i="18"/>
  <c r="L61" i="18"/>
  <c r="K332" i="25" s="1"/>
  <c r="J332" i="25"/>
  <c r="L136" i="18"/>
  <c r="K407" i="25" s="1"/>
  <c r="J407" i="25"/>
  <c r="L196" i="18"/>
  <c r="L256" i="18"/>
  <c r="L286" i="18"/>
  <c r="F422" i="25"/>
  <c r="L331" i="18"/>
  <c r="K512" i="25" s="1"/>
  <c r="J512" i="25"/>
  <c r="F287" i="25"/>
  <c r="L376" i="18"/>
  <c r="L421" i="18"/>
  <c r="K497" i="25" s="1"/>
  <c r="J497" i="25"/>
  <c r="L481" i="18"/>
  <c r="L586" i="18"/>
  <c r="K138" i="25" s="1"/>
  <c r="J138" i="25"/>
  <c r="F96" i="25"/>
  <c r="L661" i="18"/>
  <c r="L886" i="18"/>
  <c r="K377" i="25" s="1"/>
  <c r="I377" i="25"/>
  <c r="F512" i="25"/>
  <c r="F497" i="25"/>
  <c r="L511" i="18"/>
  <c r="J15" i="25"/>
  <c r="K15" i="25" s="1"/>
  <c r="F392" i="25"/>
  <c r="L676" i="18"/>
  <c r="J362" i="25"/>
  <c r="K362" i="25" s="1"/>
  <c r="L961" i="18"/>
  <c r="L991" i="18"/>
  <c r="L1051" i="18"/>
  <c r="K482" i="25" s="1"/>
  <c r="J482" i="25"/>
  <c r="L1096" i="18"/>
  <c r="K467" i="25" s="1"/>
  <c r="J467" i="25"/>
  <c r="L91" i="18"/>
  <c r="K317" i="25" s="1"/>
  <c r="J317" i="25"/>
  <c r="L16" i="18"/>
  <c r="K515" i="25" s="1"/>
  <c r="J515" i="25"/>
  <c r="L106" i="18"/>
  <c r="K168" i="25" s="1"/>
  <c r="J168" i="25"/>
  <c r="L166" i="18"/>
  <c r="L226" i="18"/>
  <c r="J228" i="25"/>
  <c r="K228" i="25" s="1"/>
  <c r="L526" i="18"/>
  <c r="K57" i="25" s="1"/>
  <c r="J57" i="25"/>
  <c r="L616" i="18"/>
  <c r="L691" i="18"/>
  <c r="K257" i="25" s="1"/>
  <c r="J257" i="25"/>
  <c r="L736" i="18"/>
  <c r="K452" i="25" s="1"/>
  <c r="J452" i="25"/>
  <c r="L766" i="18"/>
  <c r="K183" i="25" s="1"/>
  <c r="L901" i="18"/>
  <c r="L976" i="18"/>
  <c r="L1006" i="18"/>
  <c r="F467" i="25"/>
  <c r="L1111" i="18"/>
  <c r="L271" i="18"/>
  <c r="L316" i="18"/>
  <c r="K422" i="25" s="1"/>
  <c r="J422" i="25"/>
  <c r="L361" i="18"/>
  <c r="K287" i="25" s="1"/>
  <c r="J287" i="25"/>
  <c r="F57" i="25"/>
  <c r="L571" i="18"/>
  <c r="K437" i="25" s="1"/>
  <c r="J437" i="25"/>
  <c r="L631" i="18"/>
  <c r="K96" i="25" s="1"/>
  <c r="J96" i="25"/>
  <c r="F257" i="25"/>
  <c r="L811" i="18"/>
  <c r="K213" i="25" s="1"/>
  <c r="J213" i="25"/>
  <c r="L856" i="18"/>
  <c r="K347" i="25" s="1"/>
  <c r="L1036" i="18"/>
  <c r="K198" i="25" s="1"/>
  <c r="J27" i="20"/>
  <c r="K27" i="20" s="1"/>
  <c r="W27" i="20"/>
  <c r="F31" i="18" s="1"/>
  <c r="C226" i="18"/>
  <c r="F46" i="18" l="1"/>
  <c r="F61" i="18" s="1"/>
  <c r="F16" i="18"/>
  <c r="E515" i="25" s="1"/>
  <c r="H150" i="28"/>
  <c r="H120" i="28"/>
  <c r="C15" i="28"/>
  <c r="H15" i="28"/>
  <c r="K286" i="1"/>
  <c r="L286" i="1" s="1"/>
  <c r="J285" i="28" s="1"/>
  <c r="J286" i="1"/>
  <c r="I285" i="28" s="1"/>
  <c r="K271" i="1"/>
  <c r="J271" i="1"/>
  <c r="I60" i="28" s="1"/>
  <c r="K256" i="1"/>
  <c r="L256" i="1" s="1"/>
  <c r="J270" i="28" s="1"/>
  <c r="J256" i="1"/>
  <c r="I270" i="28" s="1"/>
  <c r="K241" i="1"/>
  <c r="J241" i="1"/>
  <c r="I15" i="28" s="1"/>
  <c r="K226" i="1"/>
  <c r="L226" i="1" s="1"/>
  <c r="J45" i="28" s="1"/>
  <c r="J226" i="1"/>
  <c r="I45" i="28" s="1"/>
  <c r="K211" i="1"/>
  <c r="J211" i="1"/>
  <c r="I180" i="28" s="1"/>
  <c r="K196" i="1"/>
  <c r="L196" i="1" s="1"/>
  <c r="J165" i="28" s="1"/>
  <c r="J196" i="1"/>
  <c r="I165" i="28" s="1"/>
  <c r="K181" i="1"/>
  <c r="J181" i="1"/>
  <c r="I255" i="28" s="1"/>
  <c r="K166" i="1"/>
  <c r="L166" i="1" s="1"/>
  <c r="J30" i="28" s="1"/>
  <c r="J166" i="1"/>
  <c r="I30" i="28" s="1"/>
  <c r="K151" i="1"/>
  <c r="J151" i="1"/>
  <c r="I90" i="28" s="1"/>
  <c r="K136" i="1"/>
  <c r="L136" i="1" s="1"/>
  <c r="J120" i="28" s="1"/>
  <c r="J136" i="1"/>
  <c r="I120" i="28" s="1"/>
  <c r="K121" i="1"/>
  <c r="J121" i="1"/>
  <c r="I240" i="28" s="1"/>
  <c r="K106" i="1"/>
  <c r="L106" i="1" s="1"/>
  <c r="J150" i="28" s="1"/>
  <c r="J106" i="1"/>
  <c r="I150" i="28" s="1"/>
  <c r="K91" i="1"/>
  <c r="J91" i="1"/>
  <c r="I225" i="28" s="1"/>
  <c r="K76" i="1"/>
  <c r="L76" i="1" s="1"/>
  <c r="J105" i="28" s="1"/>
  <c r="J76" i="1"/>
  <c r="I105" i="28" s="1"/>
  <c r="K61" i="1"/>
  <c r="J61" i="1"/>
  <c r="I210" i="28" s="1"/>
  <c r="K46" i="1"/>
  <c r="L46" i="1" s="1"/>
  <c r="J135" i="28" s="1"/>
  <c r="J46" i="1"/>
  <c r="I135" i="28" s="1"/>
  <c r="K31" i="1"/>
  <c r="J31" i="1"/>
  <c r="I75" i="28" s="1"/>
  <c r="K16" i="1"/>
  <c r="L16" i="1" s="1"/>
  <c r="J195" i="28" s="1"/>
  <c r="J16" i="1"/>
  <c r="I195" i="28" s="1"/>
  <c r="I286" i="1"/>
  <c r="H285" i="28" s="1"/>
  <c r="I271" i="1"/>
  <c r="H60" i="28" s="1"/>
  <c r="I256" i="1"/>
  <c r="H270" i="28" s="1"/>
  <c r="I226" i="1"/>
  <c r="H45" i="28" s="1"/>
  <c r="I211" i="1"/>
  <c r="H180" i="28" s="1"/>
  <c r="I196" i="1"/>
  <c r="H165" i="28" s="1"/>
  <c r="I181" i="1"/>
  <c r="H255" i="28" s="1"/>
  <c r="I166" i="1"/>
  <c r="H30" i="28" s="1"/>
  <c r="I151" i="1"/>
  <c r="H90" i="28" s="1"/>
  <c r="I121" i="1"/>
  <c r="H240" i="28" s="1"/>
  <c r="I91" i="1"/>
  <c r="H225" i="28" s="1"/>
  <c r="I76" i="1"/>
  <c r="H105" i="28" s="1"/>
  <c r="I61" i="1"/>
  <c r="H210" i="28" s="1"/>
  <c r="I46" i="1"/>
  <c r="H135" i="28" s="1"/>
  <c r="I31" i="1"/>
  <c r="I16" i="1"/>
  <c r="H195" i="28" s="1"/>
  <c r="L241" i="1" l="1"/>
  <c r="J15" i="28" s="1"/>
  <c r="L271" i="1"/>
  <c r="J60" i="28" s="1"/>
  <c r="L31" i="1"/>
  <c r="J75" i="28" s="1"/>
  <c r="L61" i="1"/>
  <c r="J210" i="28" s="1"/>
  <c r="L91" i="1"/>
  <c r="J225" i="28" s="1"/>
  <c r="L121" i="1"/>
  <c r="J240" i="28" s="1"/>
  <c r="L151" i="1"/>
  <c r="J90" i="28" s="1"/>
  <c r="L181" i="1"/>
  <c r="J255" i="28" s="1"/>
  <c r="L211" i="1"/>
  <c r="J180" i="28" s="1"/>
  <c r="F76" i="18"/>
  <c r="F91" i="18" s="1"/>
  <c r="E332" i="25"/>
  <c r="E286" i="1"/>
  <c r="D285" i="28" s="1"/>
  <c r="E271" i="1"/>
  <c r="D60" i="28" s="1"/>
  <c r="E256" i="1"/>
  <c r="D270" i="28" s="1"/>
  <c r="E241" i="1"/>
  <c r="D15" i="28" s="1"/>
  <c r="E226" i="1"/>
  <c r="D45" i="28" s="1"/>
  <c r="E211" i="1"/>
  <c r="D180" i="28" s="1"/>
  <c r="E196" i="1"/>
  <c r="D165" i="28" s="1"/>
  <c r="E181" i="1"/>
  <c r="D255" i="28" s="1"/>
  <c r="E166" i="1"/>
  <c r="D30" i="28" s="1"/>
  <c r="E151" i="1"/>
  <c r="D90" i="28" s="1"/>
  <c r="E136" i="1"/>
  <c r="D120" i="28" s="1"/>
  <c r="E121" i="1"/>
  <c r="D240" i="28" s="1"/>
  <c r="E106" i="1"/>
  <c r="D150" i="28" s="1"/>
  <c r="E91" i="1"/>
  <c r="D225" i="28" s="1"/>
  <c r="E76" i="1"/>
  <c r="D105" i="28" s="1"/>
  <c r="E61" i="1"/>
  <c r="D210" i="28" s="1"/>
  <c r="E46" i="1"/>
  <c r="D135" i="28" s="1"/>
  <c r="E31" i="1"/>
  <c r="D75" i="28" s="1"/>
  <c r="E16" i="1"/>
  <c r="D195" i="28" s="1"/>
  <c r="M287" i="15"/>
  <c r="M272" i="15"/>
  <c r="M257" i="15"/>
  <c r="M242" i="15"/>
  <c r="M227" i="15"/>
  <c r="M212" i="15"/>
  <c r="M197" i="15"/>
  <c r="M182" i="15"/>
  <c r="M167" i="15"/>
  <c r="M152" i="15"/>
  <c r="M137" i="15"/>
  <c r="M122" i="15"/>
  <c r="M107" i="15"/>
  <c r="M92" i="15"/>
  <c r="M77" i="15"/>
  <c r="M62" i="15"/>
  <c r="M47" i="15"/>
  <c r="M32" i="15"/>
  <c r="M17" i="15"/>
  <c r="M302" i="15" l="1"/>
  <c r="F106" i="18"/>
  <c r="E317" i="25"/>
  <c r="H10" i="28"/>
  <c r="H12" i="28"/>
  <c r="H13" i="28"/>
  <c r="A5" i="28"/>
  <c r="C5" i="28"/>
  <c r="A6" i="28"/>
  <c r="C6" i="28"/>
  <c r="A7" i="28"/>
  <c r="C7" i="28"/>
  <c r="A8" i="28"/>
  <c r="C8" i="28"/>
  <c r="A9" i="28"/>
  <c r="C9" i="28"/>
  <c r="A10" i="28"/>
  <c r="C10" i="28"/>
  <c r="C12" i="28"/>
  <c r="C13" i="28"/>
  <c r="C14" i="28"/>
  <c r="C265" i="28"/>
  <c r="A265" i="28"/>
  <c r="C264" i="28"/>
  <c r="A264" i="28"/>
  <c r="C263" i="28"/>
  <c r="A263" i="28"/>
  <c r="C262" i="28"/>
  <c r="A262" i="28"/>
  <c r="C261" i="28"/>
  <c r="A261" i="28"/>
  <c r="C260" i="28"/>
  <c r="A260" i="28"/>
  <c r="C259" i="28"/>
  <c r="A259" i="28"/>
  <c r="C258" i="28"/>
  <c r="A258" i="28"/>
  <c r="C257" i="28"/>
  <c r="A257" i="28"/>
  <c r="H254" i="28"/>
  <c r="C250" i="28"/>
  <c r="A250" i="28"/>
  <c r="C249" i="28"/>
  <c r="A249" i="28"/>
  <c r="C248" i="28"/>
  <c r="A248" i="28"/>
  <c r="C247" i="28"/>
  <c r="A247" i="28"/>
  <c r="C246" i="28"/>
  <c r="A246" i="28"/>
  <c r="C245" i="28"/>
  <c r="A245" i="28"/>
  <c r="C244" i="28"/>
  <c r="A244" i="28"/>
  <c r="C243" i="28"/>
  <c r="A243" i="28"/>
  <c r="C242" i="28"/>
  <c r="A242" i="28"/>
  <c r="C235" i="28"/>
  <c r="A235" i="28"/>
  <c r="C234" i="28"/>
  <c r="A234" i="28"/>
  <c r="C233" i="28"/>
  <c r="A233" i="28"/>
  <c r="C232" i="28"/>
  <c r="A232" i="28"/>
  <c r="C231" i="28"/>
  <c r="A231" i="28"/>
  <c r="C230" i="28"/>
  <c r="A230" i="28"/>
  <c r="C229" i="28"/>
  <c r="A229" i="28"/>
  <c r="C228" i="28"/>
  <c r="A228" i="28"/>
  <c r="C227" i="28"/>
  <c r="A227" i="28"/>
  <c r="C220" i="28"/>
  <c r="A220" i="28"/>
  <c r="C219" i="28"/>
  <c r="A219" i="28"/>
  <c r="C218" i="28"/>
  <c r="A218" i="28"/>
  <c r="C217" i="28"/>
  <c r="A217" i="28"/>
  <c r="C216" i="28"/>
  <c r="A216" i="28"/>
  <c r="C215" i="28"/>
  <c r="A215" i="28"/>
  <c r="C214" i="28"/>
  <c r="A214" i="28"/>
  <c r="C213" i="28"/>
  <c r="A213" i="28"/>
  <c r="C212" i="28"/>
  <c r="A212" i="28"/>
  <c r="H207" i="28"/>
  <c r="C205" i="28"/>
  <c r="A205" i="28"/>
  <c r="C204" i="28"/>
  <c r="A204" i="28"/>
  <c r="C203" i="28"/>
  <c r="A203" i="28"/>
  <c r="C202" i="28"/>
  <c r="A202" i="28"/>
  <c r="C201" i="28"/>
  <c r="A201" i="28"/>
  <c r="C200" i="28"/>
  <c r="A200" i="28"/>
  <c r="C199" i="28"/>
  <c r="A199" i="28"/>
  <c r="C198" i="28"/>
  <c r="A198" i="28"/>
  <c r="C197" i="28"/>
  <c r="A197" i="28"/>
  <c r="C190" i="28"/>
  <c r="A190" i="28"/>
  <c r="C189" i="28"/>
  <c r="A189" i="28"/>
  <c r="C188" i="28"/>
  <c r="A188" i="28"/>
  <c r="C187" i="28"/>
  <c r="A187" i="28"/>
  <c r="C186" i="28"/>
  <c r="A186" i="28"/>
  <c r="C185" i="28"/>
  <c r="A185" i="28"/>
  <c r="C184" i="28"/>
  <c r="A184" i="28"/>
  <c r="C183" i="28"/>
  <c r="A183" i="28"/>
  <c r="C182" i="28"/>
  <c r="A182" i="28"/>
  <c r="C175" i="28"/>
  <c r="A175" i="28"/>
  <c r="C174" i="28"/>
  <c r="A174" i="28"/>
  <c r="C173" i="28"/>
  <c r="A173" i="28"/>
  <c r="C172" i="28"/>
  <c r="A172" i="28"/>
  <c r="C171" i="28"/>
  <c r="A171" i="28"/>
  <c r="C170" i="28"/>
  <c r="A170" i="28"/>
  <c r="C169" i="28"/>
  <c r="A169" i="28"/>
  <c r="C168" i="28"/>
  <c r="A168" i="28"/>
  <c r="C167" i="28"/>
  <c r="A167" i="28"/>
  <c r="C160" i="28"/>
  <c r="A160" i="28"/>
  <c r="C159" i="28"/>
  <c r="A159" i="28"/>
  <c r="C158" i="28"/>
  <c r="A158" i="28"/>
  <c r="C157" i="28"/>
  <c r="A157" i="28"/>
  <c r="C156" i="28"/>
  <c r="A156" i="28"/>
  <c r="C155" i="28"/>
  <c r="A155" i="28"/>
  <c r="C154" i="28"/>
  <c r="A154" i="28"/>
  <c r="C153" i="28"/>
  <c r="A153" i="28"/>
  <c r="C152" i="28"/>
  <c r="A152" i="28"/>
  <c r="C145" i="28"/>
  <c r="A145" i="28"/>
  <c r="C144" i="28"/>
  <c r="A144" i="28"/>
  <c r="C143" i="28"/>
  <c r="A143" i="28"/>
  <c r="C142" i="28"/>
  <c r="A142" i="28"/>
  <c r="C141" i="28"/>
  <c r="A141" i="28"/>
  <c r="C140" i="28"/>
  <c r="A140" i="28"/>
  <c r="C139" i="28"/>
  <c r="A139" i="28"/>
  <c r="C138" i="28"/>
  <c r="A138" i="28"/>
  <c r="C137" i="28"/>
  <c r="A137" i="28"/>
  <c r="C130" i="28"/>
  <c r="A130" i="28"/>
  <c r="C129" i="28"/>
  <c r="A129" i="28"/>
  <c r="C128" i="28"/>
  <c r="A128" i="28"/>
  <c r="C127" i="28"/>
  <c r="A127" i="28"/>
  <c r="C126" i="28"/>
  <c r="A126" i="28"/>
  <c r="C125" i="28"/>
  <c r="A125" i="28"/>
  <c r="C124" i="28"/>
  <c r="A124" i="28"/>
  <c r="C123" i="28"/>
  <c r="A123" i="28"/>
  <c r="C122" i="28"/>
  <c r="A122" i="28"/>
  <c r="C115" i="28"/>
  <c r="A115" i="28"/>
  <c r="C114" i="28"/>
  <c r="A114" i="28"/>
  <c r="C113" i="28"/>
  <c r="A113" i="28"/>
  <c r="C112" i="28"/>
  <c r="A112" i="28"/>
  <c r="C111" i="28"/>
  <c r="A111" i="28"/>
  <c r="C110" i="28"/>
  <c r="A110" i="28"/>
  <c r="C109" i="28"/>
  <c r="A109" i="28"/>
  <c r="C108" i="28"/>
  <c r="A108" i="28"/>
  <c r="C107" i="28"/>
  <c r="A107" i="28"/>
  <c r="C100" i="28"/>
  <c r="A100" i="28"/>
  <c r="C99" i="28"/>
  <c r="A99" i="28"/>
  <c r="C98" i="28"/>
  <c r="A98" i="28"/>
  <c r="C97" i="28"/>
  <c r="A97" i="28"/>
  <c r="C96" i="28"/>
  <c r="A96" i="28"/>
  <c r="C95" i="28"/>
  <c r="A95" i="28"/>
  <c r="C94" i="28"/>
  <c r="A94" i="28"/>
  <c r="C93" i="28"/>
  <c r="A93" i="28"/>
  <c r="C92" i="28"/>
  <c r="A92" i="28"/>
  <c r="C85" i="28"/>
  <c r="A85" i="28"/>
  <c r="C84" i="28"/>
  <c r="A84" i="28"/>
  <c r="C83" i="28"/>
  <c r="A83" i="28"/>
  <c r="C82" i="28"/>
  <c r="A82" i="28"/>
  <c r="C81" i="28"/>
  <c r="A81" i="28"/>
  <c r="C80" i="28"/>
  <c r="A80" i="28"/>
  <c r="C79" i="28"/>
  <c r="A79" i="28"/>
  <c r="C78" i="28"/>
  <c r="A78" i="28"/>
  <c r="C77" i="28"/>
  <c r="A77" i="28"/>
  <c r="C70" i="28"/>
  <c r="A70" i="28"/>
  <c r="C69" i="28"/>
  <c r="A69" i="28"/>
  <c r="C68" i="28"/>
  <c r="A68" i="28"/>
  <c r="C67" i="28"/>
  <c r="A67" i="28"/>
  <c r="C66" i="28"/>
  <c r="A66" i="28"/>
  <c r="C65" i="28"/>
  <c r="A65" i="28"/>
  <c r="C64" i="28"/>
  <c r="A64" i="28"/>
  <c r="C63" i="28"/>
  <c r="A63" i="28"/>
  <c r="C62" i="28"/>
  <c r="A62" i="28"/>
  <c r="C55" i="28"/>
  <c r="A55" i="28"/>
  <c r="C54" i="28"/>
  <c r="A54" i="28"/>
  <c r="C53" i="28"/>
  <c r="A53" i="28"/>
  <c r="C52" i="28"/>
  <c r="A52" i="28"/>
  <c r="C51" i="28"/>
  <c r="A51" i="28"/>
  <c r="C50" i="28"/>
  <c r="A50" i="28"/>
  <c r="C49" i="28"/>
  <c r="A49" i="28"/>
  <c r="C48" i="28"/>
  <c r="A48" i="28"/>
  <c r="C47" i="28"/>
  <c r="A47" i="28"/>
  <c r="C40" i="28"/>
  <c r="A40" i="28"/>
  <c r="C39" i="28"/>
  <c r="A39" i="28"/>
  <c r="C38" i="28"/>
  <c r="A38" i="28"/>
  <c r="C37" i="28"/>
  <c r="A37" i="28"/>
  <c r="C36" i="28"/>
  <c r="A36" i="28"/>
  <c r="C35" i="28"/>
  <c r="A35" i="28"/>
  <c r="C34" i="28"/>
  <c r="A34" i="28"/>
  <c r="C33" i="28"/>
  <c r="A33" i="28"/>
  <c r="C32" i="28"/>
  <c r="A32" i="28"/>
  <c r="C25" i="28"/>
  <c r="A25" i="28"/>
  <c r="C24" i="28"/>
  <c r="A24" i="28"/>
  <c r="C23" i="28"/>
  <c r="A23" i="28"/>
  <c r="C22" i="28"/>
  <c r="A22" i="28"/>
  <c r="C21" i="28"/>
  <c r="A21" i="28"/>
  <c r="C20" i="28"/>
  <c r="A20" i="28"/>
  <c r="C19" i="28"/>
  <c r="A19" i="28"/>
  <c r="C18" i="28"/>
  <c r="A18" i="28"/>
  <c r="C17" i="28"/>
  <c r="A17" i="28"/>
  <c r="C4" i="28"/>
  <c r="A4" i="28"/>
  <c r="C3" i="28"/>
  <c r="A3" i="28"/>
  <c r="C2" i="28"/>
  <c r="A2" i="28"/>
  <c r="F121" i="18" l="1"/>
  <c r="F136" i="18" s="1"/>
  <c r="E168" i="25"/>
  <c r="K225" i="18"/>
  <c r="J225" i="18"/>
  <c r="I227" i="25" s="1"/>
  <c r="G225" i="18"/>
  <c r="F227" i="25" s="1"/>
  <c r="K224" i="18"/>
  <c r="J224" i="18"/>
  <c r="I226" i="25" s="1"/>
  <c r="G224" i="18"/>
  <c r="F226" i="25" s="1"/>
  <c r="F151" i="18" l="1"/>
  <c r="F166" i="18" s="1"/>
  <c r="F181" i="18" s="1"/>
  <c r="F196" i="18" s="1"/>
  <c r="F211" i="18" s="1"/>
  <c r="F226" i="18" s="1"/>
  <c r="F241" i="18" s="1"/>
  <c r="F256" i="18" s="1"/>
  <c r="E407" i="25"/>
  <c r="J226" i="25"/>
  <c r="K226" i="25" s="1"/>
  <c r="L224" i="18"/>
  <c r="J227" i="25"/>
  <c r="K227" i="25" s="1"/>
  <c r="L225" i="18"/>
  <c r="F271" i="18" l="1"/>
  <c r="E302" i="25"/>
  <c r="I258" i="1"/>
  <c r="H47" i="28" s="1"/>
  <c r="I243" i="1"/>
  <c r="H257" i="28" s="1"/>
  <c r="I228" i="1"/>
  <c r="I213" i="1"/>
  <c r="H32" i="28" s="1"/>
  <c r="I198" i="1"/>
  <c r="H167" i="28" s="1"/>
  <c r="I183" i="1"/>
  <c r="H152" i="28" s="1"/>
  <c r="I168" i="1"/>
  <c r="H242" i="28" s="1"/>
  <c r="I153" i="1"/>
  <c r="H17" i="28" s="1"/>
  <c r="I138" i="1"/>
  <c r="H77" i="28" s="1"/>
  <c r="I123" i="1"/>
  <c r="H107" i="28" s="1"/>
  <c r="I108" i="1"/>
  <c r="H227" i="28" s="1"/>
  <c r="I93" i="1"/>
  <c r="H137" i="28" s="1"/>
  <c r="I78" i="1"/>
  <c r="H212" i="28" s="1"/>
  <c r="I63" i="1"/>
  <c r="H92" i="28" s="1"/>
  <c r="I48" i="1"/>
  <c r="H197" i="28" s="1"/>
  <c r="I33" i="1"/>
  <c r="H122" i="28" s="1"/>
  <c r="I18" i="1"/>
  <c r="H62" i="28" s="1"/>
  <c r="I3" i="1"/>
  <c r="H182" i="28" s="1"/>
  <c r="I281" i="1"/>
  <c r="H280" i="28" s="1"/>
  <c r="I282" i="1"/>
  <c r="H281" i="28" s="1"/>
  <c r="I283" i="1"/>
  <c r="H282" i="28" s="1"/>
  <c r="I284" i="1"/>
  <c r="H283" i="28" s="1"/>
  <c r="I285" i="1"/>
  <c r="H284" i="28" s="1"/>
  <c r="I280" i="1"/>
  <c r="H279" i="28" s="1"/>
  <c r="I266" i="1"/>
  <c r="H55" i="28" s="1"/>
  <c r="I267" i="1"/>
  <c r="H56" i="28" s="1"/>
  <c r="I268" i="1"/>
  <c r="H57" i="28" s="1"/>
  <c r="I269" i="1"/>
  <c r="H58" i="28" s="1"/>
  <c r="I270" i="1"/>
  <c r="H59" i="28" s="1"/>
  <c r="I265" i="1"/>
  <c r="H54" i="28" s="1"/>
  <c r="I251" i="1"/>
  <c r="H265" i="28" s="1"/>
  <c r="I252" i="1"/>
  <c r="H266" i="28" s="1"/>
  <c r="I253" i="1"/>
  <c r="H267" i="28" s="1"/>
  <c r="I254" i="1"/>
  <c r="H268" i="28" s="1"/>
  <c r="I255" i="1"/>
  <c r="H269" i="28" s="1"/>
  <c r="I250" i="1"/>
  <c r="H264" i="28" s="1"/>
  <c r="I240" i="1"/>
  <c r="H14" i="28" s="1"/>
  <c r="I237" i="1"/>
  <c r="H11" i="28" s="1"/>
  <c r="I235" i="1"/>
  <c r="H9" i="28" s="1"/>
  <c r="I221" i="1"/>
  <c r="H40" i="28" s="1"/>
  <c r="I222" i="1"/>
  <c r="H41" i="28" s="1"/>
  <c r="I223" i="1"/>
  <c r="H42" i="28" s="1"/>
  <c r="I224" i="1"/>
  <c r="H43" i="28" s="1"/>
  <c r="I225" i="1"/>
  <c r="H44" i="28" s="1"/>
  <c r="I220" i="1"/>
  <c r="H39" i="28" s="1"/>
  <c r="I206" i="1"/>
  <c r="H175" i="28" s="1"/>
  <c r="I207" i="1"/>
  <c r="H176" i="28" s="1"/>
  <c r="I208" i="1"/>
  <c r="H177" i="28" s="1"/>
  <c r="I209" i="1"/>
  <c r="H178" i="28" s="1"/>
  <c r="I210" i="1"/>
  <c r="H179" i="28" s="1"/>
  <c r="I205" i="1"/>
  <c r="H174" i="28" s="1"/>
  <c r="I176" i="1"/>
  <c r="H250" i="28" s="1"/>
  <c r="I177" i="1"/>
  <c r="H251" i="28" s="1"/>
  <c r="I178" i="1"/>
  <c r="H252" i="28" s="1"/>
  <c r="I179" i="1"/>
  <c r="H253" i="28" s="1"/>
  <c r="I175" i="1"/>
  <c r="H249" i="28" s="1"/>
  <c r="N169" i="1"/>
  <c r="N170" i="1"/>
  <c r="N171" i="1"/>
  <c r="N172" i="1"/>
  <c r="N173" i="1"/>
  <c r="N174" i="1"/>
  <c r="N168" i="1"/>
  <c r="I191" i="1"/>
  <c r="H160" i="28" s="1"/>
  <c r="I192" i="1"/>
  <c r="H161" i="28" s="1"/>
  <c r="I193" i="1"/>
  <c r="H162" i="28" s="1"/>
  <c r="I194" i="1"/>
  <c r="H163" i="28" s="1"/>
  <c r="I195" i="1"/>
  <c r="H164" i="28" s="1"/>
  <c r="I190" i="1"/>
  <c r="H159" i="28" s="1"/>
  <c r="I161" i="1"/>
  <c r="H25" i="28" s="1"/>
  <c r="I162" i="1"/>
  <c r="H26" i="28" s="1"/>
  <c r="I163" i="1"/>
  <c r="H27" i="28" s="1"/>
  <c r="I164" i="1"/>
  <c r="H28" i="28" s="1"/>
  <c r="I165" i="1"/>
  <c r="H29" i="28" s="1"/>
  <c r="I160" i="1"/>
  <c r="H24" i="28" s="1"/>
  <c r="I146" i="1"/>
  <c r="H85" i="28" s="1"/>
  <c r="I147" i="1"/>
  <c r="H86" i="28" s="1"/>
  <c r="I148" i="1"/>
  <c r="H87" i="28" s="1"/>
  <c r="I149" i="1"/>
  <c r="H88" i="28" s="1"/>
  <c r="I150" i="1"/>
  <c r="H89" i="28" s="1"/>
  <c r="I145" i="1"/>
  <c r="H84" i="28" s="1"/>
  <c r="I131" i="1"/>
  <c r="H115" i="28" s="1"/>
  <c r="I132" i="1"/>
  <c r="H116" i="28" s="1"/>
  <c r="I133" i="1"/>
  <c r="H117" i="28" s="1"/>
  <c r="I134" i="1"/>
  <c r="H118" i="28" s="1"/>
  <c r="I135" i="1"/>
  <c r="H119" i="28" s="1"/>
  <c r="I130" i="1"/>
  <c r="H114" i="28" s="1"/>
  <c r="I116" i="1"/>
  <c r="H235" i="28" s="1"/>
  <c r="I117" i="1"/>
  <c r="H236" i="28" s="1"/>
  <c r="I118" i="1"/>
  <c r="H237" i="28" s="1"/>
  <c r="I119" i="1"/>
  <c r="H238" i="28" s="1"/>
  <c r="I120" i="1"/>
  <c r="H239" i="28" s="1"/>
  <c r="I115" i="1"/>
  <c r="H234" i="28" s="1"/>
  <c r="I101" i="1"/>
  <c r="H145" i="28" s="1"/>
  <c r="I102" i="1"/>
  <c r="I103" i="1"/>
  <c r="H147" i="28" s="1"/>
  <c r="I104" i="1"/>
  <c r="H148" i="28" s="1"/>
  <c r="I105" i="1"/>
  <c r="H149" i="28" s="1"/>
  <c r="I100" i="1"/>
  <c r="H144" i="28" s="1"/>
  <c r="I71" i="1"/>
  <c r="H100" i="28" s="1"/>
  <c r="I72" i="1"/>
  <c r="I73" i="1"/>
  <c r="H102" i="28" s="1"/>
  <c r="I74" i="1"/>
  <c r="H103" i="28" s="1"/>
  <c r="I75" i="1"/>
  <c r="H104" i="28" s="1"/>
  <c r="I70" i="1"/>
  <c r="H99" i="28" s="1"/>
  <c r="I86" i="1"/>
  <c r="H220" i="28" s="1"/>
  <c r="I87" i="1"/>
  <c r="H221" i="28" s="1"/>
  <c r="I88" i="1"/>
  <c r="H222" i="28" s="1"/>
  <c r="I89" i="1"/>
  <c r="H223" i="28" s="1"/>
  <c r="I90" i="1"/>
  <c r="H224" i="28" s="1"/>
  <c r="I85" i="1"/>
  <c r="H219" i="28" s="1"/>
  <c r="I60" i="1"/>
  <c r="H209" i="28" s="1"/>
  <c r="I59" i="1"/>
  <c r="H208" i="28" s="1"/>
  <c r="I56" i="1"/>
  <c r="H205" i="28" s="1"/>
  <c r="I57" i="1"/>
  <c r="H206" i="28" s="1"/>
  <c r="I55" i="1"/>
  <c r="H204" i="28" s="1"/>
  <c r="I41" i="1"/>
  <c r="H130" i="28" s="1"/>
  <c r="I42" i="1"/>
  <c r="H131" i="28" s="1"/>
  <c r="I43" i="1"/>
  <c r="H132" i="28" s="1"/>
  <c r="I44" i="1"/>
  <c r="H133" i="28" s="1"/>
  <c r="I45" i="1"/>
  <c r="H134" i="28" s="1"/>
  <c r="I40" i="1"/>
  <c r="H129" i="28" s="1"/>
  <c r="I26" i="1"/>
  <c r="H70" i="28" s="1"/>
  <c r="I27" i="1"/>
  <c r="H71" i="28" s="1"/>
  <c r="I28" i="1"/>
  <c r="H72" i="28" s="1"/>
  <c r="I29" i="1"/>
  <c r="I30" i="1"/>
  <c r="I25" i="1"/>
  <c r="H69" i="28" s="1"/>
  <c r="I11" i="1"/>
  <c r="H190" i="28" s="1"/>
  <c r="I12" i="1"/>
  <c r="H191" i="28" s="1"/>
  <c r="I13" i="1"/>
  <c r="H192" i="28" s="1"/>
  <c r="I14" i="1"/>
  <c r="H193" i="28" s="1"/>
  <c r="I15" i="1"/>
  <c r="H194" i="28" s="1"/>
  <c r="I10" i="1"/>
  <c r="H189" i="28" s="1"/>
  <c r="N235" i="15"/>
  <c r="G234" i="1" s="1"/>
  <c r="F8" i="28" s="1"/>
  <c r="N234" i="15"/>
  <c r="G233" i="1" s="1"/>
  <c r="F7" i="28" s="1"/>
  <c r="N233" i="15"/>
  <c r="G232" i="1" s="1"/>
  <c r="F6" i="28" s="1"/>
  <c r="N232" i="15"/>
  <c r="G231" i="1" s="1"/>
  <c r="N231" i="15"/>
  <c r="G230" i="1" s="1"/>
  <c r="N278" i="15"/>
  <c r="G277" i="1" s="1"/>
  <c r="G277" i="15"/>
  <c r="G278" i="15"/>
  <c r="G279" i="15"/>
  <c r="N279" i="15" s="1"/>
  <c r="G278" i="1" s="1"/>
  <c r="G280" i="15"/>
  <c r="N280" i="15" s="1"/>
  <c r="G279" i="1" s="1"/>
  <c r="G273" i="1"/>
  <c r="G274" i="1"/>
  <c r="G275" i="1"/>
  <c r="G276" i="1"/>
  <c r="N295" i="15"/>
  <c r="N294" i="15"/>
  <c r="N293" i="15"/>
  <c r="N292" i="15"/>
  <c r="N291" i="15"/>
  <c r="M282" i="15"/>
  <c r="M283" i="15"/>
  <c r="M284" i="15"/>
  <c r="M285" i="15"/>
  <c r="M286" i="15"/>
  <c r="M281" i="15"/>
  <c r="M267" i="15"/>
  <c r="M268" i="15"/>
  <c r="M269" i="15"/>
  <c r="M270" i="15"/>
  <c r="M271" i="15"/>
  <c r="M266" i="15"/>
  <c r="M252" i="15"/>
  <c r="M253" i="15"/>
  <c r="M254" i="15"/>
  <c r="M255" i="15"/>
  <c r="M256" i="15"/>
  <c r="M251" i="15"/>
  <c r="M237" i="15"/>
  <c r="M238" i="15"/>
  <c r="M239" i="15"/>
  <c r="M240" i="15"/>
  <c r="M241" i="15"/>
  <c r="M236" i="15"/>
  <c r="M222" i="15"/>
  <c r="M223" i="15"/>
  <c r="M224" i="15"/>
  <c r="M225" i="15"/>
  <c r="M226" i="15"/>
  <c r="M221" i="15"/>
  <c r="M207" i="15"/>
  <c r="M208" i="15"/>
  <c r="M209" i="15"/>
  <c r="M210" i="15"/>
  <c r="M211" i="15"/>
  <c r="M206" i="15"/>
  <c r="M192" i="15"/>
  <c r="M193" i="15"/>
  <c r="M194" i="15"/>
  <c r="M195" i="15"/>
  <c r="M196" i="15"/>
  <c r="M191" i="15"/>
  <c r="M177" i="15"/>
  <c r="M178" i="15"/>
  <c r="M179" i="15"/>
  <c r="M180" i="15"/>
  <c r="M181" i="15"/>
  <c r="M176" i="15"/>
  <c r="M162" i="15"/>
  <c r="M163" i="15"/>
  <c r="M164" i="15"/>
  <c r="M165" i="15"/>
  <c r="M166" i="15"/>
  <c r="M161" i="15"/>
  <c r="M147" i="15"/>
  <c r="M148" i="15"/>
  <c r="M149" i="15"/>
  <c r="M150" i="15"/>
  <c r="M151" i="15"/>
  <c r="M146" i="15"/>
  <c r="M132" i="15"/>
  <c r="M133" i="15"/>
  <c r="M134" i="15"/>
  <c r="M135" i="15"/>
  <c r="M136" i="15"/>
  <c r="M131" i="15"/>
  <c r="M117" i="15"/>
  <c r="M118" i="15"/>
  <c r="M119" i="15"/>
  <c r="M120" i="15"/>
  <c r="M121" i="15"/>
  <c r="M116" i="15"/>
  <c r="M102" i="15"/>
  <c r="M103" i="15"/>
  <c r="M104" i="15"/>
  <c r="M105" i="15"/>
  <c r="M106" i="15"/>
  <c r="M101" i="15"/>
  <c r="M87" i="15"/>
  <c r="M88" i="15"/>
  <c r="M89" i="15"/>
  <c r="M90" i="15"/>
  <c r="M91" i="15"/>
  <c r="M86" i="15"/>
  <c r="M72" i="15"/>
  <c r="M73" i="15"/>
  <c r="M74" i="15"/>
  <c r="M75" i="15"/>
  <c r="M76" i="15"/>
  <c r="M71" i="15"/>
  <c r="M57" i="15"/>
  <c r="M58" i="15"/>
  <c r="M59" i="15"/>
  <c r="M60" i="15"/>
  <c r="M61" i="15"/>
  <c r="M56" i="15"/>
  <c r="M42" i="15"/>
  <c r="M43" i="15"/>
  <c r="M44" i="15"/>
  <c r="M45" i="15"/>
  <c r="M46" i="15"/>
  <c r="M41" i="15"/>
  <c r="M27" i="15"/>
  <c r="M28" i="15"/>
  <c r="M29" i="15"/>
  <c r="M30" i="15"/>
  <c r="M31" i="15"/>
  <c r="M26" i="15"/>
  <c r="M12" i="15"/>
  <c r="M13" i="15"/>
  <c r="M14" i="15"/>
  <c r="M15" i="15"/>
  <c r="M16" i="15"/>
  <c r="M11" i="15"/>
  <c r="J281" i="1"/>
  <c r="I280" i="28" s="1"/>
  <c r="K281" i="1"/>
  <c r="J282" i="1"/>
  <c r="I281" i="28" s="1"/>
  <c r="K282" i="1"/>
  <c r="J283" i="1"/>
  <c r="I282" i="28" s="1"/>
  <c r="K283" i="1"/>
  <c r="J284" i="1"/>
  <c r="I283" i="28" s="1"/>
  <c r="K284" i="1"/>
  <c r="J285" i="1"/>
  <c r="I284" i="28" s="1"/>
  <c r="K285" i="1"/>
  <c r="K280" i="1"/>
  <c r="J280" i="1"/>
  <c r="I279" i="28" s="1"/>
  <c r="J266" i="1"/>
  <c r="I55" i="28" s="1"/>
  <c r="K266" i="1"/>
  <c r="J267" i="1"/>
  <c r="I56" i="28" s="1"/>
  <c r="K267" i="1"/>
  <c r="J268" i="1"/>
  <c r="I57" i="28" s="1"/>
  <c r="K268" i="1"/>
  <c r="J269" i="1"/>
  <c r="I58" i="28" s="1"/>
  <c r="K269" i="1"/>
  <c r="J270" i="1"/>
  <c r="I59" i="28" s="1"/>
  <c r="K270" i="1"/>
  <c r="K265" i="1"/>
  <c r="J265" i="1"/>
  <c r="I54" i="28" s="1"/>
  <c r="J251" i="1"/>
  <c r="I265" i="28" s="1"/>
  <c r="K251" i="1"/>
  <c r="J252" i="1"/>
  <c r="I266" i="28" s="1"/>
  <c r="K252" i="1"/>
  <c r="J253" i="1"/>
  <c r="I267" i="28" s="1"/>
  <c r="K253" i="1"/>
  <c r="J254" i="1"/>
  <c r="I268" i="28" s="1"/>
  <c r="K254" i="1"/>
  <c r="J255" i="1"/>
  <c r="I269" i="28" s="1"/>
  <c r="K255" i="1"/>
  <c r="K250" i="1"/>
  <c r="J250" i="1"/>
  <c r="I264" i="28" s="1"/>
  <c r="J236" i="1"/>
  <c r="I10" i="28" s="1"/>
  <c r="K236" i="1"/>
  <c r="J237" i="1"/>
  <c r="I11" i="28" s="1"/>
  <c r="K237" i="1"/>
  <c r="J238" i="1"/>
  <c r="I12" i="28" s="1"/>
  <c r="K238" i="1"/>
  <c r="J239" i="1"/>
  <c r="I13" i="28" s="1"/>
  <c r="K239" i="1"/>
  <c r="J240" i="1"/>
  <c r="I14" i="28" s="1"/>
  <c r="K240" i="1"/>
  <c r="K235" i="1"/>
  <c r="J235" i="1"/>
  <c r="I9" i="28" s="1"/>
  <c r="J221" i="1"/>
  <c r="I40" i="28" s="1"/>
  <c r="K221" i="1"/>
  <c r="J222" i="1"/>
  <c r="I41" i="28" s="1"/>
  <c r="K222" i="1"/>
  <c r="J223" i="1"/>
  <c r="I42" i="28" s="1"/>
  <c r="K223" i="1"/>
  <c r="J224" i="1"/>
  <c r="I43" i="28" s="1"/>
  <c r="K224" i="1"/>
  <c r="J225" i="1"/>
  <c r="I44" i="28" s="1"/>
  <c r="K225" i="1"/>
  <c r="K220" i="1"/>
  <c r="J220" i="1"/>
  <c r="I39" i="28" s="1"/>
  <c r="J206" i="1"/>
  <c r="I175" i="28" s="1"/>
  <c r="K206" i="1"/>
  <c r="J207" i="1"/>
  <c r="I176" i="28" s="1"/>
  <c r="K207" i="1"/>
  <c r="J208" i="1"/>
  <c r="I177" i="28" s="1"/>
  <c r="K208" i="1"/>
  <c r="J209" i="1"/>
  <c r="I178" i="28" s="1"/>
  <c r="K209" i="1"/>
  <c r="J210" i="1"/>
  <c r="I179" i="28" s="1"/>
  <c r="K210" i="1"/>
  <c r="K205" i="1"/>
  <c r="J205" i="1"/>
  <c r="I174" i="28" s="1"/>
  <c r="J191" i="1"/>
  <c r="I160" i="28" s="1"/>
  <c r="K191" i="1"/>
  <c r="J192" i="1"/>
  <c r="I161" i="28" s="1"/>
  <c r="K192" i="1"/>
  <c r="J193" i="1"/>
  <c r="I162" i="28" s="1"/>
  <c r="K193" i="1"/>
  <c r="J194" i="1"/>
  <c r="I163" i="28" s="1"/>
  <c r="K194" i="1"/>
  <c r="J195" i="1"/>
  <c r="I164" i="28" s="1"/>
  <c r="K195" i="1"/>
  <c r="K190" i="1"/>
  <c r="J190" i="1"/>
  <c r="I159" i="28" s="1"/>
  <c r="J176" i="1"/>
  <c r="I250" i="28" s="1"/>
  <c r="K176" i="1"/>
  <c r="J177" i="1"/>
  <c r="I251" i="28" s="1"/>
  <c r="K177" i="1"/>
  <c r="J178" i="1"/>
  <c r="I252" i="28" s="1"/>
  <c r="K178" i="1"/>
  <c r="J179" i="1"/>
  <c r="I253" i="28" s="1"/>
  <c r="K179" i="1"/>
  <c r="J180" i="1"/>
  <c r="I254" i="28" s="1"/>
  <c r="K180" i="1"/>
  <c r="K175" i="1"/>
  <c r="J175" i="1"/>
  <c r="I249" i="28" s="1"/>
  <c r="J161" i="1"/>
  <c r="I25" i="28" s="1"/>
  <c r="K161" i="1"/>
  <c r="J162" i="1"/>
  <c r="I26" i="28" s="1"/>
  <c r="K162" i="1"/>
  <c r="J163" i="1"/>
  <c r="I27" i="28" s="1"/>
  <c r="K163" i="1"/>
  <c r="J164" i="1"/>
  <c r="I28" i="28" s="1"/>
  <c r="K164" i="1"/>
  <c r="J165" i="1"/>
  <c r="I29" i="28" s="1"/>
  <c r="K165" i="1"/>
  <c r="K160" i="1"/>
  <c r="J160" i="1"/>
  <c r="I24" i="28" s="1"/>
  <c r="J146" i="1"/>
  <c r="I85" i="28" s="1"/>
  <c r="K146" i="1"/>
  <c r="J147" i="1"/>
  <c r="I86" i="28" s="1"/>
  <c r="K147" i="1"/>
  <c r="J148" i="1"/>
  <c r="I87" i="28" s="1"/>
  <c r="K148" i="1"/>
  <c r="J149" i="1"/>
  <c r="I88" i="28" s="1"/>
  <c r="K149" i="1"/>
  <c r="J150" i="1"/>
  <c r="I89" i="28" s="1"/>
  <c r="K150" i="1"/>
  <c r="K145" i="1"/>
  <c r="J145" i="1"/>
  <c r="I84" i="28" s="1"/>
  <c r="J131" i="1"/>
  <c r="I115" i="28" s="1"/>
  <c r="K131" i="1"/>
  <c r="J132" i="1"/>
  <c r="I116" i="28" s="1"/>
  <c r="K132" i="1"/>
  <c r="J133" i="1"/>
  <c r="I117" i="28" s="1"/>
  <c r="K133" i="1"/>
  <c r="J134" i="1"/>
  <c r="I118" i="28" s="1"/>
  <c r="K134" i="1"/>
  <c r="J135" i="1"/>
  <c r="I119" i="28" s="1"/>
  <c r="K135" i="1"/>
  <c r="K130" i="1"/>
  <c r="J130" i="1"/>
  <c r="I114" i="28" s="1"/>
  <c r="J116" i="1"/>
  <c r="I235" i="28" s="1"/>
  <c r="K116" i="1"/>
  <c r="J117" i="1"/>
  <c r="I236" i="28" s="1"/>
  <c r="K117" i="1"/>
  <c r="J118" i="1"/>
  <c r="I237" i="28" s="1"/>
  <c r="K118" i="1"/>
  <c r="J119" i="1"/>
  <c r="I238" i="28" s="1"/>
  <c r="K119" i="1"/>
  <c r="J120" i="1"/>
  <c r="I239" i="28" s="1"/>
  <c r="K120" i="1"/>
  <c r="K115" i="1"/>
  <c r="J115" i="1"/>
  <c r="I234" i="28" s="1"/>
  <c r="J101" i="1"/>
  <c r="I145" i="28" s="1"/>
  <c r="K101" i="1"/>
  <c r="J102" i="1"/>
  <c r="I146" i="28" s="1"/>
  <c r="K102" i="1"/>
  <c r="J103" i="1"/>
  <c r="I147" i="28" s="1"/>
  <c r="K103" i="1"/>
  <c r="J104" i="1"/>
  <c r="I148" i="28" s="1"/>
  <c r="K104" i="1"/>
  <c r="J105" i="1"/>
  <c r="I149" i="28" s="1"/>
  <c r="K105" i="1"/>
  <c r="K100" i="1"/>
  <c r="J100" i="1"/>
  <c r="I144" i="28" s="1"/>
  <c r="J86" i="1"/>
  <c r="I220" i="28" s="1"/>
  <c r="K86" i="1"/>
  <c r="J87" i="1"/>
  <c r="I221" i="28" s="1"/>
  <c r="K87" i="1"/>
  <c r="J88" i="1"/>
  <c r="I222" i="28" s="1"/>
  <c r="K88" i="1"/>
  <c r="J89" i="1"/>
  <c r="I223" i="28" s="1"/>
  <c r="K89" i="1"/>
  <c r="J90" i="1"/>
  <c r="I224" i="28" s="1"/>
  <c r="K90" i="1"/>
  <c r="K85" i="1"/>
  <c r="J85" i="1"/>
  <c r="I219" i="28" s="1"/>
  <c r="J78" i="1"/>
  <c r="I212" i="28" s="1"/>
  <c r="K78" i="1"/>
  <c r="J79" i="1"/>
  <c r="I213" i="28" s="1"/>
  <c r="K79" i="1"/>
  <c r="J80" i="1"/>
  <c r="I214" i="28" s="1"/>
  <c r="K80" i="1"/>
  <c r="J81" i="1"/>
  <c r="I215" i="28" s="1"/>
  <c r="K81" i="1"/>
  <c r="J82" i="1"/>
  <c r="I216" i="28" s="1"/>
  <c r="K82" i="1"/>
  <c r="J71" i="1"/>
  <c r="I100" i="28" s="1"/>
  <c r="K71" i="1"/>
  <c r="J72" i="1"/>
  <c r="I101" i="28" s="1"/>
  <c r="K72" i="1"/>
  <c r="J73" i="1"/>
  <c r="I102" i="28" s="1"/>
  <c r="K73" i="1"/>
  <c r="J74" i="1"/>
  <c r="I103" i="28" s="1"/>
  <c r="K74" i="1"/>
  <c r="J75" i="1"/>
  <c r="I104" i="28" s="1"/>
  <c r="K75" i="1"/>
  <c r="K70" i="1"/>
  <c r="J70" i="1"/>
  <c r="I99" i="28" s="1"/>
  <c r="J56" i="1"/>
  <c r="I205" i="28" s="1"/>
  <c r="K56" i="1"/>
  <c r="J57" i="1"/>
  <c r="I206" i="28" s="1"/>
  <c r="K57" i="1"/>
  <c r="J58" i="1"/>
  <c r="I207" i="28" s="1"/>
  <c r="K58" i="1"/>
  <c r="J59" i="1"/>
  <c r="I208" i="28" s="1"/>
  <c r="K59" i="1"/>
  <c r="J60" i="1"/>
  <c r="I209" i="28" s="1"/>
  <c r="K60" i="1"/>
  <c r="K55" i="1"/>
  <c r="J55" i="1"/>
  <c r="I204" i="28" s="1"/>
  <c r="J41" i="1"/>
  <c r="I130" i="28" s="1"/>
  <c r="K41" i="1"/>
  <c r="J42" i="1"/>
  <c r="I131" i="28" s="1"/>
  <c r="K42" i="1"/>
  <c r="J43" i="1"/>
  <c r="I132" i="28" s="1"/>
  <c r="K43" i="1"/>
  <c r="J44" i="1"/>
  <c r="I133" i="28" s="1"/>
  <c r="K44" i="1"/>
  <c r="J45" i="1"/>
  <c r="I134" i="28" s="1"/>
  <c r="K45" i="1"/>
  <c r="K40" i="1"/>
  <c r="J40" i="1"/>
  <c r="I129" i="28" s="1"/>
  <c r="J26" i="1"/>
  <c r="I70" i="28" s="1"/>
  <c r="K26" i="1"/>
  <c r="J27" i="1"/>
  <c r="I71" i="28" s="1"/>
  <c r="K27" i="1"/>
  <c r="J28" i="1"/>
  <c r="I72" i="28" s="1"/>
  <c r="K28" i="1"/>
  <c r="J29" i="1"/>
  <c r="I73" i="28" s="1"/>
  <c r="K29" i="1"/>
  <c r="J30" i="1"/>
  <c r="I74" i="28" s="1"/>
  <c r="K30" i="1"/>
  <c r="K25" i="1"/>
  <c r="J25" i="1"/>
  <c r="I69" i="28" s="1"/>
  <c r="J11" i="1"/>
  <c r="I190" i="28" s="1"/>
  <c r="K11" i="1"/>
  <c r="J12" i="1"/>
  <c r="I191" i="28" s="1"/>
  <c r="K12" i="1"/>
  <c r="J13" i="1"/>
  <c r="I192" i="28" s="1"/>
  <c r="K13" i="1"/>
  <c r="J14" i="1"/>
  <c r="I193" i="28" s="1"/>
  <c r="K14" i="1"/>
  <c r="J15" i="1"/>
  <c r="I194" i="28" s="1"/>
  <c r="K15" i="1"/>
  <c r="K10" i="1"/>
  <c r="J10" i="1"/>
  <c r="I189" i="28" s="1"/>
  <c r="E281" i="1"/>
  <c r="D280" i="28" s="1"/>
  <c r="E282" i="1"/>
  <c r="D281" i="28" s="1"/>
  <c r="E283" i="1"/>
  <c r="D282" i="28" s="1"/>
  <c r="E284" i="1"/>
  <c r="D283" i="28" s="1"/>
  <c r="E285" i="1"/>
  <c r="D284" i="28" s="1"/>
  <c r="E280" i="1"/>
  <c r="D279" i="28" s="1"/>
  <c r="E266" i="1"/>
  <c r="D55" i="28" s="1"/>
  <c r="E267" i="1"/>
  <c r="D56" i="28" s="1"/>
  <c r="E268" i="1"/>
  <c r="D57" i="28" s="1"/>
  <c r="E269" i="1"/>
  <c r="D58" i="28" s="1"/>
  <c r="E270" i="1"/>
  <c r="D59" i="28" s="1"/>
  <c r="E265" i="1"/>
  <c r="D54" i="28" s="1"/>
  <c r="E251" i="1"/>
  <c r="D265" i="28" s="1"/>
  <c r="E252" i="1"/>
  <c r="D266" i="28" s="1"/>
  <c r="E253" i="1"/>
  <c r="D267" i="28" s="1"/>
  <c r="E254" i="1"/>
  <c r="D268" i="28" s="1"/>
  <c r="E255" i="1"/>
  <c r="D269" i="28" s="1"/>
  <c r="E250" i="1"/>
  <c r="D264" i="28" s="1"/>
  <c r="E236" i="1"/>
  <c r="D10" i="28" s="1"/>
  <c r="E237" i="1"/>
  <c r="D11" i="28" s="1"/>
  <c r="E238" i="1"/>
  <c r="D12" i="28" s="1"/>
  <c r="E239" i="1"/>
  <c r="D13" i="28" s="1"/>
  <c r="E240" i="1"/>
  <c r="D14" i="28" s="1"/>
  <c r="E235" i="1"/>
  <c r="D9" i="28" s="1"/>
  <c r="E221" i="1"/>
  <c r="D40" i="28" s="1"/>
  <c r="E222" i="1"/>
  <c r="D41" i="28" s="1"/>
  <c r="E223" i="1"/>
  <c r="D42" i="28" s="1"/>
  <c r="E224" i="1"/>
  <c r="D43" i="28" s="1"/>
  <c r="E225" i="1"/>
  <c r="D44" i="28" s="1"/>
  <c r="E220" i="1"/>
  <c r="D39" i="28" s="1"/>
  <c r="E206" i="1"/>
  <c r="D175" i="28" s="1"/>
  <c r="E207" i="1"/>
  <c r="D176" i="28" s="1"/>
  <c r="E208" i="1"/>
  <c r="D177" i="28" s="1"/>
  <c r="E209" i="1"/>
  <c r="D178" i="28" s="1"/>
  <c r="E210" i="1"/>
  <c r="D179" i="28" s="1"/>
  <c r="E205" i="1"/>
  <c r="D174" i="28" s="1"/>
  <c r="E191" i="1"/>
  <c r="D160" i="28" s="1"/>
  <c r="E192" i="1"/>
  <c r="D161" i="28" s="1"/>
  <c r="E193" i="1"/>
  <c r="D162" i="28" s="1"/>
  <c r="E194" i="1"/>
  <c r="D163" i="28" s="1"/>
  <c r="E195" i="1"/>
  <c r="D164" i="28" s="1"/>
  <c r="E190" i="1"/>
  <c r="D159" i="28" s="1"/>
  <c r="E176" i="1"/>
  <c r="D250" i="28" s="1"/>
  <c r="E177" i="1"/>
  <c r="D251" i="28" s="1"/>
  <c r="E178" i="1"/>
  <c r="D252" i="28" s="1"/>
  <c r="E179" i="1"/>
  <c r="D253" i="28" s="1"/>
  <c r="E180" i="1"/>
  <c r="D254" i="28" s="1"/>
  <c r="E175" i="1"/>
  <c r="D249" i="28" s="1"/>
  <c r="E161" i="1"/>
  <c r="D25" i="28" s="1"/>
  <c r="E162" i="1"/>
  <c r="D26" i="28" s="1"/>
  <c r="E163" i="1"/>
  <c r="D27" i="28" s="1"/>
  <c r="E164" i="1"/>
  <c r="D28" i="28" s="1"/>
  <c r="E165" i="1"/>
  <c r="D29" i="28" s="1"/>
  <c r="E160" i="1"/>
  <c r="D24" i="28" s="1"/>
  <c r="E146" i="1"/>
  <c r="D85" i="28" s="1"/>
  <c r="E147" i="1"/>
  <c r="D86" i="28" s="1"/>
  <c r="E148" i="1"/>
  <c r="D87" i="28" s="1"/>
  <c r="E149" i="1"/>
  <c r="D88" i="28" s="1"/>
  <c r="E150" i="1"/>
  <c r="D89" i="28" s="1"/>
  <c r="E145" i="1"/>
  <c r="D84" i="28" s="1"/>
  <c r="E131" i="1"/>
  <c r="D115" i="28" s="1"/>
  <c r="E132" i="1"/>
  <c r="D116" i="28" s="1"/>
  <c r="E133" i="1"/>
  <c r="D117" i="28" s="1"/>
  <c r="E134" i="1"/>
  <c r="D118" i="28" s="1"/>
  <c r="E135" i="1"/>
  <c r="D119" i="28" s="1"/>
  <c r="E130" i="1"/>
  <c r="D114" i="28" s="1"/>
  <c r="E116" i="1"/>
  <c r="D235" i="28" s="1"/>
  <c r="E117" i="1"/>
  <c r="D236" i="28" s="1"/>
  <c r="E118" i="1"/>
  <c r="D237" i="28" s="1"/>
  <c r="E119" i="1"/>
  <c r="D238" i="28" s="1"/>
  <c r="E120" i="1"/>
  <c r="D239" i="28" s="1"/>
  <c r="E115" i="1"/>
  <c r="D234" i="28" s="1"/>
  <c r="E101" i="1"/>
  <c r="D145" i="28" s="1"/>
  <c r="E102" i="1"/>
  <c r="D146" i="28" s="1"/>
  <c r="E103" i="1"/>
  <c r="D147" i="28" s="1"/>
  <c r="E104" i="1"/>
  <c r="D148" i="28" s="1"/>
  <c r="E105" i="1"/>
  <c r="D149" i="28" s="1"/>
  <c r="E100" i="1"/>
  <c r="D144" i="28" s="1"/>
  <c r="E86" i="1"/>
  <c r="D220" i="28" s="1"/>
  <c r="E87" i="1"/>
  <c r="D221" i="28" s="1"/>
  <c r="E88" i="1"/>
  <c r="D222" i="28" s="1"/>
  <c r="E89" i="1"/>
  <c r="D223" i="28" s="1"/>
  <c r="E90" i="1"/>
  <c r="D224" i="28" s="1"/>
  <c r="E85" i="1"/>
  <c r="D219" i="28" s="1"/>
  <c r="E71" i="1"/>
  <c r="D100" i="28" s="1"/>
  <c r="E72" i="1"/>
  <c r="D101" i="28" s="1"/>
  <c r="E73" i="1"/>
  <c r="D102" i="28" s="1"/>
  <c r="E74" i="1"/>
  <c r="D103" i="28" s="1"/>
  <c r="E75" i="1"/>
  <c r="D104" i="28" s="1"/>
  <c r="E70" i="1"/>
  <c r="D99" i="28" s="1"/>
  <c r="E56" i="1"/>
  <c r="D205" i="28" s="1"/>
  <c r="E57" i="1"/>
  <c r="D206" i="28" s="1"/>
  <c r="E58" i="1"/>
  <c r="D207" i="28" s="1"/>
  <c r="E59" i="1"/>
  <c r="D208" i="28" s="1"/>
  <c r="E60" i="1"/>
  <c r="D209" i="28" s="1"/>
  <c r="E55" i="1"/>
  <c r="D204" i="28" s="1"/>
  <c r="E41" i="1"/>
  <c r="D130" i="28" s="1"/>
  <c r="E42" i="1"/>
  <c r="D131" i="28" s="1"/>
  <c r="E43" i="1"/>
  <c r="D132" i="28" s="1"/>
  <c r="E44" i="1"/>
  <c r="D133" i="28" s="1"/>
  <c r="E45" i="1"/>
  <c r="D134" i="28" s="1"/>
  <c r="E40" i="1"/>
  <c r="D129" i="28" s="1"/>
  <c r="E26" i="1"/>
  <c r="D70" i="28" s="1"/>
  <c r="E27" i="1"/>
  <c r="D71" i="28" s="1"/>
  <c r="E28" i="1"/>
  <c r="D72" i="28" s="1"/>
  <c r="E29" i="1"/>
  <c r="D73" i="28" s="1"/>
  <c r="E30" i="1"/>
  <c r="D74" i="28" s="1"/>
  <c r="E25" i="1"/>
  <c r="D69" i="28" s="1"/>
  <c r="E11" i="1"/>
  <c r="D190" i="28" s="1"/>
  <c r="E12" i="1"/>
  <c r="D191" i="28" s="1"/>
  <c r="E13" i="1"/>
  <c r="D192" i="28" s="1"/>
  <c r="E14" i="1"/>
  <c r="D193" i="28" s="1"/>
  <c r="E15" i="1"/>
  <c r="D194" i="28" s="1"/>
  <c r="E10" i="1"/>
  <c r="D189" i="28" s="1"/>
  <c r="N259" i="1"/>
  <c r="N260" i="1"/>
  <c r="N261" i="1"/>
  <c r="N262" i="1"/>
  <c r="N263" i="1"/>
  <c r="N264" i="1"/>
  <c r="N258" i="1"/>
  <c r="M259" i="1"/>
  <c r="O259" i="1" s="1"/>
  <c r="M260" i="1"/>
  <c r="O260" i="1" s="1"/>
  <c r="M261" i="1"/>
  <c r="O261" i="1" s="1"/>
  <c r="M262" i="1"/>
  <c r="O262" i="1" s="1"/>
  <c r="M263" i="1"/>
  <c r="O263" i="1" s="1"/>
  <c r="M264" i="1"/>
  <c r="O264" i="1" s="1"/>
  <c r="M265" i="1"/>
  <c r="M266" i="1"/>
  <c r="M258" i="1"/>
  <c r="O258" i="1" s="1"/>
  <c r="J259" i="1"/>
  <c r="I48" i="28" s="1"/>
  <c r="K259" i="1"/>
  <c r="J260" i="1"/>
  <c r="I49" i="28" s="1"/>
  <c r="K260" i="1"/>
  <c r="J261" i="1"/>
  <c r="I50" i="28" s="1"/>
  <c r="K261" i="1"/>
  <c r="J262" i="1"/>
  <c r="I51" i="28" s="1"/>
  <c r="K262" i="1"/>
  <c r="J263" i="1"/>
  <c r="I52" i="28" s="1"/>
  <c r="K263" i="1"/>
  <c r="J264" i="1"/>
  <c r="I53" i="28" s="1"/>
  <c r="K264" i="1"/>
  <c r="K258" i="1"/>
  <c r="J258" i="1"/>
  <c r="I47" i="28" s="1"/>
  <c r="M20" i="15"/>
  <c r="M21" i="15"/>
  <c r="M22" i="15"/>
  <c r="M23" i="15"/>
  <c r="M24" i="15"/>
  <c r="M25" i="15"/>
  <c r="M19" i="15"/>
  <c r="M278" i="15"/>
  <c r="M279" i="15"/>
  <c r="M280" i="15"/>
  <c r="M277" i="15"/>
  <c r="N277" i="1"/>
  <c r="N278" i="1"/>
  <c r="N279" i="1"/>
  <c r="N276" i="1"/>
  <c r="M277" i="1"/>
  <c r="O277" i="1" s="1"/>
  <c r="M278" i="1"/>
  <c r="O278" i="1" s="1"/>
  <c r="M279" i="1"/>
  <c r="M280" i="1"/>
  <c r="O280" i="1" s="1"/>
  <c r="M281" i="1"/>
  <c r="M276" i="1"/>
  <c r="O276" i="1" s="1"/>
  <c r="J277" i="1"/>
  <c r="I276" i="28" s="1"/>
  <c r="K277" i="1"/>
  <c r="J278" i="1"/>
  <c r="I277" i="28" s="1"/>
  <c r="K278" i="1"/>
  <c r="J279" i="1"/>
  <c r="I278" i="28" s="1"/>
  <c r="K279" i="1"/>
  <c r="K276" i="1"/>
  <c r="J276" i="1"/>
  <c r="I275" i="28" s="1"/>
  <c r="M260" i="15"/>
  <c r="M261" i="15"/>
  <c r="M262" i="15"/>
  <c r="M263" i="15"/>
  <c r="M264" i="15"/>
  <c r="M265" i="15"/>
  <c r="M259" i="15"/>
  <c r="M245" i="15"/>
  <c r="M246" i="15"/>
  <c r="M247" i="15"/>
  <c r="M248" i="15"/>
  <c r="M249" i="15"/>
  <c r="M250" i="15"/>
  <c r="M244" i="15"/>
  <c r="N244" i="1"/>
  <c r="N245" i="1"/>
  <c r="N246" i="1"/>
  <c r="N247" i="1"/>
  <c r="N248" i="1"/>
  <c r="N249" i="1"/>
  <c r="N243" i="1"/>
  <c r="M244" i="1"/>
  <c r="O244" i="1" s="1"/>
  <c r="M245" i="1"/>
  <c r="O245" i="1" s="1"/>
  <c r="M246" i="1"/>
  <c r="O246" i="1" s="1"/>
  <c r="M247" i="1"/>
  <c r="O247" i="1" s="1"/>
  <c r="M248" i="1"/>
  <c r="O248" i="1" s="1"/>
  <c r="M249" i="1"/>
  <c r="M250" i="1"/>
  <c r="O250" i="1" s="1"/>
  <c r="M251" i="1"/>
  <c r="M243" i="1"/>
  <c r="O243" i="1" s="1"/>
  <c r="J244" i="1"/>
  <c r="I258" i="28" s="1"/>
  <c r="K244" i="1"/>
  <c r="J245" i="1"/>
  <c r="I259" i="28" s="1"/>
  <c r="K245" i="1"/>
  <c r="J246" i="1"/>
  <c r="I260" i="28" s="1"/>
  <c r="K246" i="1"/>
  <c r="J247" i="1"/>
  <c r="I261" i="28" s="1"/>
  <c r="K247" i="1"/>
  <c r="J248" i="1"/>
  <c r="I262" i="28" s="1"/>
  <c r="K248" i="1"/>
  <c r="J249" i="1"/>
  <c r="I263" i="28" s="1"/>
  <c r="K249" i="1"/>
  <c r="K243" i="1"/>
  <c r="J243" i="1"/>
  <c r="I257" i="28" s="1"/>
  <c r="M230" i="15"/>
  <c r="M290" i="15" s="1"/>
  <c r="M231" i="15"/>
  <c r="M291" i="15" s="1"/>
  <c r="M232" i="15"/>
  <c r="M233" i="15"/>
  <c r="M234" i="15"/>
  <c r="M235" i="15"/>
  <c r="M229" i="15"/>
  <c r="M289" i="15" s="1"/>
  <c r="N229" i="1"/>
  <c r="N230" i="1"/>
  <c r="N231" i="1"/>
  <c r="N232" i="1"/>
  <c r="N233" i="1"/>
  <c r="N234" i="1"/>
  <c r="N228" i="1"/>
  <c r="M229" i="1"/>
  <c r="O229" i="1" s="1"/>
  <c r="M230" i="1"/>
  <c r="O230" i="1" s="1"/>
  <c r="M231" i="1"/>
  <c r="O231" i="1" s="1"/>
  <c r="M232" i="1"/>
  <c r="O232" i="1" s="1"/>
  <c r="M233" i="1"/>
  <c r="O233" i="1" s="1"/>
  <c r="M234" i="1"/>
  <c r="O234" i="1" s="1"/>
  <c r="M235" i="1"/>
  <c r="O235" i="1" s="1"/>
  <c r="M236" i="1"/>
  <c r="M228" i="1"/>
  <c r="O228" i="1" s="1"/>
  <c r="J229" i="1"/>
  <c r="K229" i="1"/>
  <c r="J230" i="1"/>
  <c r="K230" i="1"/>
  <c r="J231" i="1"/>
  <c r="I5" i="28" s="1"/>
  <c r="K231" i="1"/>
  <c r="J232" i="1"/>
  <c r="I6" i="28" s="1"/>
  <c r="K232" i="1"/>
  <c r="J233" i="1"/>
  <c r="I7" i="28" s="1"/>
  <c r="K233" i="1"/>
  <c r="J234" i="1"/>
  <c r="I8" i="28" s="1"/>
  <c r="K234" i="1"/>
  <c r="K228" i="1"/>
  <c r="J228" i="1"/>
  <c r="M215" i="15"/>
  <c r="M216" i="15"/>
  <c r="M217" i="15"/>
  <c r="M218" i="15"/>
  <c r="M219" i="15"/>
  <c r="M220" i="15"/>
  <c r="M214" i="15"/>
  <c r="N214" i="1"/>
  <c r="N215" i="1"/>
  <c r="N216" i="1"/>
  <c r="N217" i="1"/>
  <c r="N218" i="1"/>
  <c r="N219" i="1"/>
  <c r="N213" i="1"/>
  <c r="M214" i="1"/>
  <c r="O214" i="1" s="1"/>
  <c r="M215" i="1"/>
  <c r="O215" i="1" s="1"/>
  <c r="M216" i="1"/>
  <c r="O216" i="1" s="1"/>
  <c r="M217" i="1"/>
  <c r="O217" i="1" s="1"/>
  <c r="M218" i="1"/>
  <c r="O218" i="1" s="1"/>
  <c r="M219" i="1"/>
  <c r="M220" i="1"/>
  <c r="O220" i="1" s="1"/>
  <c r="M221" i="1"/>
  <c r="M213" i="1"/>
  <c r="O213" i="1" s="1"/>
  <c r="J214" i="1"/>
  <c r="I33" i="28" s="1"/>
  <c r="K214" i="1"/>
  <c r="J215" i="1"/>
  <c r="I34" i="28" s="1"/>
  <c r="K215" i="1"/>
  <c r="J216" i="1"/>
  <c r="I35" i="28" s="1"/>
  <c r="K216" i="1"/>
  <c r="J217" i="1"/>
  <c r="I36" i="28" s="1"/>
  <c r="K217" i="1"/>
  <c r="J218" i="1"/>
  <c r="I37" i="28" s="1"/>
  <c r="K218" i="1"/>
  <c r="J219" i="1"/>
  <c r="I38" i="28" s="1"/>
  <c r="K219" i="1"/>
  <c r="K213" i="1"/>
  <c r="J213" i="1"/>
  <c r="I32" i="28" s="1"/>
  <c r="M200" i="15"/>
  <c r="M201" i="15"/>
  <c r="M202" i="15"/>
  <c r="M203" i="15"/>
  <c r="M204" i="15"/>
  <c r="M205" i="15"/>
  <c r="M199" i="15"/>
  <c r="N199" i="1"/>
  <c r="N200" i="1"/>
  <c r="N201" i="1"/>
  <c r="N202" i="1"/>
  <c r="N203" i="1"/>
  <c r="N204" i="1"/>
  <c r="N198" i="1"/>
  <c r="M199" i="1"/>
  <c r="O199" i="1" s="1"/>
  <c r="M200" i="1"/>
  <c r="O200" i="1" s="1"/>
  <c r="M201" i="1"/>
  <c r="O201" i="1" s="1"/>
  <c r="M202" i="1"/>
  <c r="O202" i="1" s="1"/>
  <c r="M203" i="1"/>
  <c r="O203" i="1" s="1"/>
  <c r="M204" i="1"/>
  <c r="O204" i="1" s="1"/>
  <c r="M205" i="1"/>
  <c r="O205" i="1" s="1"/>
  <c r="M206" i="1"/>
  <c r="M198" i="1"/>
  <c r="O198" i="1" s="1"/>
  <c r="J199" i="1"/>
  <c r="I168" i="28" s="1"/>
  <c r="K199" i="1"/>
  <c r="J200" i="1"/>
  <c r="I169" i="28" s="1"/>
  <c r="K200" i="1"/>
  <c r="J201" i="1"/>
  <c r="I170" i="28" s="1"/>
  <c r="K201" i="1"/>
  <c r="J202" i="1"/>
  <c r="I171" i="28" s="1"/>
  <c r="K202" i="1"/>
  <c r="J203" i="1"/>
  <c r="I172" i="28" s="1"/>
  <c r="K203" i="1"/>
  <c r="J204" i="1"/>
  <c r="I173" i="28" s="1"/>
  <c r="K204" i="1"/>
  <c r="K198" i="1"/>
  <c r="J198" i="1"/>
  <c r="I167" i="28" s="1"/>
  <c r="M185" i="15"/>
  <c r="M186" i="15"/>
  <c r="M187" i="15"/>
  <c r="M188" i="15"/>
  <c r="M189" i="15"/>
  <c r="M190" i="15"/>
  <c r="M184" i="15"/>
  <c r="N184" i="1"/>
  <c r="N185" i="1"/>
  <c r="N186" i="1"/>
  <c r="N187" i="1"/>
  <c r="N188" i="1"/>
  <c r="N189" i="1"/>
  <c r="N183" i="1"/>
  <c r="M184" i="1"/>
  <c r="O184" i="1" s="1"/>
  <c r="M185" i="1"/>
  <c r="O185" i="1" s="1"/>
  <c r="M186" i="1"/>
  <c r="O186" i="1" s="1"/>
  <c r="M187" i="1"/>
  <c r="O187" i="1" s="1"/>
  <c r="M188" i="1"/>
  <c r="O188" i="1" s="1"/>
  <c r="M189" i="1"/>
  <c r="M190" i="1"/>
  <c r="O190" i="1" s="1"/>
  <c r="M191" i="1"/>
  <c r="M183" i="1"/>
  <c r="O183" i="1" s="1"/>
  <c r="J184" i="1"/>
  <c r="I153" i="28" s="1"/>
  <c r="K184" i="1"/>
  <c r="J185" i="1"/>
  <c r="I154" i="28" s="1"/>
  <c r="K185" i="1"/>
  <c r="J186" i="1"/>
  <c r="I155" i="28" s="1"/>
  <c r="K186" i="1"/>
  <c r="J187" i="1"/>
  <c r="I156" i="28" s="1"/>
  <c r="K187" i="1"/>
  <c r="J188" i="1"/>
  <c r="I157" i="28" s="1"/>
  <c r="K188" i="1"/>
  <c r="J189" i="1"/>
  <c r="I158" i="28" s="1"/>
  <c r="K189" i="1"/>
  <c r="K183" i="1"/>
  <c r="J183" i="1"/>
  <c r="I152" i="28" s="1"/>
  <c r="I204" i="1" l="1"/>
  <c r="H173" i="28" s="1"/>
  <c r="I216" i="1"/>
  <c r="H35" i="28" s="1"/>
  <c r="I232" i="1"/>
  <c r="I248" i="1"/>
  <c r="H262" i="28" s="1"/>
  <c r="I264" i="1"/>
  <c r="H53" i="28" s="1"/>
  <c r="I188" i="1"/>
  <c r="H157" i="28" s="1"/>
  <c r="I200" i="1"/>
  <c r="H169" i="28" s="1"/>
  <c r="I260" i="1"/>
  <c r="H49" i="28" s="1"/>
  <c r="F286" i="18"/>
  <c r="F301" i="18" s="1"/>
  <c r="F316" i="18" s="1"/>
  <c r="E153" i="25"/>
  <c r="M299" i="15"/>
  <c r="M301" i="15"/>
  <c r="M292" i="15"/>
  <c r="M296" i="15"/>
  <c r="M298" i="15"/>
  <c r="M295" i="15"/>
  <c r="M297" i="15"/>
  <c r="M294" i="15"/>
  <c r="M300" i="15"/>
  <c r="M293" i="15"/>
  <c r="I246" i="1"/>
  <c r="H260" i="28" s="1"/>
  <c r="L100" i="1"/>
  <c r="J144" i="28" s="1"/>
  <c r="L130" i="1"/>
  <c r="J114" i="28" s="1"/>
  <c r="L160" i="1"/>
  <c r="J24" i="28" s="1"/>
  <c r="L205" i="1"/>
  <c r="J174" i="28" s="1"/>
  <c r="L220" i="1"/>
  <c r="J39" i="28" s="1"/>
  <c r="L235" i="1"/>
  <c r="J9" i="28" s="1"/>
  <c r="L250" i="1"/>
  <c r="J264" i="28" s="1"/>
  <c r="L265" i="1"/>
  <c r="J54" i="28" s="1"/>
  <c r="L280" i="1"/>
  <c r="J279" i="28" s="1"/>
  <c r="I171" i="1"/>
  <c r="H245" i="28" s="1"/>
  <c r="I186" i="1"/>
  <c r="H155" i="28" s="1"/>
  <c r="I202" i="1"/>
  <c r="H171" i="28" s="1"/>
  <c r="I230" i="1"/>
  <c r="I279" i="1"/>
  <c r="H278" i="28" s="1"/>
  <c r="L85" i="1"/>
  <c r="J219" i="28" s="1"/>
  <c r="L115" i="1"/>
  <c r="J234" i="28" s="1"/>
  <c r="L145" i="1"/>
  <c r="J84" i="28" s="1"/>
  <c r="L175" i="1"/>
  <c r="J249" i="28" s="1"/>
  <c r="L190" i="1"/>
  <c r="J159" i="28" s="1"/>
  <c r="I214" i="1"/>
  <c r="H33" i="28" s="1"/>
  <c r="I169" i="1"/>
  <c r="H243" i="28" s="1"/>
  <c r="O191" i="1"/>
  <c r="O192" i="1" s="1"/>
  <c r="O193" i="1" s="1"/>
  <c r="O194" i="1" s="1"/>
  <c r="O195" i="1" s="1"/>
  <c r="O196" i="1" s="1"/>
  <c r="I218" i="1"/>
  <c r="H37" i="28" s="1"/>
  <c r="I234" i="1"/>
  <c r="H8" i="28" s="1"/>
  <c r="O251" i="1"/>
  <c r="O252" i="1" s="1"/>
  <c r="O253" i="1" s="1"/>
  <c r="O254" i="1" s="1"/>
  <c r="O255" i="1" s="1"/>
  <c r="O256" i="1" s="1"/>
  <c r="I262" i="1"/>
  <c r="H51" i="28" s="1"/>
  <c r="L189" i="1"/>
  <c r="J158" i="28" s="1"/>
  <c r="L187" i="1"/>
  <c r="J156" i="28" s="1"/>
  <c r="L185" i="1"/>
  <c r="J154" i="28" s="1"/>
  <c r="L218" i="1"/>
  <c r="J37" i="28" s="1"/>
  <c r="L216" i="1"/>
  <c r="J35" i="28" s="1"/>
  <c r="L214" i="1"/>
  <c r="J33" i="28" s="1"/>
  <c r="O221" i="1"/>
  <c r="O222" i="1" s="1"/>
  <c r="O223" i="1" s="1"/>
  <c r="O224" i="1" s="1"/>
  <c r="O225" i="1" s="1"/>
  <c r="O226" i="1" s="1"/>
  <c r="I229" i="1"/>
  <c r="L249" i="1"/>
  <c r="J263" i="28" s="1"/>
  <c r="L247" i="1"/>
  <c r="J261" i="28" s="1"/>
  <c r="L245" i="1"/>
  <c r="J259" i="28" s="1"/>
  <c r="L279" i="1"/>
  <c r="J278" i="28" s="1"/>
  <c r="L277" i="1"/>
  <c r="J276" i="28" s="1"/>
  <c r="O281" i="1"/>
  <c r="O282" i="1" s="1"/>
  <c r="O283" i="1" s="1"/>
  <c r="O284" i="1" s="1"/>
  <c r="O285" i="1" s="1"/>
  <c r="O286" i="1" s="1"/>
  <c r="H101" i="28"/>
  <c r="I184" i="1"/>
  <c r="H153" i="28" s="1"/>
  <c r="I187" i="1"/>
  <c r="H156" i="28" s="1"/>
  <c r="L204" i="1"/>
  <c r="J173" i="28" s="1"/>
  <c r="L202" i="1"/>
  <c r="J171" i="28" s="1"/>
  <c r="L200" i="1"/>
  <c r="J169" i="28" s="1"/>
  <c r="I203" i="1"/>
  <c r="H172" i="28" s="1"/>
  <c r="I219" i="1"/>
  <c r="H38" i="28" s="1"/>
  <c r="I215" i="1"/>
  <c r="H34" i="28" s="1"/>
  <c r="L233" i="1"/>
  <c r="J7" i="28" s="1"/>
  <c r="L231" i="1"/>
  <c r="J5" i="28" s="1"/>
  <c r="I244" i="1"/>
  <c r="H258" i="28" s="1"/>
  <c r="I247" i="1"/>
  <c r="H261" i="28" s="1"/>
  <c r="L264" i="1"/>
  <c r="J53" i="28" s="1"/>
  <c r="L262" i="1"/>
  <c r="J51" i="28" s="1"/>
  <c r="L260" i="1"/>
  <c r="J49" i="28" s="1"/>
  <c r="I263" i="1"/>
  <c r="H52" i="28" s="1"/>
  <c r="I172" i="1"/>
  <c r="H246" i="28" s="1"/>
  <c r="I199" i="1"/>
  <c r="H168" i="28" s="1"/>
  <c r="I259" i="1"/>
  <c r="H48" i="28" s="1"/>
  <c r="L183" i="1"/>
  <c r="J152" i="28" s="1"/>
  <c r="I189" i="1"/>
  <c r="H158" i="28" s="1"/>
  <c r="I185" i="1"/>
  <c r="H154" i="28" s="1"/>
  <c r="L203" i="1"/>
  <c r="J172" i="28" s="1"/>
  <c r="L201" i="1"/>
  <c r="J170" i="28" s="1"/>
  <c r="L199" i="1"/>
  <c r="J168" i="28" s="1"/>
  <c r="O206" i="1"/>
  <c r="O207" i="1" s="1"/>
  <c r="O208" i="1" s="1"/>
  <c r="O209" i="1" s="1"/>
  <c r="O210" i="1" s="1"/>
  <c r="O211" i="1" s="1"/>
  <c r="I201" i="1"/>
  <c r="H170" i="28" s="1"/>
  <c r="I217" i="1"/>
  <c r="H36" i="28" s="1"/>
  <c r="L234" i="1"/>
  <c r="J8" i="28" s="1"/>
  <c r="L232" i="1"/>
  <c r="J6" i="28" s="1"/>
  <c r="I233" i="1"/>
  <c r="H7" i="28" s="1"/>
  <c r="L243" i="1"/>
  <c r="J257" i="28" s="1"/>
  <c r="I249" i="1"/>
  <c r="H263" i="28" s="1"/>
  <c r="I245" i="1"/>
  <c r="H259" i="28" s="1"/>
  <c r="L276" i="1"/>
  <c r="J275" i="28" s="1"/>
  <c r="I278" i="1"/>
  <c r="H277" i="28" s="1"/>
  <c r="L263" i="1"/>
  <c r="J52" i="28" s="1"/>
  <c r="L261" i="1"/>
  <c r="J50" i="28" s="1"/>
  <c r="L259" i="1"/>
  <c r="J48" i="28" s="1"/>
  <c r="I261" i="1"/>
  <c r="H50" i="28" s="1"/>
  <c r="L14" i="1"/>
  <c r="J193" i="28" s="1"/>
  <c r="L12" i="1"/>
  <c r="J191" i="28" s="1"/>
  <c r="L29" i="1"/>
  <c r="J73" i="28" s="1"/>
  <c r="L27" i="1"/>
  <c r="J71" i="28" s="1"/>
  <c r="L44" i="1"/>
  <c r="J133" i="28" s="1"/>
  <c r="L42" i="1"/>
  <c r="J131" i="28" s="1"/>
  <c r="L59" i="1"/>
  <c r="J208" i="28" s="1"/>
  <c r="L57" i="1"/>
  <c r="J206" i="28" s="1"/>
  <c r="L74" i="1"/>
  <c r="J103" i="28" s="1"/>
  <c r="L72" i="1"/>
  <c r="J101" i="28" s="1"/>
  <c r="L82" i="1"/>
  <c r="J216" i="28" s="1"/>
  <c r="L80" i="1"/>
  <c r="J214" i="28" s="1"/>
  <c r="L78" i="1"/>
  <c r="J212" i="28" s="1"/>
  <c r="L90" i="1"/>
  <c r="J224" i="28" s="1"/>
  <c r="L88" i="1"/>
  <c r="J222" i="28" s="1"/>
  <c r="L86" i="1"/>
  <c r="J220" i="28" s="1"/>
  <c r="L105" i="1"/>
  <c r="J149" i="28" s="1"/>
  <c r="L103" i="1"/>
  <c r="J147" i="28" s="1"/>
  <c r="L101" i="1"/>
  <c r="J145" i="28" s="1"/>
  <c r="L120" i="1"/>
  <c r="J239" i="28" s="1"/>
  <c r="L118" i="1"/>
  <c r="J237" i="28" s="1"/>
  <c r="L116" i="1"/>
  <c r="J235" i="28" s="1"/>
  <c r="L135" i="1"/>
  <c r="J119" i="28" s="1"/>
  <c r="L133" i="1"/>
  <c r="J117" i="28" s="1"/>
  <c r="L131" i="1"/>
  <c r="J115" i="28" s="1"/>
  <c r="L150" i="1"/>
  <c r="J89" i="28" s="1"/>
  <c r="L148" i="1"/>
  <c r="J87" i="28" s="1"/>
  <c r="L146" i="1"/>
  <c r="J85" i="28" s="1"/>
  <c r="L165" i="1"/>
  <c r="J29" i="28" s="1"/>
  <c r="L163" i="1"/>
  <c r="J27" i="28" s="1"/>
  <c r="L161" i="1"/>
  <c r="J25" i="28" s="1"/>
  <c r="L180" i="1"/>
  <c r="J254" i="28" s="1"/>
  <c r="L178" i="1"/>
  <c r="J252" i="28" s="1"/>
  <c r="L176" i="1"/>
  <c r="J250" i="28" s="1"/>
  <c r="L195" i="1"/>
  <c r="J164" i="28" s="1"/>
  <c r="L193" i="1"/>
  <c r="J162" i="28" s="1"/>
  <c r="L191" i="1"/>
  <c r="J160" i="28" s="1"/>
  <c r="L210" i="1"/>
  <c r="J179" i="28" s="1"/>
  <c r="L208" i="1"/>
  <c r="J177" i="28" s="1"/>
  <c r="L206" i="1"/>
  <c r="J175" i="28" s="1"/>
  <c r="L225" i="1"/>
  <c r="J44" i="28" s="1"/>
  <c r="L223" i="1"/>
  <c r="J42" i="28" s="1"/>
  <c r="L221" i="1"/>
  <c r="J40" i="28" s="1"/>
  <c r="L240" i="1"/>
  <c r="J14" i="28" s="1"/>
  <c r="L238" i="1"/>
  <c r="J12" i="28" s="1"/>
  <c r="L236" i="1"/>
  <c r="J10" i="28" s="1"/>
  <c r="L255" i="1"/>
  <c r="J269" i="28" s="1"/>
  <c r="L253" i="1"/>
  <c r="J267" i="28" s="1"/>
  <c r="L251" i="1"/>
  <c r="J265" i="28" s="1"/>
  <c r="L270" i="1"/>
  <c r="J59" i="28" s="1"/>
  <c r="L268" i="1"/>
  <c r="J57" i="28" s="1"/>
  <c r="L266" i="1"/>
  <c r="J55" i="28" s="1"/>
  <c r="L285" i="1"/>
  <c r="J284" i="28" s="1"/>
  <c r="L283" i="1"/>
  <c r="J282" i="28" s="1"/>
  <c r="L281" i="1"/>
  <c r="J280" i="28" s="1"/>
  <c r="I173" i="1"/>
  <c r="H247" i="28" s="1"/>
  <c r="H6" i="28"/>
  <c r="I231" i="1"/>
  <c r="H5" i="28" s="1"/>
  <c r="F276" i="28"/>
  <c r="H277" i="1"/>
  <c r="H278" i="1" s="1"/>
  <c r="H279" i="1" s="1"/>
  <c r="F277" i="28"/>
  <c r="F278" i="28"/>
  <c r="F275" i="28"/>
  <c r="F5" i="28"/>
  <c r="E189" i="1"/>
  <c r="O189" i="1"/>
  <c r="L198" i="1"/>
  <c r="J167" i="28" s="1"/>
  <c r="I4" i="28"/>
  <c r="J4" i="28" s="1"/>
  <c r="I274" i="28"/>
  <c r="J274" i="28" s="1"/>
  <c r="I170" i="1"/>
  <c r="H244" i="28" s="1"/>
  <c r="I174" i="1"/>
  <c r="H248" i="28" s="1"/>
  <c r="E264" i="1"/>
  <c r="O265" i="1"/>
  <c r="O266" i="1" s="1"/>
  <c r="O267" i="1" s="1"/>
  <c r="O268" i="1" s="1"/>
  <c r="O269" i="1" s="1"/>
  <c r="O270" i="1" s="1"/>
  <c r="O271" i="1" s="1"/>
  <c r="I277" i="1"/>
  <c r="L213" i="1"/>
  <c r="J32" i="28" s="1"/>
  <c r="E219" i="1"/>
  <c r="O219" i="1"/>
  <c r="I2" i="28"/>
  <c r="J2" i="28" s="1"/>
  <c r="I272" i="28"/>
  <c r="J272" i="28" s="1"/>
  <c r="L229" i="1"/>
  <c r="O236" i="1"/>
  <c r="O237" i="1" s="1"/>
  <c r="O238" i="1" s="1"/>
  <c r="O239" i="1" s="1"/>
  <c r="O240" i="1" s="1"/>
  <c r="O241" i="1" s="1"/>
  <c r="N290" i="15"/>
  <c r="N289" i="15" s="1"/>
  <c r="E279" i="1"/>
  <c r="O279" i="1"/>
  <c r="L10" i="1"/>
  <c r="J189" i="28" s="1"/>
  <c r="L25" i="1"/>
  <c r="J69" i="28" s="1"/>
  <c r="L40" i="1"/>
  <c r="J129" i="28" s="1"/>
  <c r="L55" i="1"/>
  <c r="J204" i="28" s="1"/>
  <c r="L70" i="1"/>
  <c r="J99" i="28" s="1"/>
  <c r="L230" i="1"/>
  <c r="E249" i="1"/>
  <c r="O249" i="1"/>
  <c r="E204" i="1"/>
  <c r="D173" i="28" s="1"/>
  <c r="F4" i="28"/>
  <c r="F274" i="28"/>
  <c r="L258" i="1"/>
  <c r="J47" i="28" s="1"/>
  <c r="L188" i="1"/>
  <c r="J157" i="28" s="1"/>
  <c r="L186" i="1"/>
  <c r="J155" i="28" s="1"/>
  <c r="L184" i="1"/>
  <c r="J153" i="28" s="1"/>
  <c r="L219" i="1"/>
  <c r="J38" i="28" s="1"/>
  <c r="L217" i="1"/>
  <c r="J36" i="28" s="1"/>
  <c r="L215" i="1"/>
  <c r="J34" i="28" s="1"/>
  <c r="L228" i="1"/>
  <c r="I273" i="28"/>
  <c r="J273" i="28" s="1"/>
  <c r="I3" i="28"/>
  <c r="J3" i="28" s="1"/>
  <c r="L248" i="1"/>
  <c r="J262" i="28" s="1"/>
  <c r="L246" i="1"/>
  <c r="J260" i="28" s="1"/>
  <c r="L244" i="1"/>
  <c r="J258" i="28" s="1"/>
  <c r="L278" i="1"/>
  <c r="J277" i="28" s="1"/>
  <c r="L15" i="1"/>
  <c r="J194" i="28" s="1"/>
  <c r="L13" i="1"/>
  <c r="J192" i="28" s="1"/>
  <c r="L11" i="1"/>
  <c r="J190" i="28" s="1"/>
  <c r="L30" i="1"/>
  <c r="J74" i="28" s="1"/>
  <c r="L28" i="1"/>
  <c r="J72" i="28" s="1"/>
  <c r="L26" i="1"/>
  <c r="J70" i="28" s="1"/>
  <c r="L45" i="1"/>
  <c r="J134" i="28" s="1"/>
  <c r="L43" i="1"/>
  <c r="J132" i="28" s="1"/>
  <c r="L41" i="1"/>
  <c r="J130" i="28" s="1"/>
  <c r="L60" i="1"/>
  <c r="J209" i="28" s="1"/>
  <c r="L58" i="1"/>
  <c r="J207" i="28" s="1"/>
  <c r="L56" i="1"/>
  <c r="J205" i="28" s="1"/>
  <c r="L75" i="1"/>
  <c r="J104" i="28" s="1"/>
  <c r="L73" i="1"/>
  <c r="J102" i="28" s="1"/>
  <c r="L71" i="1"/>
  <c r="J100" i="28" s="1"/>
  <c r="L81" i="1"/>
  <c r="J215" i="28" s="1"/>
  <c r="L79" i="1"/>
  <c r="J213" i="28" s="1"/>
  <c r="L89" i="1"/>
  <c r="J223" i="28" s="1"/>
  <c r="L87" i="1"/>
  <c r="J221" i="28" s="1"/>
  <c r="L104" i="1"/>
  <c r="J148" i="28" s="1"/>
  <c r="L102" i="1"/>
  <c r="J146" i="28" s="1"/>
  <c r="L119" i="1"/>
  <c r="J238" i="28" s="1"/>
  <c r="L117" i="1"/>
  <c r="J236" i="28" s="1"/>
  <c r="L134" i="1"/>
  <c r="J118" i="28" s="1"/>
  <c r="L132" i="1"/>
  <c r="J116" i="28" s="1"/>
  <c r="L149" i="1"/>
  <c r="J88" i="28" s="1"/>
  <c r="L147" i="1"/>
  <c r="J86" i="28" s="1"/>
  <c r="L164" i="1"/>
  <c r="J28" i="28" s="1"/>
  <c r="L162" i="1"/>
  <c r="J26" i="28" s="1"/>
  <c r="L179" i="1"/>
  <c r="J253" i="28" s="1"/>
  <c r="L177" i="1"/>
  <c r="J251" i="28" s="1"/>
  <c r="L194" i="1"/>
  <c r="J163" i="28" s="1"/>
  <c r="L192" i="1"/>
  <c r="J161" i="28" s="1"/>
  <c r="L209" i="1"/>
  <c r="J178" i="28" s="1"/>
  <c r="L207" i="1"/>
  <c r="J176" i="28" s="1"/>
  <c r="L224" i="1"/>
  <c r="J43" i="28" s="1"/>
  <c r="L222" i="1"/>
  <c r="J41" i="28" s="1"/>
  <c r="L239" i="1"/>
  <c r="J13" i="28" s="1"/>
  <c r="L237" i="1"/>
  <c r="J11" i="28" s="1"/>
  <c r="L254" i="1"/>
  <c r="J268" i="28" s="1"/>
  <c r="L252" i="1"/>
  <c r="J266" i="28" s="1"/>
  <c r="L269" i="1"/>
  <c r="J58" i="28" s="1"/>
  <c r="L267" i="1"/>
  <c r="J56" i="28" s="1"/>
  <c r="L284" i="1"/>
  <c r="J283" i="28" s="1"/>
  <c r="L282" i="1"/>
  <c r="J281" i="28" s="1"/>
  <c r="H146" i="28"/>
  <c r="E234" i="1"/>
  <c r="N236" i="15"/>
  <c r="N237" i="15" s="1"/>
  <c r="N230" i="15"/>
  <c r="N281" i="15"/>
  <c r="N282" i="15" s="1"/>
  <c r="M170" i="15"/>
  <c r="M171" i="15"/>
  <c r="M172" i="15"/>
  <c r="M173" i="15"/>
  <c r="M174" i="15"/>
  <c r="M175" i="15"/>
  <c r="M169" i="15"/>
  <c r="M169" i="1"/>
  <c r="O169" i="1" s="1"/>
  <c r="M170" i="1"/>
  <c r="O170" i="1" s="1"/>
  <c r="M171" i="1"/>
  <c r="O171" i="1" s="1"/>
  <c r="M172" i="1"/>
  <c r="O172" i="1" s="1"/>
  <c r="M173" i="1"/>
  <c r="O173" i="1" s="1"/>
  <c r="M174" i="1"/>
  <c r="M175" i="1"/>
  <c r="O175" i="1" s="1"/>
  <c r="O176" i="1" s="1"/>
  <c r="O177" i="1" s="1"/>
  <c r="O178" i="1" s="1"/>
  <c r="O179" i="1" s="1"/>
  <c r="O180" i="1" s="1"/>
  <c r="O181" i="1" s="1"/>
  <c r="M176" i="1"/>
  <c r="M168" i="1"/>
  <c r="O168" i="1" s="1"/>
  <c r="J169" i="1"/>
  <c r="I243" i="28" s="1"/>
  <c r="K169" i="1"/>
  <c r="J170" i="1"/>
  <c r="I244" i="28" s="1"/>
  <c r="K170" i="1"/>
  <c r="J171" i="1"/>
  <c r="I245" i="28" s="1"/>
  <c r="K171" i="1"/>
  <c r="J172" i="1"/>
  <c r="I246" i="28" s="1"/>
  <c r="K172" i="1"/>
  <c r="J173" i="1"/>
  <c r="I247" i="28" s="1"/>
  <c r="K173" i="1"/>
  <c r="J174" i="1"/>
  <c r="I248" i="28" s="1"/>
  <c r="K174" i="1"/>
  <c r="K168" i="1"/>
  <c r="J168" i="1"/>
  <c r="I242" i="28" s="1"/>
  <c r="M155" i="15"/>
  <c r="M156" i="15"/>
  <c r="M157" i="15"/>
  <c r="M158" i="15"/>
  <c r="M159" i="15"/>
  <c r="M160" i="15"/>
  <c r="M154" i="15"/>
  <c r="N154" i="1"/>
  <c r="N155" i="1"/>
  <c r="N156" i="1"/>
  <c r="N157" i="1"/>
  <c r="N158" i="1"/>
  <c r="N159" i="1"/>
  <c r="N153" i="1"/>
  <c r="M154" i="1"/>
  <c r="O154" i="1" s="1"/>
  <c r="M155" i="1"/>
  <c r="O155" i="1" s="1"/>
  <c r="M156" i="1"/>
  <c r="O156" i="1" s="1"/>
  <c r="M157" i="1"/>
  <c r="O157" i="1" s="1"/>
  <c r="M158" i="1"/>
  <c r="O158" i="1" s="1"/>
  <c r="M159" i="1"/>
  <c r="M160" i="1"/>
  <c r="O160" i="1" s="1"/>
  <c r="O161" i="1" s="1"/>
  <c r="O162" i="1" s="1"/>
  <c r="O163" i="1" s="1"/>
  <c r="O164" i="1" s="1"/>
  <c r="O165" i="1" s="1"/>
  <c r="O166" i="1" s="1"/>
  <c r="M161" i="1"/>
  <c r="M153" i="1"/>
  <c r="O153" i="1" s="1"/>
  <c r="J154" i="1"/>
  <c r="I18" i="28" s="1"/>
  <c r="K154" i="1"/>
  <c r="J155" i="1"/>
  <c r="I19" i="28" s="1"/>
  <c r="K155" i="1"/>
  <c r="J156" i="1"/>
  <c r="I20" i="28" s="1"/>
  <c r="K156" i="1"/>
  <c r="J157" i="1"/>
  <c r="I21" i="28" s="1"/>
  <c r="K157" i="1"/>
  <c r="J158" i="1"/>
  <c r="I22" i="28" s="1"/>
  <c r="K158" i="1"/>
  <c r="J159" i="1"/>
  <c r="I23" i="28" s="1"/>
  <c r="K159" i="1"/>
  <c r="K153" i="1"/>
  <c r="J153" i="1"/>
  <c r="I17" i="28" s="1"/>
  <c r="M140" i="15"/>
  <c r="M141" i="15"/>
  <c r="M142" i="15"/>
  <c r="M143" i="15"/>
  <c r="M144" i="15"/>
  <c r="M145" i="15"/>
  <c r="M139" i="15"/>
  <c r="N139" i="1"/>
  <c r="N140" i="1"/>
  <c r="N141" i="1"/>
  <c r="N142" i="1"/>
  <c r="N143" i="1"/>
  <c r="N144" i="1"/>
  <c r="N138" i="1"/>
  <c r="M139" i="1"/>
  <c r="O139" i="1" s="1"/>
  <c r="M140" i="1"/>
  <c r="O140" i="1" s="1"/>
  <c r="M141" i="1"/>
  <c r="O141" i="1" s="1"/>
  <c r="M142" i="1"/>
  <c r="O142" i="1" s="1"/>
  <c r="M143" i="1"/>
  <c r="O143" i="1" s="1"/>
  <c r="M144" i="1"/>
  <c r="O144" i="1" s="1"/>
  <c r="M145" i="1"/>
  <c r="O145" i="1" s="1"/>
  <c r="O146" i="1" s="1"/>
  <c r="O147" i="1" s="1"/>
  <c r="O148" i="1" s="1"/>
  <c r="O149" i="1" s="1"/>
  <c r="O150" i="1" s="1"/>
  <c r="O151" i="1" s="1"/>
  <c r="M146" i="1"/>
  <c r="M138" i="1"/>
  <c r="O138" i="1" s="1"/>
  <c r="J139" i="1"/>
  <c r="I78" i="28" s="1"/>
  <c r="K139" i="1"/>
  <c r="J140" i="1"/>
  <c r="I79" i="28" s="1"/>
  <c r="K140" i="1"/>
  <c r="J141" i="1"/>
  <c r="I80" i="28" s="1"/>
  <c r="K141" i="1"/>
  <c r="J142" i="1"/>
  <c r="I81" i="28" s="1"/>
  <c r="K142" i="1"/>
  <c r="J143" i="1"/>
  <c r="I82" i="28" s="1"/>
  <c r="K143" i="1"/>
  <c r="J144" i="1"/>
  <c r="I83" i="28" s="1"/>
  <c r="K144" i="1"/>
  <c r="K138" i="1"/>
  <c r="J138" i="1"/>
  <c r="I77" i="28" s="1"/>
  <c r="M125" i="15"/>
  <c r="M126" i="15"/>
  <c r="M127" i="15"/>
  <c r="M128" i="15"/>
  <c r="M129" i="15"/>
  <c r="M130" i="15"/>
  <c r="M124" i="15"/>
  <c r="N124" i="1"/>
  <c r="N125" i="1"/>
  <c r="N126" i="1"/>
  <c r="N127" i="1"/>
  <c r="N128" i="1"/>
  <c r="N129" i="1"/>
  <c r="N123" i="1"/>
  <c r="M124" i="1"/>
  <c r="O124" i="1" s="1"/>
  <c r="M125" i="1"/>
  <c r="O125" i="1" s="1"/>
  <c r="M126" i="1"/>
  <c r="O126" i="1" s="1"/>
  <c r="M127" i="1"/>
  <c r="O127" i="1" s="1"/>
  <c r="M128" i="1"/>
  <c r="O128" i="1" s="1"/>
  <c r="M129" i="1"/>
  <c r="M130" i="1"/>
  <c r="O130" i="1" s="1"/>
  <c r="O131" i="1" s="1"/>
  <c r="O132" i="1" s="1"/>
  <c r="O133" i="1" s="1"/>
  <c r="O134" i="1" s="1"/>
  <c r="O135" i="1" s="1"/>
  <c r="O136" i="1" s="1"/>
  <c r="M131" i="1"/>
  <c r="M123" i="1"/>
  <c r="O123" i="1" s="1"/>
  <c r="J124" i="1"/>
  <c r="I108" i="28" s="1"/>
  <c r="K124" i="1"/>
  <c r="J125" i="1"/>
  <c r="I109" i="28" s="1"/>
  <c r="K125" i="1"/>
  <c r="J126" i="1"/>
  <c r="I110" i="28" s="1"/>
  <c r="K126" i="1"/>
  <c r="J127" i="1"/>
  <c r="I111" i="28" s="1"/>
  <c r="K127" i="1"/>
  <c r="J128" i="1"/>
  <c r="I112" i="28" s="1"/>
  <c r="K128" i="1"/>
  <c r="J129" i="1"/>
  <c r="I113" i="28" s="1"/>
  <c r="K129" i="1"/>
  <c r="K123" i="1"/>
  <c r="J123" i="1"/>
  <c r="I107" i="28" s="1"/>
  <c r="M110" i="15"/>
  <c r="M111" i="15"/>
  <c r="M112" i="15"/>
  <c r="M113" i="15"/>
  <c r="M114" i="15"/>
  <c r="M115" i="15"/>
  <c r="M109" i="15"/>
  <c r="N109" i="1"/>
  <c r="N110" i="1"/>
  <c r="N111" i="1"/>
  <c r="N112" i="1"/>
  <c r="N113" i="1"/>
  <c r="N114" i="1"/>
  <c r="N108" i="1"/>
  <c r="M109" i="1"/>
  <c r="O109" i="1" s="1"/>
  <c r="M110" i="1"/>
  <c r="O110" i="1" s="1"/>
  <c r="M111" i="1"/>
  <c r="O111" i="1" s="1"/>
  <c r="M112" i="1"/>
  <c r="O112" i="1" s="1"/>
  <c r="M113" i="1"/>
  <c r="O113" i="1" s="1"/>
  <c r="M114" i="1"/>
  <c r="O114" i="1" s="1"/>
  <c r="M115" i="1"/>
  <c r="O115" i="1" s="1"/>
  <c r="O116" i="1" s="1"/>
  <c r="O117" i="1" s="1"/>
  <c r="O118" i="1" s="1"/>
  <c r="O119" i="1" s="1"/>
  <c r="O120" i="1" s="1"/>
  <c r="O121" i="1" s="1"/>
  <c r="M116" i="1"/>
  <c r="M108" i="1"/>
  <c r="O108" i="1" s="1"/>
  <c r="J109" i="1"/>
  <c r="I228" i="28" s="1"/>
  <c r="K109" i="1"/>
  <c r="J110" i="1"/>
  <c r="I229" i="28" s="1"/>
  <c r="K110" i="1"/>
  <c r="J111" i="1"/>
  <c r="I230" i="28" s="1"/>
  <c r="K111" i="1"/>
  <c r="J112" i="1"/>
  <c r="I231" i="28" s="1"/>
  <c r="K112" i="1"/>
  <c r="J113" i="1"/>
  <c r="I232" i="28" s="1"/>
  <c r="K113" i="1"/>
  <c r="J114" i="1"/>
  <c r="I233" i="28" s="1"/>
  <c r="K114" i="1"/>
  <c r="K108" i="1"/>
  <c r="J108" i="1"/>
  <c r="I227" i="28" s="1"/>
  <c r="M95" i="15"/>
  <c r="M96" i="15"/>
  <c r="M97" i="15"/>
  <c r="M98" i="15"/>
  <c r="M99" i="15"/>
  <c r="M100" i="15"/>
  <c r="M94" i="15"/>
  <c r="N94" i="1"/>
  <c r="N95" i="1"/>
  <c r="N96" i="1"/>
  <c r="N97" i="1"/>
  <c r="N98" i="1"/>
  <c r="N99" i="1"/>
  <c r="N93" i="1"/>
  <c r="M94" i="1"/>
  <c r="O94" i="1" s="1"/>
  <c r="M95" i="1"/>
  <c r="O95" i="1" s="1"/>
  <c r="M96" i="1"/>
  <c r="O96" i="1" s="1"/>
  <c r="M97" i="1"/>
  <c r="O97" i="1" s="1"/>
  <c r="M98" i="1"/>
  <c r="O98" i="1" s="1"/>
  <c r="M99" i="1"/>
  <c r="M100" i="1"/>
  <c r="O100" i="1" s="1"/>
  <c r="O101" i="1" s="1"/>
  <c r="O102" i="1" s="1"/>
  <c r="O103" i="1" s="1"/>
  <c r="O104" i="1" s="1"/>
  <c r="O105" i="1" s="1"/>
  <c r="O106" i="1" s="1"/>
  <c r="M101" i="1"/>
  <c r="M93" i="1"/>
  <c r="O93" i="1" s="1"/>
  <c r="J94" i="1"/>
  <c r="I138" i="28" s="1"/>
  <c r="K94" i="1"/>
  <c r="J95" i="1"/>
  <c r="I139" i="28" s="1"/>
  <c r="K95" i="1"/>
  <c r="J96" i="1"/>
  <c r="I140" i="28" s="1"/>
  <c r="K96" i="1"/>
  <c r="J97" i="1"/>
  <c r="I141" i="28" s="1"/>
  <c r="K97" i="1"/>
  <c r="J98" i="1"/>
  <c r="I142" i="28" s="1"/>
  <c r="K98" i="1"/>
  <c r="J99" i="1"/>
  <c r="I143" i="28" s="1"/>
  <c r="K99" i="1"/>
  <c r="K93" i="1"/>
  <c r="J93" i="1"/>
  <c r="I137" i="28" s="1"/>
  <c r="M80" i="15"/>
  <c r="M81" i="15"/>
  <c r="M82" i="15"/>
  <c r="M83" i="15"/>
  <c r="M84" i="15"/>
  <c r="M85" i="15"/>
  <c r="M79" i="15"/>
  <c r="N79" i="1"/>
  <c r="N80" i="1"/>
  <c r="N81" i="1"/>
  <c r="N82" i="1"/>
  <c r="N83" i="1"/>
  <c r="N84" i="1"/>
  <c r="N78" i="1"/>
  <c r="M79" i="1"/>
  <c r="O79" i="1" s="1"/>
  <c r="M80" i="1"/>
  <c r="O80" i="1" s="1"/>
  <c r="M81" i="1"/>
  <c r="O81" i="1" s="1"/>
  <c r="M82" i="1"/>
  <c r="O82" i="1" s="1"/>
  <c r="M83" i="1"/>
  <c r="O83" i="1" s="1"/>
  <c r="M84" i="1"/>
  <c r="O84" i="1" s="1"/>
  <c r="M85" i="1"/>
  <c r="O85" i="1" s="1"/>
  <c r="O86" i="1" s="1"/>
  <c r="O87" i="1" s="1"/>
  <c r="O88" i="1" s="1"/>
  <c r="O89" i="1" s="1"/>
  <c r="O90" i="1" s="1"/>
  <c r="O91" i="1" s="1"/>
  <c r="M86" i="1"/>
  <c r="M78" i="1"/>
  <c r="O78" i="1" s="1"/>
  <c r="J83" i="1"/>
  <c r="I217" i="28" s="1"/>
  <c r="K83" i="1"/>
  <c r="J84" i="1"/>
  <c r="I218" i="28" s="1"/>
  <c r="K84" i="1"/>
  <c r="M65" i="15"/>
  <c r="M66" i="15"/>
  <c r="M67" i="15"/>
  <c r="M68" i="15"/>
  <c r="M69" i="15"/>
  <c r="M70" i="15"/>
  <c r="M64" i="15"/>
  <c r="N64" i="1"/>
  <c r="N65" i="1"/>
  <c r="N66" i="1"/>
  <c r="N67" i="1"/>
  <c r="N68" i="1"/>
  <c r="N69" i="1"/>
  <c r="N63" i="1"/>
  <c r="M64" i="1"/>
  <c r="O64" i="1" s="1"/>
  <c r="M65" i="1"/>
  <c r="O65" i="1" s="1"/>
  <c r="M66" i="1"/>
  <c r="O66" i="1" s="1"/>
  <c r="M67" i="1"/>
  <c r="O67" i="1" s="1"/>
  <c r="M68" i="1"/>
  <c r="O68" i="1" s="1"/>
  <c r="M69" i="1"/>
  <c r="M70" i="1"/>
  <c r="O70" i="1" s="1"/>
  <c r="O71" i="1" s="1"/>
  <c r="O72" i="1" s="1"/>
  <c r="O73" i="1" s="1"/>
  <c r="O74" i="1" s="1"/>
  <c r="O75" i="1" s="1"/>
  <c r="O76" i="1" s="1"/>
  <c r="M71" i="1"/>
  <c r="M63" i="1"/>
  <c r="O63" i="1" s="1"/>
  <c r="J64" i="1"/>
  <c r="I93" i="28" s="1"/>
  <c r="K64" i="1"/>
  <c r="J65" i="1"/>
  <c r="I94" i="28" s="1"/>
  <c r="K65" i="1"/>
  <c r="J66" i="1"/>
  <c r="I95" i="28" s="1"/>
  <c r="K66" i="1"/>
  <c r="J67" i="1"/>
  <c r="I96" i="28" s="1"/>
  <c r="K67" i="1"/>
  <c r="J68" i="1"/>
  <c r="I97" i="28" s="1"/>
  <c r="K68" i="1"/>
  <c r="J69" i="1"/>
  <c r="I98" i="28" s="1"/>
  <c r="K69" i="1"/>
  <c r="K63" i="1"/>
  <c r="J63" i="1"/>
  <c r="I92" i="28" s="1"/>
  <c r="M50" i="15"/>
  <c r="M51" i="15"/>
  <c r="M52" i="15"/>
  <c r="M53" i="15"/>
  <c r="M54" i="15"/>
  <c r="M55" i="15"/>
  <c r="M49" i="15"/>
  <c r="N49" i="1"/>
  <c r="N50" i="1"/>
  <c r="N51" i="1"/>
  <c r="N52" i="1"/>
  <c r="N53" i="1"/>
  <c r="N54" i="1"/>
  <c r="N48" i="1"/>
  <c r="M49" i="1"/>
  <c r="O49" i="1" s="1"/>
  <c r="M50" i="1"/>
  <c r="O50" i="1" s="1"/>
  <c r="M51" i="1"/>
  <c r="O51" i="1" s="1"/>
  <c r="M52" i="1"/>
  <c r="O52" i="1" s="1"/>
  <c r="M53" i="1"/>
  <c r="O53" i="1" s="1"/>
  <c r="M54" i="1"/>
  <c r="O54" i="1" s="1"/>
  <c r="M55" i="1"/>
  <c r="O55" i="1" s="1"/>
  <c r="O56" i="1" s="1"/>
  <c r="O57" i="1" s="1"/>
  <c r="O58" i="1" s="1"/>
  <c r="O59" i="1" s="1"/>
  <c r="O60" i="1" s="1"/>
  <c r="O61" i="1" s="1"/>
  <c r="M56" i="1"/>
  <c r="M48" i="1"/>
  <c r="O48" i="1" s="1"/>
  <c r="J49" i="1"/>
  <c r="I198" i="28" s="1"/>
  <c r="K49" i="1"/>
  <c r="J50" i="1"/>
  <c r="I199" i="28" s="1"/>
  <c r="K50" i="1"/>
  <c r="J51" i="1"/>
  <c r="I200" i="28" s="1"/>
  <c r="K51" i="1"/>
  <c r="J52" i="1"/>
  <c r="I201" i="28" s="1"/>
  <c r="K52" i="1"/>
  <c r="J53" i="1"/>
  <c r="I202" i="28" s="1"/>
  <c r="K53" i="1"/>
  <c r="J54" i="1"/>
  <c r="I203" i="28" s="1"/>
  <c r="K54" i="1"/>
  <c r="K48" i="1"/>
  <c r="J48" i="1"/>
  <c r="I197" i="28" s="1"/>
  <c r="M35" i="15"/>
  <c r="M36" i="15"/>
  <c r="M37" i="15"/>
  <c r="M38" i="15"/>
  <c r="M39" i="15"/>
  <c r="M40" i="15"/>
  <c r="M34" i="15"/>
  <c r="M4" i="1"/>
  <c r="O4" i="1" s="1"/>
  <c r="M5" i="1"/>
  <c r="O5" i="1" s="1"/>
  <c r="M6" i="1"/>
  <c r="O6" i="1" s="1"/>
  <c r="M7" i="1"/>
  <c r="O7" i="1" s="1"/>
  <c r="M8" i="1"/>
  <c r="O8" i="1" s="1"/>
  <c r="M9" i="1"/>
  <c r="O9" i="1" s="1"/>
  <c r="M10" i="1"/>
  <c r="O10" i="1" s="1"/>
  <c r="O11" i="1" s="1"/>
  <c r="O12" i="1" s="1"/>
  <c r="O13" i="1" s="1"/>
  <c r="O14" i="1" s="1"/>
  <c r="O15" i="1" s="1"/>
  <c r="O16" i="1" s="1"/>
  <c r="M11" i="1"/>
  <c r="M3" i="1"/>
  <c r="O3" i="1" s="1"/>
  <c r="M19" i="1"/>
  <c r="O19" i="1" s="1"/>
  <c r="M20" i="1"/>
  <c r="O20" i="1" s="1"/>
  <c r="M21" i="1"/>
  <c r="O21" i="1" s="1"/>
  <c r="M22" i="1"/>
  <c r="O22" i="1" s="1"/>
  <c r="M23" i="1"/>
  <c r="O23" i="1" s="1"/>
  <c r="M24" i="1"/>
  <c r="M25" i="1"/>
  <c r="O25" i="1" s="1"/>
  <c r="O26" i="1" s="1"/>
  <c r="O27" i="1" s="1"/>
  <c r="O28" i="1" s="1"/>
  <c r="O29" i="1" s="1"/>
  <c r="O30" i="1" s="1"/>
  <c r="O31" i="1" s="1"/>
  <c r="M26" i="1"/>
  <c r="M18" i="1"/>
  <c r="O18" i="1" s="1"/>
  <c r="M34" i="1"/>
  <c r="O34" i="1" s="1"/>
  <c r="M35" i="1"/>
  <c r="O35" i="1" s="1"/>
  <c r="M36" i="1"/>
  <c r="O36" i="1" s="1"/>
  <c r="M37" i="1"/>
  <c r="O37" i="1" s="1"/>
  <c r="M38" i="1"/>
  <c r="O38" i="1" s="1"/>
  <c r="M39" i="1"/>
  <c r="O39" i="1" s="1"/>
  <c r="M40" i="1"/>
  <c r="O40" i="1" s="1"/>
  <c r="O41" i="1" s="1"/>
  <c r="O42" i="1" s="1"/>
  <c r="O43" i="1" s="1"/>
  <c r="O44" i="1" s="1"/>
  <c r="O45" i="1" s="1"/>
  <c r="O46" i="1" s="1"/>
  <c r="M41" i="1"/>
  <c r="M33" i="1"/>
  <c r="O33" i="1" s="1"/>
  <c r="N34" i="1"/>
  <c r="N35" i="1"/>
  <c r="N36" i="1"/>
  <c r="N37" i="1"/>
  <c r="N38" i="1"/>
  <c r="N39" i="1"/>
  <c r="N33" i="1"/>
  <c r="J34" i="1"/>
  <c r="I123" i="28" s="1"/>
  <c r="K34" i="1"/>
  <c r="J35" i="1"/>
  <c r="I124" i="28" s="1"/>
  <c r="K35" i="1"/>
  <c r="J36" i="1"/>
  <c r="I125" i="28" s="1"/>
  <c r="K36" i="1"/>
  <c r="J37" i="1"/>
  <c r="I126" i="28" s="1"/>
  <c r="K37" i="1"/>
  <c r="J38" i="1"/>
  <c r="I127" i="28" s="1"/>
  <c r="K38" i="1"/>
  <c r="J39" i="1"/>
  <c r="I128" i="28" s="1"/>
  <c r="K39" i="1"/>
  <c r="K33" i="1"/>
  <c r="J33" i="1"/>
  <c r="I122" i="28" s="1"/>
  <c r="N19" i="1"/>
  <c r="N20" i="1"/>
  <c r="N21" i="1"/>
  <c r="N22" i="1"/>
  <c r="N23" i="1"/>
  <c r="N24" i="1"/>
  <c r="N18" i="1"/>
  <c r="K19" i="1"/>
  <c r="K20" i="1"/>
  <c r="K21" i="1"/>
  <c r="K22" i="1"/>
  <c r="K23" i="1"/>
  <c r="K24" i="1"/>
  <c r="K18" i="1"/>
  <c r="J19" i="1"/>
  <c r="I63" i="28" s="1"/>
  <c r="J20" i="1"/>
  <c r="I64" i="28" s="1"/>
  <c r="J21" i="1"/>
  <c r="I65" i="28" s="1"/>
  <c r="J22" i="1"/>
  <c r="I66" i="28" s="1"/>
  <c r="J23" i="1"/>
  <c r="I67" i="28" s="1"/>
  <c r="J24" i="1"/>
  <c r="I68" i="28" s="1"/>
  <c r="J18" i="1"/>
  <c r="I62" i="28" s="1"/>
  <c r="M5" i="15"/>
  <c r="M6" i="15"/>
  <c r="M7" i="15"/>
  <c r="M8" i="15"/>
  <c r="M9" i="15"/>
  <c r="M10" i="15"/>
  <c r="M4" i="15"/>
  <c r="N4" i="1"/>
  <c r="N5" i="1"/>
  <c r="N6" i="1"/>
  <c r="N7" i="1"/>
  <c r="N8" i="1"/>
  <c r="N9" i="1"/>
  <c r="N3" i="1"/>
  <c r="J4" i="1"/>
  <c r="I183" i="28" s="1"/>
  <c r="K4" i="1"/>
  <c r="J5" i="1"/>
  <c r="I184" i="28" s="1"/>
  <c r="K5" i="1"/>
  <c r="J6" i="1"/>
  <c r="I185" i="28" s="1"/>
  <c r="K6" i="1"/>
  <c r="J7" i="1"/>
  <c r="I186" i="28" s="1"/>
  <c r="K7" i="1"/>
  <c r="J8" i="1"/>
  <c r="I187" i="28" s="1"/>
  <c r="K8" i="1"/>
  <c r="J9" i="1"/>
  <c r="I188" i="28" s="1"/>
  <c r="K9" i="1"/>
  <c r="K3" i="1"/>
  <c r="J3" i="1"/>
  <c r="I182" i="28" s="1"/>
  <c r="L9" i="1" l="1"/>
  <c r="J188" i="28" s="1"/>
  <c r="L7" i="1"/>
  <c r="J186" i="28" s="1"/>
  <c r="L5" i="1"/>
  <c r="J184" i="28" s="1"/>
  <c r="L22" i="1"/>
  <c r="J66" i="28" s="1"/>
  <c r="L54" i="1"/>
  <c r="J203" i="28" s="1"/>
  <c r="L52" i="1"/>
  <c r="J201" i="28" s="1"/>
  <c r="L50" i="1"/>
  <c r="J199" i="28" s="1"/>
  <c r="L84" i="1"/>
  <c r="J218" i="28" s="1"/>
  <c r="L113" i="1"/>
  <c r="J232" i="28" s="1"/>
  <c r="L111" i="1"/>
  <c r="J230" i="28" s="1"/>
  <c r="L109" i="1"/>
  <c r="J228" i="28" s="1"/>
  <c r="L144" i="1"/>
  <c r="J83" i="28" s="1"/>
  <c r="L142" i="1"/>
  <c r="J81" i="28" s="1"/>
  <c r="L140" i="1"/>
  <c r="J79" i="28" s="1"/>
  <c r="L173" i="1"/>
  <c r="J247" i="28" s="1"/>
  <c r="L171" i="1"/>
  <c r="J245" i="28" s="1"/>
  <c r="L169" i="1"/>
  <c r="J243" i="28" s="1"/>
  <c r="F331" i="18"/>
  <c r="E422" i="25"/>
  <c r="G235" i="1"/>
  <c r="F9" i="28" s="1"/>
  <c r="N296" i="15"/>
  <c r="N297" i="15" s="1"/>
  <c r="N298" i="15" s="1"/>
  <c r="N299" i="15" s="1"/>
  <c r="N300" i="15" s="1"/>
  <c r="N301" i="15" s="1"/>
  <c r="N302" i="15" s="1"/>
  <c r="G280" i="1"/>
  <c r="H280" i="1" s="1"/>
  <c r="I24" i="1"/>
  <c r="H68" i="28" s="1"/>
  <c r="I51" i="1"/>
  <c r="H200" i="28" s="1"/>
  <c r="I64" i="1"/>
  <c r="H93" i="28" s="1"/>
  <c r="I67" i="1"/>
  <c r="H96" i="28" s="1"/>
  <c r="I81" i="1"/>
  <c r="H215" i="28" s="1"/>
  <c r="I94" i="1"/>
  <c r="H138" i="28" s="1"/>
  <c r="I97" i="1"/>
  <c r="H141" i="28" s="1"/>
  <c r="I113" i="1"/>
  <c r="H232" i="28" s="1"/>
  <c r="L123" i="1"/>
  <c r="J107" i="28" s="1"/>
  <c r="I129" i="1"/>
  <c r="H113" i="28" s="1"/>
  <c r="I125" i="1"/>
  <c r="H109" i="28" s="1"/>
  <c r="I141" i="1"/>
  <c r="H80" i="28" s="1"/>
  <c r="I154" i="1"/>
  <c r="H18" i="28" s="1"/>
  <c r="I157" i="1"/>
  <c r="H21" i="28" s="1"/>
  <c r="I9" i="1"/>
  <c r="H188" i="28" s="1"/>
  <c r="I5" i="1"/>
  <c r="H184" i="28" s="1"/>
  <c r="I20" i="1"/>
  <c r="H64" i="28" s="1"/>
  <c r="I36" i="1"/>
  <c r="H125" i="28" s="1"/>
  <c r="L23" i="1"/>
  <c r="J67" i="28" s="1"/>
  <c r="L19" i="1"/>
  <c r="J63" i="28" s="1"/>
  <c r="L38" i="1"/>
  <c r="J127" i="28" s="1"/>
  <c r="L36" i="1"/>
  <c r="J125" i="28" s="1"/>
  <c r="L34" i="1"/>
  <c r="J123" i="28" s="1"/>
  <c r="L48" i="1"/>
  <c r="J197" i="28" s="1"/>
  <c r="L68" i="1"/>
  <c r="J97" i="28" s="1"/>
  <c r="L66" i="1"/>
  <c r="J95" i="28" s="1"/>
  <c r="L64" i="1"/>
  <c r="J93" i="28" s="1"/>
  <c r="L98" i="1"/>
  <c r="J142" i="28" s="1"/>
  <c r="L96" i="1"/>
  <c r="J140" i="28" s="1"/>
  <c r="L94" i="1"/>
  <c r="J138" i="28" s="1"/>
  <c r="I109" i="1"/>
  <c r="H228" i="28" s="1"/>
  <c r="L129" i="1"/>
  <c r="J113" i="28" s="1"/>
  <c r="L127" i="1"/>
  <c r="J111" i="28" s="1"/>
  <c r="L125" i="1"/>
  <c r="J109" i="28" s="1"/>
  <c r="L158" i="1"/>
  <c r="J22" i="28" s="1"/>
  <c r="L156" i="1"/>
  <c r="J20" i="28" s="1"/>
  <c r="L154" i="1"/>
  <c r="J18" i="28" s="1"/>
  <c r="I54" i="1"/>
  <c r="H203" i="28" s="1"/>
  <c r="I50" i="1"/>
  <c r="H199" i="28" s="1"/>
  <c r="I66" i="1"/>
  <c r="H95" i="28" s="1"/>
  <c r="I84" i="1"/>
  <c r="H218" i="28" s="1"/>
  <c r="I80" i="1"/>
  <c r="H214" i="28" s="1"/>
  <c r="I96" i="1"/>
  <c r="H140" i="28" s="1"/>
  <c r="I112" i="1"/>
  <c r="H231" i="28" s="1"/>
  <c r="I128" i="1"/>
  <c r="H112" i="28" s="1"/>
  <c r="L138" i="1"/>
  <c r="J77" i="28" s="1"/>
  <c r="I144" i="1"/>
  <c r="H83" i="28" s="1"/>
  <c r="I140" i="1"/>
  <c r="H79" i="28" s="1"/>
  <c r="I156" i="1"/>
  <c r="H20" i="28" s="1"/>
  <c r="L8" i="1"/>
  <c r="J187" i="28" s="1"/>
  <c r="L6" i="1"/>
  <c r="J185" i="28" s="1"/>
  <c r="L4" i="1"/>
  <c r="J183" i="28" s="1"/>
  <c r="L24" i="1"/>
  <c r="J68" i="28" s="1"/>
  <c r="L20" i="1"/>
  <c r="J64" i="28" s="1"/>
  <c r="I23" i="1"/>
  <c r="H67" i="28" s="1"/>
  <c r="I7" i="1"/>
  <c r="H186" i="28" s="1"/>
  <c r="I22" i="1"/>
  <c r="H66" i="28" s="1"/>
  <c r="E24" i="1"/>
  <c r="O24" i="1"/>
  <c r="I53" i="1"/>
  <c r="H202" i="28" s="1"/>
  <c r="L63" i="1"/>
  <c r="J92" i="28" s="1"/>
  <c r="E69" i="1"/>
  <c r="O69" i="1"/>
  <c r="I69" i="1"/>
  <c r="H98" i="28" s="1"/>
  <c r="I65" i="1"/>
  <c r="H94" i="28" s="1"/>
  <c r="I83" i="1"/>
  <c r="H217" i="28" s="1"/>
  <c r="L93" i="1"/>
  <c r="J137" i="28" s="1"/>
  <c r="E99" i="1"/>
  <c r="O99" i="1"/>
  <c r="I99" i="1"/>
  <c r="H143" i="28" s="1"/>
  <c r="I95" i="1"/>
  <c r="H139" i="28" s="1"/>
  <c r="I111" i="1"/>
  <c r="H230" i="28" s="1"/>
  <c r="I124" i="1"/>
  <c r="H108" i="28" s="1"/>
  <c r="I127" i="1"/>
  <c r="H111" i="28" s="1"/>
  <c r="I143" i="1"/>
  <c r="H82" i="28" s="1"/>
  <c r="L153" i="1"/>
  <c r="J17" i="28" s="1"/>
  <c r="E159" i="1"/>
  <c r="O159" i="1"/>
  <c r="I159" i="1"/>
  <c r="H23" i="28" s="1"/>
  <c r="I155" i="1"/>
  <c r="H19" i="28" s="1"/>
  <c r="E203" i="1"/>
  <c r="H276" i="28"/>
  <c r="I276" i="1"/>
  <c r="L3" i="1"/>
  <c r="J182" i="28" s="1"/>
  <c r="I8" i="1"/>
  <c r="H187" i="28" s="1"/>
  <c r="I39" i="1"/>
  <c r="H128" i="28" s="1"/>
  <c r="I35" i="1"/>
  <c r="H124" i="28" s="1"/>
  <c r="E233" i="1"/>
  <c r="D8" i="28"/>
  <c r="I4" i="1"/>
  <c r="H183" i="28" s="1"/>
  <c r="I19" i="1"/>
  <c r="H63" i="28" s="1"/>
  <c r="L33" i="1"/>
  <c r="J122" i="28" s="1"/>
  <c r="I38" i="1"/>
  <c r="H127" i="28" s="1"/>
  <c r="I6" i="1"/>
  <c r="H185" i="28" s="1"/>
  <c r="L18" i="1"/>
  <c r="J62" i="28" s="1"/>
  <c r="L21" i="1"/>
  <c r="J65" i="28" s="1"/>
  <c r="I21" i="1"/>
  <c r="H65" i="28" s="1"/>
  <c r="L39" i="1"/>
  <c r="J128" i="28" s="1"/>
  <c r="L37" i="1"/>
  <c r="J126" i="28" s="1"/>
  <c r="L35" i="1"/>
  <c r="J124" i="28" s="1"/>
  <c r="I34" i="1"/>
  <c r="H123" i="28" s="1"/>
  <c r="I37" i="1"/>
  <c r="H126" i="28" s="1"/>
  <c r="I49" i="1"/>
  <c r="H198" i="28" s="1"/>
  <c r="I52" i="1"/>
  <c r="H201" i="28" s="1"/>
  <c r="L69" i="1"/>
  <c r="J98" i="28" s="1"/>
  <c r="L67" i="1"/>
  <c r="J96" i="28" s="1"/>
  <c r="L65" i="1"/>
  <c r="J94" i="28" s="1"/>
  <c r="I68" i="1"/>
  <c r="H97" i="28" s="1"/>
  <c r="I79" i="1"/>
  <c r="H213" i="28" s="1"/>
  <c r="I82" i="1"/>
  <c r="H216" i="28" s="1"/>
  <c r="L99" i="1"/>
  <c r="J143" i="28" s="1"/>
  <c r="L97" i="1"/>
  <c r="J141" i="28" s="1"/>
  <c r="L95" i="1"/>
  <c r="J139" i="28" s="1"/>
  <c r="I98" i="1"/>
  <c r="H142" i="28" s="1"/>
  <c r="L108" i="1"/>
  <c r="J227" i="28" s="1"/>
  <c r="I114" i="1"/>
  <c r="H233" i="28" s="1"/>
  <c r="I110" i="1"/>
  <c r="H229" i="28" s="1"/>
  <c r="L128" i="1"/>
  <c r="J112" i="28" s="1"/>
  <c r="L126" i="1"/>
  <c r="J110" i="28" s="1"/>
  <c r="L124" i="1"/>
  <c r="J108" i="28" s="1"/>
  <c r="I126" i="1"/>
  <c r="H110" i="28" s="1"/>
  <c r="I139" i="1"/>
  <c r="H78" i="28" s="1"/>
  <c r="I142" i="1"/>
  <c r="H81" i="28" s="1"/>
  <c r="L159" i="1"/>
  <c r="J23" i="28" s="1"/>
  <c r="L157" i="1"/>
  <c r="J21" i="28" s="1"/>
  <c r="L155" i="1"/>
  <c r="J19" i="28" s="1"/>
  <c r="I158" i="1"/>
  <c r="H22" i="28" s="1"/>
  <c r="L168" i="1"/>
  <c r="J242" i="28" s="1"/>
  <c r="E174" i="1"/>
  <c r="D248" i="28" s="1"/>
  <c r="O174" i="1"/>
  <c r="E248" i="1"/>
  <c r="D263" i="28"/>
  <c r="E263" i="1"/>
  <c r="D53" i="28"/>
  <c r="L53" i="1"/>
  <c r="J202" i="28" s="1"/>
  <c r="L51" i="1"/>
  <c r="J200" i="28" s="1"/>
  <c r="L49" i="1"/>
  <c r="J198" i="28" s="1"/>
  <c r="L83" i="1"/>
  <c r="J217" i="28" s="1"/>
  <c r="L114" i="1"/>
  <c r="J233" i="28" s="1"/>
  <c r="L112" i="1"/>
  <c r="J231" i="28" s="1"/>
  <c r="L110" i="1"/>
  <c r="J229" i="28" s="1"/>
  <c r="E129" i="1"/>
  <c r="O129" i="1"/>
  <c r="L143" i="1"/>
  <c r="J82" i="28" s="1"/>
  <c r="L141" i="1"/>
  <c r="J80" i="28" s="1"/>
  <c r="L139" i="1"/>
  <c r="J78" i="28" s="1"/>
  <c r="L174" i="1"/>
  <c r="J248" i="28" s="1"/>
  <c r="L172" i="1"/>
  <c r="J246" i="28" s="1"/>
  <c r="L170" i="1"/>
  <c r="J244" i="28" s="1"/>
  <c r="E278" i="1"/>
  <c r="D278" i="28"/>
  <c r="E218" i="1"/>
  <c r="D38" i="28"/>
  <c r="E188" i="1"/>
  <c r="D158" i="28"/>
  <c r="N229" i="15"/>
  <c r="G228" i="1" s="1"/>
  <c r="G229" i="1"/>
  <c r="E39" i="1"/>
  <c r="E54" i="1"/>
  <c r="E84" i="1"/>
  <c r="E144" i="1"/>
  <c r="E9" i="1"/>
  <c r="E114" i="1"/>
  <c r="G236" i="1"/>
  <c r="F10" i="28" s="1"/>
  <c r="N238" i="15"/>
  <c r="G281" i="1"/>
  <c r="N283" i="15"/>
  <c r="J680" i="18"/>
  <c r="F346" i="18" l="1"/>
  <c r="F361" i="18" s="1"/>
  <c r="E512" i="25"/>
  <c r="F279" i="28"/>
  <c r="E173" i="1"/>
  <c r="D247" i="28" s="1"/>
  <c r="E217" i="1"/>
  <c r="D37" i="28"/>
  <c r="F3" i="28"/>
  <c r="F273" i="28"/>
  <c r="D262" i="28"/>
  <c r="E247" i="1"/>
  <c r="E232" i="1"/>
  <c r="D7" i="28"/>
  <c r="E68" i="1"/>
  <c r="D98" i="28"/>
  <c r="H281" i="1"/>
  <c r="F280" i="28"/>
  <c r="E83" i="1"/>
  <c r="D218" i="28"/>
  <c r="E202" i="1"/>
  <c r="D172" i="28"/>
  <c r="E158" i="1"/>
  <c r="D23" i="28"/>
  <c r="E53" i="1"/>
  <c r="D203" i="28"/>
  <c r="E262" i="1"/>
  <c r="D52" i="28"/>
  <c r="E98" i="1"/>
  <c r="D143" i="28"/>
  <c r="E143" i="1"/>
  <c r="D83" i="28"/>
  <c r="E23" i="1"/>
  <c r="D68" i="28"/>
  <c r="E113" i="1"/>
  <c r="D233" i="28"/>
  <c r="F272" i="28"/>
  <c r="G272" i="28" s="1"/>
  <c r="F2" i="28"/>
  <c r="G2" i="28" s="1"/>
  <c r="E128" i="1"/>
  <c r="D113" i="28"/>
  <c r="E8" i="1"/>
  <c r="D188" i="28"/>
  <c r="E38" i="1"/>
  <c r="D128" i="28"/>
  <c r="E187" i="1"/>
  <c r="D157" i="28"/>
  <c r="E277" i="1"/>
  <c r="D277" i="28"/>
  <c r="H275" i="28"/>
  <c r="H274" i="28"/>
  <c r="H2" i="28"/>
  <c r="H3" i="28"/>
  <c r="H4" i="28"/>
  <c r="H272" i="28"/>
  <c r="H273" i="28"/>
  <c r="G237" i="1"/>
  <c r="F11" i="28" s="1"/>
  <c r="N239" i="15"/>
  <c r="G282" i="1"/>
  <c r="N284" i="15"/>
  <c r="E172" i="1" l="1"/>
  <c r="F376" i="18"/>
  <c r="F391" i="18" s="1"/>
  <c r="E287" i="25"/>
  <c r="E7" i="1"/>
  <c r="D187" i="28"/>
  <c r="G273" i="28"/>
  <c r="G274" i="28" s="1"/>
  <c r="G275" i="28" s="1"/>
  <c r="G276" i="28" s="1"/>
  <c r="G277" i="28" s="1"/>
  <c r="G278" i="28" s="1"/>
  <c r="G279" i="28" s="1"/>
  <c r="G280" i="28" s="1"/>
  <c r="E276" i="1"/>
  <c r="D276" i="28"/>
  <c r="E37" i="1"/>
  <c r="D127" i="28"/>
  <c r="E112" i="1"/>
  <c r="D232" i="28"/>
  <c r="E142" i="1"/>
  <c r="D82" i="28"/>
  <c r="D142" i="28"/>
  <c r="E97" i="1"/>
  <c r="E52" i="1"/>
  <c r="D202" i="28"/>
  <c r="E201" i="1"/>
  <c r="D171" i="28"/>
  <c r="E231" i="1"/>
  <c r="D6" i="28"/>
  <c r="G3" i="28"/>
  <c r="G4" i="28" s="1"/>
  <c r="G5" i="28" s="1"/>
  <c r="G6" i="28" s="1"/>
  <c r="G7" i="28" s="1"/>
  <c r="G8" i="28" s="1"/>
  <c r="G9" i="28" s="1"/>
  <c r="G10" i="28" s="1"/>
  <c r="G11" i="28" s="1"/>
  <c r="E186" i="1"/>
  <c r="D156" i="28"/>
  <c r="H282" i="1"/>
  <c r="F281" i="28"/>
  <c r="E127" i="1"/>
  <c r="D112" i="28"/>
  <c r="E246" i="1"/>
  <c r="D261" i="28"/>
  <c r="D67" i="28"/>
  <c r="E22" i="1"/>
  <c r="E171" i="1"/>
  <c r="D246" i="28"/>
  <c r="E261" i="1"/>
  <c r="D51" i="28"/>
  <c r="D22" i="28"/>
  <c r="E157" i="1"/>
  <c r="E82" i="1"/>
  <c r="D217" i="28"/>
  <c r="D97" i="28"/>
  <c r="E67" i="1"/>
  <c r="E216" i="1"/>
  <c r="D36" i="28"/>
  <c r="G238" i="1"/>
  <c r="F12" i="28" s="1"/>
  <c r="N240" i="15"/>
  <c r="G283" i="1"/>
  <c r="N285" i="15"/>
  <c r="L979" i="18"/>
  <c r="L980" i="18"/>
  <c r="L978" i="18"/>
  <c r="K17" i="25" s="1"/>
  <c r="J979" i="18"/>
  <c r="J980" i="18"/>
  <c r="J978" i="18"/>
  <c r="F406" i="18" l="1"/>
  <c r="F421" i="18" s="1"/>
  <c r="E243" i="25"/>
  <c r="G12" i="28"/>
  <c r="G281" i="28"/>
  <c r="E21" i="1"/>
  <c r="D66" i="28"/>
  <c r="E51" i="1"/>
  <c r="D201" i="28"/>
  <c r="E36" i="1"/>
  <c r="D126" i="28"/>
  <c r="E66" i="1"/>
  <c r="D96" i="28"/>
  <c r="E156" i="1"/>
  <c r="D21" i="28"/>
  <c r="E200" i="1"/>
  <c r="D170" i="28"/>
  <c r="E111" i="1"/>
  <c r="D231" i="28"/>
  <c r="E170" i="1"/>
  <c r="D245" i="28"/>
  <c r="E245" i="1"/>
  <c r="D260" i="28"/>
  <c r="E230" i="1"/>
  <c r="D275" i="28"/>
  <c r="D5" i="28"/>
  <c r="E141" i="1"/>
  <c r="D81" i="28"/>
  <c r="H283" i="1"/>
  <c r="F282" i="28"/>
  <c r="E215" i="1"/>
  <c r="D35" i="28"/>
  <c r="E81" i="1"/>
  <c r="D216" i="28"/>
  <c r="E260" i="1"/>
  <c r="D50" i="28"/>
  <c r="E126" i="1"/>
  <c r="D111" i="28"/>
  <c r="E185" i="1"/>
  <c r="D155" i="28"/>
  <c r="E96" i="1"/>
  <c r="D141" i="28"/>
  <c r="E6" i="1"/>
  <c r="D186" i="28"/>
  <c r="N241" i="15"/>
  <c r="G239" i="1"/>
  <c r="F13" i="28" s="1"/>
  <c r="N286" i="15"/>
  <c r="G284" i="1"/>
  <c r="A1133" i="18"/>
  <c r="C1133" i="18"/>
  <c r="E1133" i="18"/>
  <c r="G1133" i="18"/>
  <c r="I1133" i="18"/>
  <c r="J1133" i="18"/>
  <c r="L1133" i="18"/>
  <c r="A1134" i="18"/>
  <c r="C1134" i="18"/>
  <c r="E1134" i="18"/>
  <c r="G1134" i="18"/>
  <c r="I1134" i="18"/>
  <c r="J1134" i="18"/>
  <c r="L1134" i="18"/>
  <c r="A1135" i="18"/>
  <c r="C1135" i="18"/>
  <c r="E1135" i="18"/>
  <c r="G1135" i="18"/>
  <c r="I1135" i="18"/>
  <c r="J1135" i="18"/>
  <c r="L1135" i="18"/>
  <c r="A1136" i="18"/>
  <c r="C1136" i="18"/>
  <c r="E1136" i="18"/>
  <c r="G1136" i="18"/>
  <c r="I1136" i="18"/>
  <c r="J1136" i="18"/>
  <c r="L1136" i="18"/>
  <c r="A1137" i="18"/>
  <c r="C1137" i="18"/>
  <c r="E1137" i="18"/>
  <c r="G1137" i="18"/>
  <c r="I1137" i="18"/>
  <c r="J1137" i="18"/>
  <c r="L1137" i="18"/>
  <c r="A1138" i="18"/>
  <c r="C1138" i="18"/>
  <c r="E1138" i="18"/>
  <c r="G1138" i="18"/>
  <c r="I1138" i="18"/>
  <c r="J1138" i="18"/>
  <c r="L1138" i="18"/>
  <c r="A1139" i="18"/>
  <c r="C1139" i="18"/>
  <c r="E1139" i="18"/>
  <c r="G1139" i="18"/>
  <c r="I1139" i="18"/>
  <c r="J1139" i="18"/>
  <c r="L1139" i="18"/>
  <c r="A1140" i="18"/>
  <c r="C1140" i="18"/>
  <c r="E1140" i="18"/>
  <c r="G1140" i="18"/>
  <c r="I1140" i="18"/>
  <c r="J1140" i="18"/>
  <c r="L1140" i="18"/>
  <c r="E1141" i="18"/>
  <c r="G1141" i="18"/>
  <c r="I1141" i="18"/>
  <c r="J1141" i="18"/>
  <c r="L1141" i="18"/>
  <c r="E1142" i="18"/>
  <c r="G1142" i="18"/>
  <c r="I1142" i="18"/>
  <c r="J1142" i="18"/>
  <c r="L1142" i="18"/>
  <c r="E1143" i="18"/>
  <c r="G1143" i="18"/>
  <c r="I1143" i="18"/>
  <c r="J1143" i="18"/>
  <c r="L1143" i="18"/>
  <c r="E1144" i="18"/>
  <c r="G1144" i="18"/>
  <c r="I1144" i="18"/>
  <c r="J1144" i="18"/>
  <c r="L1144" i="18"/>
  <c r="A1150" i="18"/>
  <c r="C1150" i="18"/>
  <c r="E1150" i="18"/>
  <c r="G1150" i="18"/>
  <c r="I1150" i="18"/>
  <c r="J1150" i="18"/>
  <c r="L1150" i="18"/>
  <c r="A1151" i="18"/>
  <c r="C1151" i="18"/>
  <c r="E1151" i="18"/>
  <c r="G1151" i="18"/>
  <c r="I1151" i="18"/>
  <c r="J1151" i="18"/>
  <c r="L1151" i="18"/>
  <c r="A1152" i="18"/>
  <c r="C1152" i="18"/>
  <c r="E1152" i="18"/>
  <c r="G1152" i="18"/>
  <c r="I1152" i="18"/>
  <c r="J1152" i="18"/>
  <c r="L1152" i="18"/>
  <c r="A1153" i="18"/>
  <c r="C1153" i="18"/>
  <c r="E1153" i="18"/>
  <c r="G1153" i="18"/>
  <c r="I1153" i="18"/>
  <c r="J1153" i="18"/>
  <c r="L1153" i="18"/>
  <c r="A1154" i="18"/>
  <c r="C1154" i="18"/>
  <c r="E1154" i="18"/>
  <c r="G1154" i="18"/>
  <c r="I1154" i="18"/>
  <c r="J1154" i="18"/>
  <c r="L1154" i="18"/>
  <c r="A1155" i="18"/>
  <c r="C1155" i="18"/>
  <c r="E1155" i="18"/>
  <c r="G1155" i="18"/>
  <c r="I1155" i="18"/>
  <c r="J1155" i="18"/>
  <c r="L1155" i="18"/>
  <c r="A1156" i="18"/>
  <c r="C1156" i="18"/>
  <c r="E1156" i="18"/>
  <c r="G1156" i="18"/>
  <c r="I1156" i="18"/>
  <c r="J1156" i="18"/>
  <c r="L1156" i="18"/>
  <c r="A1157" i="18"/>
  <c r="C1157" i="18"/>
  <c r="E1157" i="18"/>
  <c r="G1157" i="18"/>
  <c r="I1157" i="18"/>
  <c r="J1157" i="18"/>
  <c r="L1157" i="18"/>
  <c r="E1158" i="18"/>
  <c r="G1158" i="18"/>
  <c r="H1158" i="18"/>
  <c r="I1158" i="18"/>
  <c r="J1158" i="18"/>
  <c r="L1158" i="18"/>
  <c r="E1159" i="18"/>
  <c r="G1159" i="18"/>
  <c r="H1159" i="18"/>
  <c r="I1159" i="18"/>
  <c r="J1159" i="18"/>
  <c r="L1159" i="18"/>
  <c r="E1160" i="18"/>
  <c r="G1160" i="18"/>
  <c r="H1160" i="18"/>
  <c r="I1160" i="18"/>
  <c r="J1160" i="18"/>
  <c r="L1160" i="18"/>
  <c r="A1167" i="18"/>
  <c r="C1167" i="18"/>
  <c r="E1167" i="18"/>
  <c r="G1167" i="18"/>
  <c r="I1167" i="18"/>
  <c r="J1167" i="18"/>
  <c r="L1167" i="18"/>
  <c r="A1168" i="18"/>
  <c r="C1168" i="18"/>
  <c r="E1168" i="18"/>
  <c r="G1168" i="18"/>
  <c r="I1168" i="18"/>
  <c r="J1168" i="18"/>
  <c r="L1168" i="18"/>
  <c r="A1169" i="18"/>
  <c r="C1169" i="18"/>
  <c r="E1169" i="18"/>
  <c r="G1169" i="18"/>
  <c r="I1169" i="18"/>
  <c r="J1169" i="18"/>
  <c r="L1169" i="18"/>
  <c r="A1170" i="18"/>
  <c r="C1170" i="18"/>
  <c r="E1170" i="18"/>
  <c r="G1170" i="18"/>
  <c r="I1170" i="18"/>
  <c r="J1170" i="18"/>
  <c r="L1170" i="18"/>
  <c r="A1171" i="18"/>
  <c r="C1171" i="18"/>
  <c r="E1171" i="18"/>
  <c r="G1171" i="18"/>
  <c r="I1171" i="18"/>
  <c r="J1171" i="18"/>
  <c r="L1171" i="18"/>
  <c r="A1172" i="18"/>
  <c r="C1172" i="18"/>
  <c r="E1172" i="18"/>
  <c r="G1172" i="18"/>
  <c r="I1172" i="18"/>
  <c r="J1172" i="18"/>
  <c r="L1172" i="18"/>
  <c r="A1173" i="18"/>
  <c r="C1173" i="18"/>
  <c r="E1173" i="18"/>
  <c r="G1173" i="18"/>
  <c r="I1173" i="18"/>
  <c r="J1173" i="18"/>
  <c r="L1173" i="18"/>
  <c r="A1174" i="18"/>
  <c r="C1174" i="18"/>
  <c r="E1174" i="18"/>
  <c r="G1174" i="18"/>
  <c r="I1174" i="18"/>
  <c r="J1174" i="18"/>
  <c r="L1174" i="18"/>
  <c r="E1175" i="18"/>
  <c r="G1175" i="18"/>
  <c r="I1175" i="18"/>
  <c r="J1175" i="18"/>
  <c r="L1175" i="18"/>
  <c r="E1176" i="18"/>
  <c r="G1176" i="18"/>
  <c r="I1176" i="18"/>
  <c r="J1176" i="18"/>
  <c r="L1176" i="18"/>
  <c r="E1177" i="18"/>
  <c r="G1177" i="18"/>
  <c r="I1177" i="18"/>
  <c r="J1177" i="18"/>
  <c r="L1177" i="18"/>
  <c r="E1178" i="18"/>
  <c r="G1178" i="18"/>
  <c r="I1178" i="18"/>
  <c r="J1178" i="18"/>
  <c r="L1178" i="18"/>
  <c r="E1184" i="18"/>
  <c r="G1184" i="18"/>
  <c r="I1184" i="18"/>
  <c r="J1184" i="18"/>
  <c r="L1184" i="18"/>
  <c r="E1185" i="18"/>
  <c r="G1185" i="18"/>
  <c r="I1185" i="18"/>
  <c r="J1185" i="18"/>
  <c r="L1185" i="18"/>
  <c r="E1186" i="18"/>
  <c r="G1186" i="18"/>
  <c r="I1186" i="18"/>
  <c r="J1186" i="18"/>
  <c r="L1186" i="18"/>
  <c r="E1187" i="18"/>
  <c r="G1187" i="18"/>
  <c r="I1187" i="18"/>
  <c r="J1187" i="18"/>
  <c r="L1187" i="18"/>
  <c r="F26" i="20"/>
  <c r="G26" i="20" s="1"/>
  <c r="P26" i="20" s="1"/>
  <c r="B26" i="20"/>
  <c r="F25" i="20"/>
  <c r="G25" i="20" s="1"/>
  <c r="P25" i="20" s="1"/>
  <c r="B25" i="20"/>
  <c r="C25" i="20" s="1"/>
  <c r="O25" i="20" s="1"/>
  <c r="F24" i="20"/>
  <c r="B24" i="20"/>
  <c r="F23" i="20"/>
  <c r="B23" i="20"/>
  <c r="C23" i="20" s="1"/>
  <c r="O23" i="20" s="1"/>
  <c r="F22" i="20"/>
  <c r="B22" i="20"/>
  <c r="A22" i="20"/>
  <c r="A23" i="20" s="1"/>
  <c r="A24" i="20" s="1"/>
  <c r="A25" i="20" s="1"/>
  <c r="A26" i="20" s="1"/>
  <c r="P21" i="20"/>
  <c r="G21" i="20"/>
  <c r="B21" i="20"/>
  <c r="C21" i="20" s="1"/>
  <c r="O21" i="20" s="1"/>
  <c r="G20" i="20"/>
  <c r="P20" i="20" s="1"/>
  <c r="B20" i="20"/>
  <c r="G19" i="20"/>
  <c r="B19" i="20"/>
  <c r="C19" i="20" s="1"/>
  <c r="P18" i="20"/>
  <c r="G18" i="20"/>
  <c r="B18" i="20"/>
  <c r="P17" i="20"/>
  <c r="H17" i="20"/>
  <c r="G17" i="20"/>
  <c r="B17" i="20"/>
  <c r="G16" i="20"/>
  <c r="B16" i="20"/>
  <c r="C16" i="20" s="1"/>
  <c r="G15" i="20"/>
  <c r="P15" i="20" s="1"/>
  <c r="B15" i="20"/>
  <c r="C15" i="20" s="1"/>
  <c r="G14" i="20"/>
  <c r="P14" i="20" s="1"/>
  <c r="B14" i="20"/>
  <c r="G13" i="20"/>
  <c r="B13" i="20"/>
  <c r="B12" i="20"/>
  <c r="C12" i="20" s="1"/>
  <c r="J11" i="20"/>
  <c r="F11" i="20"/>
  <c r="G12" i="20" s="1"/>
  <c r="B11" i="20"/>
  <c r="J10" i="20"/>
  <c r="F10" i="20"/>
  <c r="B10" i="20"/>
  <c r="A10" i="20"/>
  <c r="A11" i="20" s="1"/>
  <c r="A12" i="20" s="1"/>
  <c r="A13" i="20" s="1"/>
  <c r="A14" i="20" s="1"/>
  <c r="A15" i="20" s="1"/>
  <c r="A16" i="20" s="1"/>
  <c r="A17" i="20" s="1"/>
  <c r="A18" i="20" s="1"/>
  <c r="A19" i="20" s="1"/>
  <c r="A20" i="20" s="1"/>
  <c r="J8" i="20"/>
  <c r="F8" i="20"/>
  <c r="B8" i="20"/>
  <c r="J7" i="20"/>
  <c r="F7" i="20"/>
  <c r="B7" i="20"/>
  <c r="J6" i="20"/>
  <c r="F6" i="20"/>
  <c r="B6" i="20"/>
  <c r="G240" i="1" l="1"/>
  <c r="F14" i="28" s="1"/>
  <c r="N242" i="15"/>
  <c r="G241" i="1" s="1"/>
  <c r="F15" i="28" s="1"/>
  <c r="G285" i="1"/>
  <c r="F284" i="28" s="1"/>
  <c r="N287" i="15"/>
  <c r="G286" i="1" s="1"/>
  <c r="F285" i="28" s="1"/>
  <c r="F436" i="18"/>
  <c r="F451" i="18" s="1"/>
  <c r="F466" i="18" s="1"/>
  <c r="F481" i="18" s="1"/>
  <c r="F496" i="18" s="1"/>
  <c r="F511" i="18" s="1"/>
  <c r="F526" i="18" s="1"/>
  <c r="E497" i="25"/>
  <c r="G13" i="28"/>
  <c r="C13" i="20"/>
  <c r="G31" i="20"/>
  <c r="H21" i="20"/>
  <c r="C24" i="20"/>
  <c r="O24" i="20" s="1"/>
  <c r="Q24" i="20" s="1"/>
  <c r="S24" i="20" s="1"/>
  <c r="E140" i="1"/>
  <c r="D80" i="28"/>
  <c r="Q25" i="20"/>
  <c r="S25" i="20" s="1"/>
  <c r="C17" i="20"/>
  <c r="D18" i="20" s="1"/>
  <c r="C22" i="20"/>
  <c r="O22" i="20" s="1"/>
  <c r="C7" i="20"/>
  <c r="H19" i="20"/>
  <c r="C20" i="20"/>
  <c r="O20" i="20" s="1"/>
  <c r="Q20" i="20" s="1"/>
  <c r="S20" i="20" s="1"/>
  <c r="G24" i="20"/>
  <c r="P24" i="20" s="1"/>
  <c r="C26" i="20"/>
  <c r="O26" i="20" s="1"/>
  <c r="Q26" i="20" s="1"/>
  <c r="S26" i="20" s="1"/>
  <c r="E95" i="1"/>
  <c r="D140" i="28"/>
  <c r="E125" i="1"/>
  <c r="D110" i="28"/>
  <c r="E80" i="1"/>
  <c r="D215" i="28"/>
  <c r="E244" i="1"/>
  <c r="D259" i="28"/>
  <c r="E110" i="1"/>
  <c r="D230" i="28"/>
  <c r="E155" i="1"/>
  <c r="D20" i="28"/>
  <c r="E35" i="1"/>
  <c r="D125" i="28"/>
  <c r="E20" i="1"/>
  <c r="D65" i="28"/>
  <c r="H284" i="1"/>
  <c r="F283" i="28"/>
  <c r="G282" i="28"/>
  <c r="E5" i="1"/>
  <c r="D185" i="28"/>
  <c r="E184" i="1"/>
  <c r="D154" i="28"/>
  <c r="E259" i="1"/>
  <c r="D49" i="28"/>
  <c r="E214" i="1"/>
  <c r="D34" i="28"/>
  <c r="E229" i="1"/>
  <c r="D274" i="28"/>
  <c r="D4" i="28"/>
  <c r="E169" i="1"/>
  <c r="D244" i="28"/>
  <c r="E199" i="1"/>
  <c r="D169" i="28"/>
  <c r="E65" i="1"/>
  <c r="D95" i="28"/>
  <c r="E50" i="1"/>
  <c r="D200" i="28"/>
  <c r="O13" i="20"/>
  <c r="O19" i="20"/>
  <c r="H14" i="20"/>
  <c r="P12" i="20"/>
  <c r="D17" i="20"/>
  <c r="O15" i="20"/>
  <c r="Q15" i="20" s="1"/>
  <c r="S15" i="20" s="1"/>
  <c r="G22" i="20"/>
  <c r="P22" i="20" s="1"/>
  <c r="Q22" i="20" s="1"/>
  <c r="S22" i="20" s="1"/>
  <c r="G23" i="20"/>
  <c r="P23" i="20" s="1"/>
  <c r="Q23" i="20" s="1"/>
  <c r="S23" i="20" s="1"/>
  <c r="O17" i="20"/>
  <c r="Q17" i="20" s="1"/>
  <c r="S17" i="20" s="1"/>
  <c r="C18" i="20"/>
  <c r="Q21" i="20"/>
  <c r="S21" i="20" s="1"/>
  <c r="O16" i="20"/>
  <c r="C8" i="20"/>
  <c r="D14" i="20"/>
  <c r="O12" i="20"/>
  <c r="Q12" i="20" s="1"/>
  <c r="C14" i="20"/>
  <c r="D15" i="20" s="1"/>
  <c r="H18" i="20"/>
  <c r="G30" i="20"/>
  <c r="G32" i="20" s="1"/>
  <c r="P16" i="20"/>
  <c r="H16" i="20"/>
  <c r="H20" i="20"/>
  <c r="P13" i="20"/>
  <c r="H15" i="20"/>
  <c r="P19" i="20"/>
  <c r="G14" i="28" l="1"/>
  <c r="G15" i="28" s="1"/>
  <c r="H285" i="1"/>
  <c r="H286" i="1" s="1"/>
  <c r="F541" i="18"/>
  <c r="F556" i="18" s="1"/>
  <c r="F571" i="18" s="1"/>
  <c r="E57" i="25"/>
  <c r="E183" i="1"/>
  <c r="D152" i="28" s="1"/>
  <c r="D153" i="28"/>
  <c r="E49" i="1"/>
  <c r="D199" i="28"/>
  <c r="E198" i="1"/>
  <c r="D167" i="28" s="1"/>
  <c r="D168" i="28"/>
  <c r="E34" i="1"/>
  <c r="D124" i="28"/>
  <c r="E94" i="1"/>
  <c r="D139" i="28"/>
  <c r="E228" i="1"/>
  <c r="D3" i="28"/>
  <c r="D273" i="28"/>
  <c r="E258" i="1"/>
  <c r="D47" i="28" s="1"/>
  <c r="D48" i="28"/>
  <c r="E4" i="1"/>
  <c r="D184" i="28"/>
  <c r="E213" i="1"/>
  <c r="D32" i="28" s="1"/>
  <c r="D33" i="28"/>
  <c r="E109" i="1"/>
  <c r="D229" i="28"/>
  <c r="E79" i="1"/>
  <c r="D214" i="28"/>
  <c r="C31" i="20"/>
  <c r="D21" i="20"/>
  <c r="E64" i="1"/>
  <c r="D94" i="28"/>
  <c r="E168" i="1"/>
  <c r="D242" i="28" s="1"/>
  <c r="D243" i="28"/>
  <c r="G283" i="28"/>
  <c r="G284" i="28" s="1"/>
  <c r="G285" i="28" s="1"/>
  <c r="E19" i="1"/>
  <c r="D64" i="28"/>
  <c r="E154" i="1"/>
  <c r="D19" i="28"/>
  <c r="E243" i="1"/>
  <c r="D257" i="28" s="1"/>
  <c r="D258" i="28"/>
  <c r="E124" i="1"/>
  <c r="D109" i="28"/>
  <c r="E139" i="1"/>
  <c r="D79" i="28"/>
  <c r="H31" i="20"/>
  <c r="H23" i="20"/>
  <c r="H30" i="20"/>
  <c r="U12" i="20"/>
  <c r="S12" i="20"/>
  <c r="Q19" i="20"/>
  <c r="S19" i="20" s="1"/>
  <c r="D20" i="20"/>
  <c r="O18" i="20"/>
  <c r="Q18" i="20" s="1"/>
  <c r="S18" i="20" s="1"/>
  <c r="C30" i="20"/>
  <c r="Q16" i="20"/>
  <c r="S16" i="20" s="1"/>
  <c r="D16" i="20"/>
  <c r="D23" i="20" s="1"/>
  <c r="O14" i="20"/>
  <c r="Q14" i="20" s="1"/>
  <c r="S14" i="20" s="1"/>
  <c r="Q13" i="20"/>
  <c r="S13" i="20" s="1"/>
  <c r="D19" i="20"/>
  <c r="F586" i="18" l="1"/>
  <c r="E437" i="25"/>
  <c r="E108" i="1"/>
  <c r="D227" i="28" s="1"/>
  <c r="D228" i="28"/>
  <c r="C32" i="20"/>
  <c r="E138" i="1"/>
  <c r="D77" i="28" s="1"/>
  <c r="D78" i="28"/>
  <c r="E18" i="1"/>
  <c r="D62" i="28" s="1"/>
  <c r="D63" i="28"/>
  <c r="D272" i="28"/>
  <c r="D2" i="28"/>
  <c r="E33" i="1"/>
  <c r="D122" i="28" s="1"/>
  <c r="D123" i="28"/>
  <c r="E48" i="1"/>
  <c r="D197" i="28" s="1"/>
  <c r="D198" i="28"/>
  <c r="E3" i="1"/>
  <c r="D182" i="28" s="1"/>
  <c r="D183" i="28"/>
  <c r="E63" i="1"/>
  <c r="D92" i="28" s="1"/>
  <c r="D93" i="28"/>
  <c r="E78" i="1"/>
  <c r="D212" i="28" s="1"/>
  <c r="D213" i="28"/>
  <c r="D31" i="20"/>
  <c r="E123" i="1"/>
  <c r="D107" i="28" s="1"/>
  <c r="D108" i="28"/>
  <c r="E153" i="1"/>
  <c r="D17" i="28" s="1"/>
  <c r="D18" i="28"/>
  <c r="E93" i="1"/>
  <c r="D137" i="28" s="1"/>
  <c r="D138" i="28"/>
  <c r="H32" i="20"/>
  <c r="D30" i="20"/>
  <c r="U13" i="20"/>
  <c r="J12" i="20"/>
  <c r="K12" i="20" s="1"/>
  <c r="F601" i="18" l="1"/>
  <c r="F616" i="18" s="1"/>
  <c r="F631" i="18" s="1"/>
  <c r="E138" i="25"/>
  <c r="D32" i="20"/>
  <c r="U14" i="20"/>
  <c r="J13" i="20"/>
  <c r="K13" i="20" s="1"/>
  <c r="F646" i="18" l="1"/>
  <c r="F661" i="18" s="1"/>
  <c r="E96" i="25"/>
  <c r="U15" i="20"/>
  <c r="W14" i="20"/>
  <c r="F18" i="18" s="1"/>
  <c r="F33" i="18" s="1"/>
  <c r="F48" i="18" s="1"/>
  <c r="J14" i="20"/>
  <c r="K14" i="20" s="1"/>
  <c r="F676" i="18" l="1"/>
  <c r="E392" i="25"/>
  <c r="E319" i="25"/>
  <c r="F63" i="18"/>
  <c r="F78" i="18" s="1"/>
  <c r="W15" i="20"/>
  <c r="F19" i="18" s="1"/>
  <c r="F34" i="18" s="1"/>
  <c r="F49" i="18" s="1"/>
  <c r="J15" i="20"/>
  <c r="K15" i="20" s="1"/>
  <c r="U16" i="20"/>
  <c r="L14" i="20"/>
  <c r="L15" i="20"/>
  <c r="F691" i="18" l="1"/>
  <c r="E362" i="25"/>
  <c r="E320" i="25"/>
  <c r="F64" i="18"/>
  <c r="F79" i="18" s="1"/>
  <c r="E304" i="25"/>
  <c r="F93" i="18"/>
  <c r="W16" i="20"/>
  <c r="F20" i="18" s="1"/>
  <c r="F35" i="18" s="1"/>
  <c r="F50" i="18" s="1"/>
  <c r="J16" i="20"/>
  <c r="K16" i="20" s="1"/>
  <c r="U17" i="20"/>
  <c r="F706" i="18" l="1"/>
  <c r="F721" i="18" s="1"/>
  <c r="F736" i="18" s="1"/>
  <c r="E257" i="25"/>
  <c r="E321" i="25"/>
  <c r="F65" i="18"/>
  <c r="F80" i="18" s="1"/>
  <c r="E305" i="25"/>
  <c r="F94" i="18"/>
  <c r="E155" i="25"/>
  <c r="F108" i="18"/>
  <c r="F123" i="18" s="1"/>
  <c r="L16" i="20"/>
  <c r="U18" i="20"/>
  <c r="W17" i="20"/>
  <c r="F21" i="18" s="1"/>
  <c r="F36" i="18" s="1"/>
  <c r="F51" i="18" s="1"/>
  <c r="J17" i="20"/>
  <c r="K17" i="20" s="1"/>
  <c r="F751" i="18" l="1"/>
  <c r="F766" i="18" s="1"/>
  <c r="E452" i="25"/>
  <c r="E156" i="25"/>
  <c r="F109" i="18"/>
  <c r="F124" i="18" s="1"/>
  <c r="E394" i="25"/>
  <c r="F138" i="18"/>
  <c r="F153" i="18" s="1"/>
  <c r="F168" i="18" s="1"/>
  <c r="F183" i="18" s="1"/>
  <c r="F198" i="18" s="1"/>
  <c r="F213" i="18" s="1"/>
  <c r="F228" i="18" s="1"/>
  <c r="E306" i="25"/>
  <c r="F95" i="18"/>
  <c r="E322" i="25"/>
  <c r="F66" i="18"/>
  <c r="F81" i="18" s="1"/>
  <c r="U19" i="20"/>
  <c r="J18" i="20"/>
  <c r="K18" i="20" s="1"/>
  <c r="L18" i="20" s="1"/>
  <c r="W18" i="20"/>
  <c r="F22" i="18" s="1"/>
  <c r="F37" i="18" s="1"/>
  <c r="F52" i="18" s="1"/>
  <c r="L17" i="20"/>
  <c r="F781" i="18" l="1"/>
  <c r="F796" i="18" s="1"/>
  <c r="F811" i="18" s="1"/>
  <c r="E183" i="25"/>
  <c r="E323" i="25"/>
  <c r="F67" i="18"/>
  <c r="F82" i="18" s="1"/>
  <c r="E307" i="25"/>
  <c r="F96" i="18"/>
  <c r="F243" i="18"/>
  <c r="E71" i="25"/>
  <c r="E157" i="25"/>
  <c r="F110" i="18"/>
  <c r="F125" i="18" s="1"/>
  <c r="E395" i="25"/>
  <c r="F139" i="18"/>
  <c r="F154" i="18" s="1"/>
  <c r="F169" i="18" s="1"/>
  <c r="F184" i="18" s="1"/>
  <c r="F199" i="18" s="1"/>
  <c r="F214" i="18" s="1"/>
  <c r="F229" i="18" s="1"/>
  <c r="W19" i="20"/>
  <c r="F23" i="18" s="1"/>
  <c r="F38" i="18" s="1"/>
  <c r="F53" i="18" s="1"/>
  <c r="J19" i="20"/>
  <c r="K19" i="20" s="1"/>
  <c r="U20" i="20"/>
  <c r="E213" i="25" l="1"/>
  <c r="E324" i="25"/>
  <c r="F68" i="18"/>
  <c r="F83" i="18" s="1"/>
  <c r="E396" i="25"/>
  <c r="F140" i="18"/>
  <c r="F155" i="18" s="1"/>
  <c r="F170" i="18" s="1"/>
  <c r="F185" i="18" s="1"/>
  <c r="F200" i="18" s="1"/>
  <c r="F215" i="18" s="1"/>
  <c r="F230" i="18" s="1"/>
  <c r="E158" i="25"/>
  <c r="F111" i="18"/>
  <c r="F126" i="18" s="1"/>
  <c r="F244" i="18"/>
  <c r="E72" i="25"/>
  <c r="E308" i="25"/>
  <c r="F97" i="18"/>
  <c r="E289" i="25"/>
  <c r="F258" i="18"/>
  <c r="U21" i="20"/>
  <c r="W20" i="20"/>
  <c r="F24" i="18" s="1"/>
  <c r="F39" i="18" s="1"/>
  <c r="F54" i="18" s="1"/>
  <c r="J20" i="20"/>
  <c r="K20" i="20" s="1"/>
  <c r="L19" i="20"/>
  <c r="F856" i="18" l="1"/>
  <c r="E325" i="25"/>
  <c r="F69" i="18"/>
  <c r="F84" i="18" s="1"/>
  <c r="E290" i="25"/>
  <c r="F259" i="18"/>
  <c r="F245" i="18"/>
  <c r="E73" i="25"/>
  <c r="E159" i="25"/>
  <c r="F112" i="18"/>
  <c r="F127" i="18" s="1"/>
  <c r="E397" i="25"/>
  <c r="F141" i="18"/>
  <c r="F156" i="18" s="1"/>
  <c r="F171" i="18" s="1"/>
  <c r="F186" i="18" s="1"/>
  <c r="F201" i="18" s="1"/>
  <c r="F216" i="18" s="1"/>
  <c r="F231" i="18" s="1"/>
  <c r="E309" i="25"/>
  <c r="F98" i="18"/>
  <c r="E140" i="25"/>
  <c r="F273" i="18"/>
  <c r="F288" i="18" s="1"/>
  <c r="F303" i="18" s="1"/>
  <c r="K31" i="20"/>
  <c r="L20" i="20"/>
  <c r="K30" i="20"/>
  <c r="L30" i="20"/>
  <c r="L31" i="20"/>
  <c r="U22" i="20"/>
  <c r="J21" i="20"/>
  <c r="K21" i="20" s="1"/>
  <c r="L21" i="20" s="1"/>
  <c r="L23" i="20" s="1"/>
  <c r="W21" i="20"/>
  <c r="F25" i="18" s="1"/>
  <c r="F40" i="18" s="1"/>
  <c r="F55" i="18" s="1"/>
  <c r="F871" i="18" l="1"/>
  <c r="F886" i="18" s="1"/>
  <c r="E347" i="25"/>
  <c r="E398" i="25"/>
  <c r="F142" i="18"/>
  <c r="F157" i="18" s="1"/>
  <c r="F172" i="18" s="1"/>
  <c r="F187" i="18" s="1"/>
  <c r="F202" i="18" s="1"/>
  <c r="F217" i="18" s="1"/>
  <c r="F232" i="18" s="1"/>
  <c r="E326" i="25"/>
  <c r="F70" i="18"/>
  <c r="F85" i="18" s="1"/>
  <c r="E409" i="25"/>
  <c r="F318" i="18"/>
  <c r="F246" i="18"/>
  <c r="E74" i="25"/>
  <c r="E310" i="25"/>
  <c r="F99" i="18"/>
  <c r="E160" i="25"/>
  <c r="F113" i="18"/>
  <c r="F128" i="18" s="1"/>
  <c r="E141" i="25"/>
  <c r="F274" i="18"/>
  <c r="F289" i="18" s="1"/>
  <c r="F304" i="18" s="1"/>
  <c r="E291" i="25"/>
  <c r="F260" i="18"/>
  <c r="J22" i="20"/>
  <c r="K22" i="20" s="1"/>
  <c r="U23" i="20"/>
  <c r="W22" i="20"/>
  <c r="F26" i="18" s="1"/>
  <c r="F41" i="18" s="1"/>
  <c r="F56" i="18" s="1"/>
  <c r="L32" i="20"/>
  <c r="K32" i="20"/>
  <c r="F901" i="18" l="1"/>
  <c r="F916" i="18" s="1"/>
  <c r="F931" i="18" s="1"/>
  <c r="F946" i="18" s="1"/>
  <c r="F961" i="18" s="1"/>
  <c r="E377" i="25"/>
  <c r="E327" i="25"/>
  <c r="F71" i="18"/>
  <c r="F86" i="18" s="1"/>
  <c r="E311" i="25"/>
  <c r="F100" i="18"/>
  <c r="E292" i="25"/>
  <c r="F261" i="18"/>
  <c r="E399" i="25"/>
  <c r="F143" i="18"/>
  <c r="F158" i="18" s="1"/>
  <c r="F173" i="18" s="1"/>
  <c r="F188" i="18" s="1"/>
  <c r="F203" i="18" s="1"/>
  <c r="F218" i="18" s="1"/>
  <c r="F233" i="18" s="1"/>
  <c r="E410" i="25"/>
  <c r="F319" i="18"/>
  <c r="E161" i="25"/>
  <c r="F114" i="18"/>
  <c r="F129" i="18" s="1"/>
  <c r="E499" i="25"/>
  <c r="F333" i="18"/>
  <c r="F348" i="18" s="1"/>
  <c r="F247" i="18"/>
  <c r="E75" i="25"/>
  <c r="E142" i="25"/>
  <c r="F275" i="18"/>
  <c r="F290" i="18" s="1"/>
  <c r="F305" i="18" s="1"/>
  <c r="U24" i="20"/>
  <c r="W23" i="20"/>
  <c r="F27" i="18" s="1"/>
  <c r="F42" i="18" s="1"/>
  <c r="F57" i="18" s="1"/>
  <c r="J23" i="20"/>
  <c r="K23" i="20" s="1"/>
  <c r="F976" i="18" l="1"/>
  <c r="F991" i="18" s="1"/>
  <c r="E272" i="25"/>
  <c r="F248" i="18"/>
  <c r="E76" i="25"/>
  <c r="E162" i="25"/>
  <c r="F115" i="18"/>
  <c r="F130" i="18" s="1"/>
  <c r="E293" i="25"/>
  <c r="F262" i="18"/>
  <c r="E400" i="25"/>
  <c r="F144" i="18"/>
  <c r="F159" i="18" s="1"/>
  <c r="F174" i="18" s="1"/>
  <c r="F189" i="18" s="1"/>
  <c r="F204" i="18" s="1"/>
  <c r="F219" i="18" s="1"/>
  <c r="F234" i="18" s="1"/>
  <c r="E411" i="25"/>
  <c r="F320" i="18"/>
  <c r="E274" i="25"/>
  <c r="F363" i="18"/>
  <c r="F378" i="18" s="1"/>
  <c r="E500" i="25"/>
  <c r="F334" i="18"/>
  <c r="F349" i="18" s="1"/>
  <c r="E143" i="25"/>
  <c r="F276" i="18"/>
  <c r="F291" i="18" s="1"/>
  <c r="F306" i="18" s="1"/>
  <c r="E312" i="25"/>
  <c r="F101" i="18"/>
  <c r="E328" i="25"/>
  <c r="F72" i="18"/>
  <c r="F87" i="18" s="1"/>
  <c r="U25" i="20"/>
  <c r="W24" i="20"/>
  <c r="F28" i="18" s="1"/>
  <c r="F43" i="18" s="1"/>
  <c r="F58" i="18" s="1"/>
  <c r="J24" i="20"/>
  <c r="K24" i="20" s="1"/>
  <c r="F1006" i="18" l="1"/>
  <c r="E30" i="25"/>
  <c r="E15" i="25" s="1"/>
  <c r="F102" i="18"/>
  <c r="E313" i="25"/>
  <c r="E329" i="25"/>
  <c r="F73" i="18"/>
  <c r="F88" i="18" s="1"/>
  <c r="E412" i="25"/>
  <c r="F321" i="18"/>
  <c r="E230" i="25"/>
  <c r="F393" i="18"/>
  <c r="F408" i="18" s="1"/>
  <c r="E401" i="25"/>
  <c r="F145" i="18"/>
  <c r="F160" i="18" s="1"/>
  <c r="F175" i="18" s="1"/>
  <c r="F190" i="18" s="1"/>
  <c r="F205" i="18" s="1"/>
  <c r="F220" i="18" s="1"/>
  <c r="F235" i="18" s="1"/>
  <c r="E163" i="25"/>
  <c r="F116" i="18"/>
  <c r="F131" i="18" s="1"/>
  <c r="E275" i="25"/>
  <c r="F364" i="18"/>
  <c r="F379" i="18" s="1"/>
  <c r="E501" i="25"/>
  <c r="F335" i="18"/>
  <c r="F350" i="18" s="1"/>
  <c r="E144" i="25"/>
  <c r="F277" i="18"/>
  <c r="F292" i="18" s="1"/>
  <c r="F307" i="18" s="1"/>
  <c r="F249" i="18"/>
  <c r="E77" i="25"/>
  <c r="E294" i="25"/>
  <c r="F263" i="18"/>
  <c r="J25" i="20"/>
  <c r="K25" i="20" s="1"/>
  <c r="U26" i="20"/>
  <c r="W25" i="20"/>
  <c r="F29" i="18" s="1"/>
  <c r="F44" i="18" s="1"/>
  <c r="F59" i="18" s="1"/>
  <c r="F1021" i="18" l="1"/>
  <c r="F1036" i="18" s="1"/>
  <c r="E123" i="25"/>
  <c r="E276" i="25"/>
  <c r="F365" i="18"/>
  <c r="F380" i="18" s="1"/>
  <c r="E484" i="25"/>
  <c r="F423" i="18"/>
  <c r="F438" i="18" s="1"/>
  <c r="E295" i="25"/>
  <c r="F264" i="18"/>
  <c r="E330" i="25"/>
  <c r="F74" i="18"/>
  <c r="F89" i="18" s="1"/>
  <c r="E145" i="25"/>
  <c r="F278" i="18"/>
  <c r="F293" i="18" s="1"/>
  <c r="F308" i="18" s="1"/>
  <c r="E231" i="25"/>
  <c r="F394" i="18"/>
  <c r="F409" i="18" s="1"/>
  <c r="F250" i="18"/>
  <c r="E78" i="25"/>
  <c r="E502" i="25"/>
  <c r="F336" i="18"/>
  <c r="F351" i="18" s="1"/>
  <c r="E402" i="25"/>
  <c r="F146" i="18"/>
  <c r="F161" i="18" s="1"/>
  <c r="F176" i="18" s="1"/>
  <c r="F191" i="18" s="1"/>
  <c r="F206" i="18" s="1"/>
  <c r="F221" i="18" s="1"/>
  <c r="F236" i="18" s="1"/>
  <c r="E314" i="25"/>
  <c r="F103" i="18"/>
  <c r="E413" i="25"/>
  <c r="F322" i="18"/>
  <c r="E164" i="25"/>
  <c r="F117" i="18"/>
  <c r="F132" i="18" s="1"/>
  <c r="W26" i="20"/>
  <c r="F30" i="18" s="1"/>
  <c r="F45" i="18" s="1"/>
  <c r="F60" i="18" s="1"/>
  <c r="J26" i="20"/>
  <c r="K26" i="20" s="1"/>
  <c r="F1051" i="18" l="1"/>
  <c r="E198" i="25"/>
  <c r="E277" i="25"/>
  <c r="F366" i="18"/>
  <c r="F381" i="18" s="1"/>
  <c r="E315" i="25"/>
  <c r="F104" i="18"/>
  <c r="E485" i="25"/>
  <c r="F424" i="18"/>
  <c r="F439" i="18" s="1"/>
  <c r="F453" i="18"/>
  <c r="F468" i="18" s="1"/>
  <c r="F483" i="18" s="1"/>
  <c r="E59" i="25"/>
  <c r="E503" i="25"/>
  <c r="F337" i="18"/>
  <c r="F352" i="18" s="1"/>
  <c r="F251" i="18"/>
  <c r="E79" i="25"/>
  <c r="E414" i="25"/>
  <c r="F323" i="18"/>
  <c r="E146" i="25"/>
  <c r="F279" i="18"/>
  <c r="F294" i="18" s="1"/>
  <c r="F309" i="18" s="1"/>
  <c r="E232" i="25"/>
  <c r="F395" i="18"/>
  <c r="F410" i="18" s="1"/>
  <c r="E403" i="25"/>
  <c r="F147" i="18"/>
  <c r="F162" i="18" s="1"/>
  <c r="F177" i="18" s="1"/>
  <c r="F192" i="18" s="1"/>
  <c r="F207" i="18" s="1"/>
  <c r="F222" i="18" s="1"/>
  <c r="F237" i="18" s="1"/>
  <c r="E165" i="25"/>
  <c r="F118" i="18"/>
  <c r="F133" i="18" s="1"/>
  <c r="E331" i="25"/>
  <c r="F75" i="18"/>
  <c r="F90" i="18" s="1"/>
  <c r="E296" i="25"/>
  <c r="F265" i="18"/>
  <c r="F1066" i="18" l="1"/>
  <c r="F1081" i="18" s="1"/>
  <c r="F1096" i="18" s="1"/>
  <c r="E482" i="25"/>
  <c r="F252" i="18"/>
  <c r="E80" i="25"/>
  <c r="E297" i="25"/>
  <c r="F266" i="18"/>
  <c r="F498" i="18"/>
  <c r="F513" i="18" s="1"/>
  <c r="E98" i="25"/>
  <c r="E415" i="25"/>
  <c r="F324" i="18"/>
  <c r="E166" i="25"/>
  <c r="F119" i="18"/>
  <c r="F134" i="18" s="1"/>
  <c r="E404" i="25"/>
  <c r="F148" i="18"/>
  <c r="F163" i="18" s="1"/>
  <c r="F178" i="18" s="1"/>
  <c r="F193" i="18" s="1"/>
  <c r="F208" i="18" s="1"/>
  <c r="F223" i="18" s="1"/>
  <c r="F238" i="18" s="1"/>
  <c r="E486" i="25"/>
  <c r="F425" i="18"/>
  <c r="F440" i="18" s="1"/>
  <c r="E504" i="25"/>
  <c r="F338" i="18"/>
  <c r="F353" i="18" s="1"/>
  <c r="E278" i="25"/>
  <c r="F367" i="18"/>
  <c r="F382" i="18" s="1"/>
  <c r="F454" i="18"/>
  <c r="F469" i="18" s="1"/>
  <c r="F484" i="18" s="1"/>
  <c r="E60" i="25"/>
  <c r="E233" i="25"/>
  <c r="F396" i="18"/>
  <c r="F411" i="18" s="1"/>
  <c r="E316" i="25"/>
  <c r="F105" i="18"/>
  <c r="E147" i="25"/>
  <c r="F280" i="18"/>
  <c r="F295" i="18" s="1"/>
  <c r="F310" i="18" s="1"/>
  <c r="K73" i="18"/>
  <c r="K72" i="18"/>
  <c r="K45" i="18"/>
  <c r="K1080" i="18"/>
  <c r="J1080" i="18"/>
  <c r="K1065" i="18"/>
  <c r="J1065" i="18"/>
  <c r="K1020" i="18"/>
  <c r="J1020" i="18"/>
  <c r="K975" i="18"/>
  <c r="J975" i="18"/>
  <c r="K945" i="18"/>
  <c r="J945" i="18"/>
  <c r="K930" i="18"/>
  <c r="J930" i="18"/>
  <c r="K915" i="18"/>
  <c r="J915" i="18"/>
  <c r="K900" i="18"/>
  <c r="J900" i="18"/>
  <c r="K825" i="18"/>
  <c r="J825" i="18"/>
  <c r="K795" i="18"/>
  <c r="J795" i="18"/>
  <c r="K780" i="18"/>
  <c r="J780" i="18"/>
  <c r="K750" i="18"/>
  <c r="J750" i="18"/>
  <c r="K705" i="18"/>
  <c r="J705" i="18"/>
  <c r="K645" i="18"/>
  <c r="J645" i="18"/>
  <c r="K615" i="18"/>
  <c r="J615" i="18"/>
  <c r="K600" i="18"/>
  <c r="J600" i="18"/>
  <c r="K555" i="18"/>
  <c r="J555" i="18"/>
  <c r="K540" i="18"/>
  <c r="J540" i="18"/>
  <c r="K480" i="18"/>
  <c r="J480" i="18"/>
  <c r="K465" i="18"/>
  <c r="J465" i="18"/>
  <c r="K435" i="18"/>
  <c r="J435" i="18"/>
  <c r="K375" i="18"/>
  <c r="J375" i="18"/>
  <c r="K345" i="18"/>
  <c r="J345" i="18"/>
  <c r="K300" i="18"/>
  <c r="J300" i="18"/>
  <c r="K285" i="18"/>
  <c r="J285" i="18"/>
  <c r="K210" i="18"/>
  <c r="J210" i="18"/>
  <c r="K195" i="18"/>
  <c r="J195" i="18"/>
  <c r="K180" i="18"/>
  <c r="J180" i="18"/>
  <c r="K165" i="18"/>
  <c r="J165" i="18"/>
  <c r="K150" i="18"/>
  <c r="J150" i="18"/>
  <c r="J45" i="18"/>
  <c r="K30" i="18"/>
  <c r="J30" i="18"/>
  <c r="I1080" i="18"/>
  <c r="I1065" i="18"/>
  <c r="I1035" i="18"/>
  <c r="H197" i="25" s="1"/>
  <c r="I1020" i="18"/>
  <c r="I975" i="18"/>
  <c r="I945" i="18"/>
  <c r="I930" i="18"/>
  <c r="I915" i="18"/>
  <c r="I900" i="18"/>
  <c r="I825" i="18"/>
  <c r="I795" i="18"/>
  <c r="I780" i="18"/>
  <c r="I765" i="18"/>
  <c r="H182" i="25" s="1"/>
  <c r="I750" i="18"/>
  <c r="I705" i="18"/>
  <c r="I645" i="18"/>
  <c r="I615" i="18"/>
  <c r="I600" i="18"/>
  <c r="I585" i="18"/>
  <c r="H137" i="25" s="1"/>
  <c r="I555" i="18"/>
  <c r="I540" i="18"/>
  <c r="H14" i="25"/>
  <c r="I480" i="18"/>
  <c r="I465" i="18"/>
  <c r="I435" i="18"/>
  <c r="I375" i="18"/>
  <c r="I345" i="18"/>
  <c r="I300" i="18"/>
  <c r="I285" i="18"/>
  <c r="I255" i="18"/>
  <c r="H301" i="25" s="1"/>
  <c r="I225" i="18"/>
  <c r="H227" i="25" s="1"/>
  <c r="I195" i="18"/>
  <c r="I180" i="18"/>
  <c r="I150" i="18"/>
  <c r="I135" i="18"/>
  <c r="H406" i="25" s="1"/>
  <c r="I90" i="18"/>
  <c r="H316" i="25" s="1"/>
  <c r="I45" i="18"/>
  <c r="I30" i="18"/>
  <c r="I15" i="18"/>
  <c r="H514" i="25" s="1"/>
  <c r="E1110" i="18"/>
  <c r="E1095" i="18"/>
  <c r="D466" i="25" s="1"/>
  <c r="E1080" i="18"/>
  <c r="E1065" i="18"/>
  <c r="E1050" i="18"/>
  <c r="D481" i="25" s="1"/>
  <c r="E1035" i="18"/>
  <c r="D197" i="25" s="1"/>
  <c r="E1020" i="18"/>
  <c r="E1005" i="18"/>
  <c r="E990" i="18"/>
  <c r="D29" i="25" s="1"/>
  <c r="E975" i="18"/>
  <c r="E960" i="18"/>
  <c r="E945" i="18"/>
  <c r="E930" i="18"/>
  <c r="E915" i="18"/>
  <c r="E900" i="18"/>
  <c r="E885" i="18"/>
  <c r="D376" i="25" s="1"/>
  <c r="E855" i="18"/>
  <c r="D346" i="25" s="1"/>
  <c r="E825" i="18"/>
  <c r="E810" i="18"/>
  <c r="D212" i="25" s="1"/>
  <c r="E795" i="18"/>
  <c r="E780" i="18"/>
  <c r="E765" i="18"/>
  <c r="D182" i="25" s="1"/>
  <c r="E750" i="18"/>
  <c r="E735" i="18"/>
  <c r="D451" i="25" s="1"/>
  <c r="E705" i="18"/>
  <c r="E690" i="18"/>
  <c r="D256" i="25" s="1"/>
  <c r="E675" i="18"/>
  <c r="E660" i="18"/>
  <c r="D391" i="25" s="1"/>
  <c r="E645" i="18"/>
  <c r="E630" i="18"/>
  <c r="D95" i="25" s="1"/>
  <c r="E615" i="18"/>
  <c r="E600" i="18"/>
  <c r="E585" i="18"/>
  <c r="D137" i="25" s="1"/>
  <c r="E570" i="18"/>
  <c r="D436" i="25" s="1"/>
  <c r="E555" i="18"/>
  <c r="E540" i="18"/>
  <c r="E525" i="18"/>
  <c r="D56" i="25" s="1"/>
  <c r="E510" i="18"/>
  <c r="D14" i="25" s="1"/>
  <c r="E480" i="18"/>
  <c r="E465" i="18"/>
  <c r="E435" i="18"/>
  <c r="E420" i="18"/>
  <c r="D496" i="25" s="1"/>
  <c r="E390" i="18"/>
  <c r="D242" i="25" s="1"/>
  <c r="E375" i="18"/>
  <c r="E360" i="18"/>
  <c r="D286" i="25" s="1"/>
  <c r="E345" i="18"/>
  <c r="E330" i="18"/>
  <c r="D511" i="25" s="1"/>
  <c r="E315" i="18"/>
  <c r="D421" i="25" s="1"/>
  <c r="E300" i="18"/>
  <c r="E285" i="18"/>
  <c r="E270" i="18"/>
  <c r="D152" i="25" s="1"/>
  <c r="E255" i="18"/>
  <c r="E225" i="18"/>
  <c r="D227" i="25" s="1"/>
  <c r="E210" i="18"/>
  <c r="E195" i="18"/>
  <c r="E180" i="18"/>
  <c r="E165" i="18"/>
  <c r="E150" i="18"/>
  <c r="E135" i="18"/>
  <c r="D406" i="25" s="1"/>
  <c r="E105" i="18"/>
  <c r="D167" i="25" s="1"/>
  <c r="E90" i="18"/>
  <c r="D316" i="25" s="1"/>
  <c r="E60" i="18"/>
  <c r="D331" i="25" s="1"/>
  <c r="E45" i="18"/>
  <c r="E30" i="18"/>
  <c r="E15" i="18"/>
  <c r="D514" i="25" s="1"/>
  <c r="G1080" i="18"/>
  <c r="G1065" i="18"/>
  <c r="G1020" i="18"/>
  <c r="G975" i="18"/>
  <c r="G945" i="18"/>
  <c r="G930" i="18"/>
  <c r="G915" i="18"/>
  <c r="G900" i="18"/>
  <c r="G825" i="18"/>
  <c r="G795" i="18"/>
  <c r="G780" i="18"/>
  <c r="G750" i="18"/>
  <c r="G705" i="18"/>
  <c r="G645" i="18"/>
  <c r="G615" i="18"/>
  <c r="G600" i="18"/>
  <c r="G585" i="18"/>
  <c r="F137" i="25" s="1"/>
  <c r="G555" i="18"/>
  <c r="G540" i="18"/>
  <c r="G480" i="18"/>
  <c r="G465" i="18"/>
  <c r="G435" i="18"/>
  <c r="G375" i="18"/>
  <c r="G345" i="18"/>
  <c r="G300" i="18"/>
  <c r="G285" i="18"/>
  <c r="G210" i="18"/>
  <c r="G195" i="18"/>
  <c r="G180" i="18"/>
  <c r="G165" i="18"/>
  <c r="G150" i="18"/>
  <c r="G45" i="18"/>
  <c r="G30" i="18"/>
  <c r="D301" i="25" l="1"/>
  <c r="D361" i="25"/>
  <c r="F1111" i="18"/>
  <c r="E467" i="25"/>
  <c r="L555" i="18"/>
  <c r="L1080" i="18"/>
  <c r="L150" i="18"/>
  <c r="L465" i="18"/>
  <c r="L795" i="18"/>
  <c r="F253" i="18"/>
  <c r="E81" i="25"/>
  <c r="E505" i="25"/>
  <c r="F339" i="18"/>
  <c r="F354" i="18" s="1"/>
  <c r="F499" i="18"/>
  <c r="F514" i="18" s="1"/>
  <c r="E99" i="25"/>
  <c r="E416" i="25"/>
  <c r="F325" i="18"/>
  <c r="E487" i="25"/>
  <c r="F426" i="18"/>
  <c r="F441" i="18" s="1"/>
  <c r="E234" i="25"/>
  <c r="F397" i="18"/>
  <c r="F412" i="18" s="1"/>
  <c r="F455" i="18"/>
  <c r="F470" i="18" s="1"/>
  <c r="F485" i="18" s="1"/>
  <c r="E61" i="25"/>
  <c r="E405" i="25"/>
  <c r="F149" i="18"/>
  <c r="F164" i="18" s="1"/>
  <c r="F179" i="18" s="1"/>
  <c r="F194" i="18" s="1"/>
  <c r="F209" i="18" s="1"/>
  <c r="F224" i="18" s="1"/>
  <c r="F239" i="18" s="1"/>
  <c r="E167" i="25"/>
  <c r="F120" i="18"/>
  <c r="F135" i="18" s="1"/>
  <c r="E279" i="25"/>
  <c r="F368" i="18"/>
  <c r="F383" i="18" s="1"/>
  <c r="E148" i="25"/>
  <c r="F281" i="18"/>
  <c r="F296" i="18" s="1"/>
  <c r="F311" i="18" s="1"/>
  <c r="E44" i="25"/>
  <c r="F528" i="18"/>
  <c r="F543" i="18" s="1"/>
  <c r="F558" i="18" s="1"/>
  <c r="E298" i="25"/>
  <c r="F267" i="18"/>
  <c r="L180" i="18"/>
  <c r="L375" i="18"/>
  <c r="L645" i="18"/>
  <c r="L930" i="18"/>
  <c r="L210" i="18"/>
  <c r="L600" i="18"/>
  <c r="L750" i="18"/>
  <c r="L975" i="18"/>
  <c r="L300" i="18"/>
  <c r="L540" i="18"/>
  <c r="L900" i="18"/>
  <c r="L1065" i="18"/>
  <c r="L30" i="18"/>
  <c r="L165" i="18"/>
  <c r="L285" i="18"/>
  <c r="L435" i="18"/>
  <c r="L705" i="18"/>
  <c r="L825" i="18"/>
  <c r="L945" i="18"/>
  <c r="L195" i="18"/>
  <c r="L345" i="18"/>
  <c r="L480" i="18"/>
  <c r="L615" i="18"/>
  <c r="L780" i="18"/>
  <c r="L915" i="18"/>
  <c r="L1020" i="18"/>
  <c r="F1126" i="18" l="1"/>
  <c r="E149" i="25"/>
  <c r="F282" i="18"/>
  <c r="F297" i="18" s="1"/>
  <c r="F312" i="18" s="1"/>
  <c r="E506" i="25"/>
  <c r="F340" i="18"/>
  <c r="F355" i="18" s="1"/>
  <c r="F254" i="18"/>
  <c r="E82" i="25"/>
  <c r="E488" i="25"/>
  <c r="F427" i="18"/>
  <c r="F442" i="18" s="1"/>
  <c r="E280" i="25"/>
  <c r="F369" i="18"/>
  <c r="F384" i="18" s="1"/>
  <c r="E417" i="25"/>
  <c r="F326" i="18"/>
  <c r="E406" i="25"/>
  <c r="F150" i="18"/>
  <c r="F165" i="18" s="1"/>
  <c r="F180" i="18" s="1"/>
  <c r="F195" i="18" s="1"/>
  <c r="F210" i="18" s="1"/>
  <c r="F225" i="18" s="1"/>
  <c r="F240" i="18" s="1"/>
  <c r="F255" i="18" s="1"/>
  <c r="E424" i="25"/>
  <c r="F573" i="18"/>
  <c r="F456" i="18"/>
  <c r="F471" i="18" s="1"/>
  <c r="F486" i="18" s="1"/>
  <c r="E62" i="25"/>
  <c r="E235" i="25"/>
  <c r="F398" i="18"/>
  <c r="F413" i="18" s="1"/>
  <c r="F500" i="18"/>
  <c r="F515" i="18" s="1"/>
  <c r="E100" i="25"/>
  <c r="E45" i="25"/>
  <c r="F529" i="18"/>
  <c r="F544" i="18" s="1"/>
  <c r="F559" i="18" s="1"/>
  <c r="E299" i="25"/>
  <c r="F268" i="18"/>
  <c r="E425" i="25" l="1"/>
  <c r="F574" i="18"/>
  <c r="E125" i="25"/>
  <c r="F588" i="18"/>
  <c r="F603" i="18" s="1"/>
  <c r="F618" i="18" s="1"/>
  <c r="F457" i="18"/>
  <c r="F472" i="18" s="1"/>
  <c r="F487" i="18" s="1"/>
  <c r="E63" i="25"/>
  <c r="E150" i="25"/>
  <c r="F283" i="18"/>
  <c r="F298" i="18" s="1"/>
  <c r="F313" i="18" s="1"/>
  <c r="E301" i="25"/>
  <c r="F270" i="18"/>
  <c r="E236" i="25"/>
  <c r="F399" i="18"/>
  <c r="F414" i="18" s="1"/>
  <c r="E418" i="25"/>
  <c r="F327" i="18"/>
  <c r="E489" i="25"/>
  <c r="F428" i="18"/>
  <c r="F443" i="18" s="1"/>
  <c r="E507" i="25"/>
  <c r="F341" i="18"/>
  <c r="F356" i="18" s="1"/>
  <c r="E281" i="25"/>
  <c r="F370" i="18"/>
  <c r="F385" i="18" s="1"/>
  <c r="E46" i="25"/>
  <c r="F530" i="18"/>
  <c r="F545" i="18" s="1"/>
  <c r="F560" i="18" s="1"/>
  <c r="F501" i="18"/>
  <c r="F516" i="18" s="1"/>
  <c r="E101" i="25"/>
  <c r="E300" i="25"/>
  <c r="F269" i="18"/>
  <c r="E490" i="25" l="1"/>
  <c r="F429" i="18"/>
  <c r="F444" i="18" s="1"/>
  <c r="E47" i="25"/>
  <c r="F531" i="18"/>
  <c r="F546" i="18" s="1"/>
  <c r="F561" i="18" s="1"/>
  <c r="F458" i="18"/>
  <c r="F473" i="18" s="1"/>
  <c r="F488" i="18" s="1"/>
  <c r="E64" i="25"/>
  <c r="E419" i="25"/>
  <c r="F328" i="18"/>
  <c r="E151" i="25"/>
  <c r="F284" i="18"/>
  <c r="F299" i="18" s="1"/>
  <c r="F314" i="18" s="1"/>
  <c r="E426" i="25"/>
  <c r="F575" i="18"/>
  <c r="E282" i="25"/>
  <c r="F371" i="18"/>
  <c r="F386" i="18" s="1"/>
  <c r="E508" i="25"/>
  <c r="F342" i="18"/>
  <c r="F357" i="18" s="1"/>
  <c r="E152" i="25"/>
  <c r="F285" i="18"/>
  <c r="F300" i="18" s="1"/>
  <c r="F315" i="18" s="1"/>
  <c r="E126" i="25"/>
  <c r="F589" i="18"/>
  <c r="F604" i="18" s="1"/>
  <c r="F619" i="18" s="1"/>
  <c r="E237" i="25"/>
  <c r="F400" i="18"/>
  <c r="F415" i="18" s="1"/>
  <c r="E83" i="25"/>
  <c r="F633" i="18"/>
  <c r="F648" i="18" s="1"/>
  <c r="F502" i="18"/>
  <c r="F517" i="18" s="1"/>
  <c r="E102" i="25"/>
  <c r="E427" i="25" l="1"/>
  <c r="F576" i="18"/>
  <c r="E379" i="25"/>
  <c r="F663" i="18"/>
  <c r="E283" i="25"/>
  <c r="F372" i="18"/>
  <c r="F387" i="18" s="1"/>
  <c r="E509" i="25"/>
  <c r="F343" i="18"/>
  <c r="F358" i="18" s="1"/>
  <c r="E491" i="25"/>
  <c r="F430" i="18"/>
  <c r="F445" i="18" s="1"/>
  <c r="E421" i="25"/>
  <c r="F330" i="18"/>
  <c r="E238" i="25"/>
  <c r="F401" i="18"/>
  <c r="F416" i="18" s="1"/>
  <c r="E420" i="25"/>
  <c r="F329" i="18"/>
  <c r="F459" i="18"/>
  <c r="F474" i="18" s="1"/>
  <c r="F489" i="18" s="1"/>
  <c r="E65" i="25"/>
  <c r="E84" i="25"/>
  <c r="F634" i="18"/>
  <c r="F649" i="18" s="1"/>
  <c r="E127" i="25"/>
  <c r="F590" i="18"/>
  <c r="F605" i="18" s="1"/>
  <c r="F620" i="18" s="1"/>
  <c r="E48" i="25"/>
  <c r="F532" i="18"/>
  <c r="F547" i="18" s="1"/>
  <c r="F562" i="18" s="1"/>
  <c r="F503" i="18"/>
  <c r="F518" i="18" s="1"/>
  <c r="E103" i="25"/>
  <c r="E428" i="25" l="1"/>
  <c r="F577" i="18"/>
  <c r="E380" i="25"/>
  <c r="F664" i="18"/>
  <c r="E510" i="25"/>
  <c r="F344" i="18"/>
  <c r="F359" i="18" s="1"/>
  <c r="E511" i="25"/>
  <c r="F345" i="18"/>
  <c r="F360" i="18" s="1"/>
  <c r="E284" i="25"/>
  <c r="F373" i="18"/>
  <c r="F388" i="18" s="1"/>
  <c r="E349" i="25"/>
  <c r="F678" i="18"/>
  <c r="E85" i="25"/>
  <c r="F635" i="18"/>
  <c r="F650" i="18" s="1"/>
  <c r="E492" i="25"/>
  <c r="F431" i="18"/>
  <c r="F446" i="18" s="1"/>
  <c r="F460" i="18"/>
  <c r="F475" i="18" s="1"/>
  <c r="F490" i="18" s="1"/>
  <c r="E66" i="25"/>
  <c r="E239" i="25"/>
  <c r="F402" i="18"/>
  <c r="F417" i="18" s="1"/>
  <c r="E128" i="25"/>
  <c r="F591" i="18"/>
  <c r="F606" i="18" s="1"/>
  <c r="F621" i="18" s="1"/>
  <c r="E49" i="25"/>
  <c r="F533" i="18"/>
  <c r="F548" i="18" s="1"/>
  <c r="F563" i="18" s="1"/>
  <c r="F504" i="18"/>
  <c r="F519" i="18" s="1"/>
  <c r="E104" i="25"/>
  <c r="F461" i="18" l="1"/>
  <c r="F476" i="18" s="1"/>
  <c r="F491" i="18" s="1"/>
  <c r="E67" i="25"/>
  <c r="E244" i="25"/>
  <c r="F693" i="18"/>
  <c r="F708" i="18" s="1"/>
  <c r="F723" i="18" s="1"/>
  <c r="E350" i="25"/>
  <c r="F679" i="18"/>
  <c r="E86" i="25"/>
  <c r="F636" i="18"/>
  <c r="F651" i="18" s="1"/>
  <c r="E381" i="25"/>
  <c r="F665" i="18"/>
  <c r="E240" i="25"/>
  <c r="F403" i="18"/>
  <c r="F418" i="18" s="1"/>
  <c r="E285" i="25"/>
  <c r="F374" i="18"/>
  <c r="F389" i="18" s="1"/>
  <c r="E129" i="25"/>
  <c r="F592" i="18"/>
  <c r="F607" i="18" s="1"/>
  <c r="F622" i="18" s="1"/>
  <c r="E429" i="25"/>
  <c r="F578" i="18"/>
  <c r="E493" i="25"/>
  <c r="F432" i="18"/>
  <c r="F447" i="18" s="1"/>
  <c r="E286" i="25"/>
  <c r="F375" i="18"/>
  <c r="F390" i="18" s="1"/>
  <c r="E50" i="25"/>
  <c r="F534" i="18"/>
  <c r="F549" i="18" s="1"/>
  <c r="F564" i="18" s="1"/>
  <c r="F505" i="18"/>
  <c r="F520" i="18" s="1"/>
  <c r="E105" i="25"/>
  <c r="F462" i="18" l="1"/>
  <c r="F477" i="18" s="1"/>
  <c r="F492" i="18" s="1"/>
  <c r="E68" i="25"/>
  <c r="E439" i="25"/>
  <c r="F738" i="18"/>
  <c r="F753" i="18" s="1"/>
  <c r="E430" i="25"/>
  <c r="F579" i="18"/>
  <c r="E494" i="25"/>
  <c r="F433" i="18"/>
  <c r="F448" i="18" s="1"/>
  <c r="E242" i="25"/>
  <c r="F405" i="18"/>
  <c r="F420" i="18" s="1"/>
  <c r="E130" i="25"/>
  <c r="F593" i="18"/>
  <c r="F608" i="18" s="1"/>
  <c r="F623" i="18" s="1"/>
  <c r="E241" i="25"/>
  <c r="F404" i="18"/>
  <c r="F419" i="18" s="1"/>
  <c r="E351" i="25"/>
  <c r="F680" i="18"/>
  <c r="E245" i="25"/>
  <c r="F694" i="18"/>
  <c r="F709" i="18" s="1"/>
  <c r="F724" i="18" s="1"/>
  <c r="E87" i="25"/>
  <c r="F637" i="18"/>
  <c r="F652" i="18" s="1"/>
  <c r="E382" i="25"/>
  <c r="F666" i="18"/>
  <c r="E51" i="25"/>
  <c r="F535" i="18"/>
  <c r="F550" i="18" s="1"/>
  <c r="F565" i="18" s="1"/>
  <c r="F506" i="18"/>
  <c r="F521" i="18" s="1"/>
  <c r="E106" i="25"/>
  <c r="E431" i="25" l="1"/>
  <c r="F580" i="18"/>
  <c r="E383" i="25"/>
  <c r="F667" i="18"/>
  <c r="E246" i="25"/>
  <c r="F695" i="18"/>
  <c r="F710" i="18" s="1"/>
  <c r="F725" i="18" s="1"/>
  <c r="E88" i="25"/>
  <c r="F638" i="18"/>
  <c r="F653" i="18" s="1"/>
  <c r="F463" i="18"/>
  <c r="F478" i="18" s="1"/>
  <c r="F493" i="18" s="1"/>
  <c r="E69" i="25"/>
  <c r="E170" i="25"/>
  <c r="F768" i="18"/>
  <c r="F783" i="18" s="1"/>
  <c r="F798" i="18" s="1"/>
  <c r="E352" i="25"/>
  <c r="F681" i="18"/>
  <c r="E440" i="25"/>
  <c r="F739" i="18"/>
  <c r="F754" i="18" s="1"/>
  <c r="E495" i="25"/>
  <c r="F434" i="18"/>
  <c r="F449" i="18" s="1"/>
  <c r="E496" i="25"/>
  <c r="F435" i="18"/>
  <c r="F450" i="18" s="1"/>
  <c r="F465" i="18" s="1"/>
  <c r="F480" i="18" s="1"/>
  <c r="F495" i="18" s="1"/>
  <c r="F510" i="18" s="1"/>
  <c r="F525" i="18" s="1"/>
  <c r="E131" i="25"/>
  <c r="F594" i="18"/>
  <c r="F609" i="18" s="1"/>
  <c r="F624" i="18" s="1"/>
  <c r="E52" i="25"/>
  <c r="F536" i="18"/>
  <c r="F551" i="18" s="1"/>
  <c r="F566" i="18" s="1"/>
  <c r="F507" i="18"/>
  <c r="F522" i="18" s="1"/>
  <c r="E107" i="25"/>
  <c r="E56" i="25" l="1"/>
  <c r="F540" i="18"/>
  <c r="F555" i="18" s="1"/>
  <c r="F570" i="18" s="1"/>
  <c r="E171" i="25"/>
  <c r="F769" i="18"/>
  <c r="F784" i="18" s="1"/>
  <c r="F799" i="18" s="1"/>
  <c r="E200" i="25"/>
  <c r="F813" i="18"/>
  <c r="E384" i="25"/>
  <c r="F668" i="18"/>
  <c r="E353" i="25"/>
  <c r="F682" i="18"/>
  <c r="E432" i="25"/>
  <c r="F581" i="18"/>
  <c r="E89" i="25"/>
  <c r="F639" i="18"/>
  <c r="F654" i="18" s="1"/>
  <c r="F464" i="18"/>
  <c r="F479" i="18" s="1"/>
  <c r="F494" i="18" s="1"/>
  <c r="E70" i="25"/>
  <c r="E247" i="25"/>
  <c r="F696" i="18"/>
  <c r="F711" i="18" s="1"/>
  <c r="F726" i="18" s="1"/>
  <c r="E441" i="25"/>
  <c r="F740" i="18"/>
  <c r="F755" i="18" s="1"/>
  <c r="E132" i="25"/>
  <c r="F595" i="18"/>
  <c r="F610" i="18" s="1"/>
  <c r="F625" i="18" s="1"/>
  <c r="E53" i="25"/>
  <c r="F537" i="18"/>
  <c r="F552" i="18" s="1"/>
  <c r="F567" i="18" s="1"/>
  <c r="F508" i="18"/>
  <c r="F523" i="18" s="1"/>
  <c r="E108" i="25"/>
  <c r="F828" i="18" l="1"/>
  <c r="F843" i="18" s="1"/>
  <c r="E334" i="25" s="1"/>
  <c r="E215" i="25"/>
  <c r="E433" i="25"/>
  <c r="F582" i="18"/>
  <c r="E354" i="25"/>
  <c r="F683" i="18"/>
  <c r="F509" i="18"/>
  <c r="F524" i="18" s="1"/>
  <c r="E109" i="25"/>
  <c r="E201" i="25"/>
  <c r="F814" i="18"/>
  <c r="E90" i="25"/>
  <c r="F640" i="18"/>
  <c r="F655" i="18" s="1"/>
  <c r="E442" i="25"/>
  <c r="F741" i="18"/>
  <c r="F756" i="18" s="1"/>
  <c r="E385" i="25"/>
  <c r="F669" i="18"/>
  <c r="E248" i="25"/>
  <c r="F697" i="18"/>
  <c r="F712" i="18" s="1"/>
  <c r="F727" i="18" s="1"/>
  <c r="E436" i="25"/>
  <c r="F585" i="18"/>
  <c r="E172" i="25"/>
  <c r="F770" i="18"/>
  <c r="F785" i="18" s="1"/>
  <c r="F800" i="18" s="1"/>
  <c r="E133" i="25"/>
  <c r="F596" i="18"/>
  <c r="F611" i="18" s="1"/>
  <c r="F626" i="18" s="1"/>
  <c r="E54" i="25"/>
  <c r="F538" i="18"/>
  <c r="F553" i="18" s="1"/>
  <c r="F568" i="18" s="1"/>
  <c r="F858" i="18" l="1"/>
  <c r="F873" i="18" s="1"/>
  <c r="F829" i="18"/>
  <c r="F844" i="18" s="1"/>
  <c r="F859" i="18" s="1"/>
  <c r="E216" i="25"/>
  <c r="E443" i="25"/>
  <c r="F742" i="18"/>
  <c r="F757" i="18" s="1"/>
  <c r="E249" i="25"/>
  <c r="F698" i="18"/>
  <c r="F713" i="18" s="1"/>
  <c r="F728" i="18" s="1"/>
  <c r="E91" i="25"/>
  <c r="F641" i="18"/>
  <c r="F656" i="18" s="1"/>
  <c r="E202" i="25"/>
  <c r="F815" i="18"/>
  <c r="E355" i="25"/>
  <c r="F684" i="18"/>
  <c r="E386" i="25"/>
  <c r="F670" i="18"/>
  <c r="E134" i="25"/>
  <c r="F597" i="18"/>
  <c r="F612" i="18" s="1"/>
  <c r="F627" i="18" s="1"/>
  <c r="E137" i="25"/>
  <c r="F600" i="18"/>
  <c r="F615" i="18" s="1"/>
  <c r="F630" i="18" s="1"/>
  <c r="E173" i="25"/>
  <c r="F771" i="18"/>
  <c r="F786" i="18" s="1"/>
  <c r="F801" i="18" s="1"/>
  <c r="E434" i="25"/>
  <c r="F583" i="18"/>
  <c r="E55" i="25"/>
  <c r="F539" i="18"/>
  <c r="F554" i="18" s="1"/>
  <c r="F569" i="18" s="1"/>
  <c r="K989" i="18"/>
  <c r="J989" i="18"/>
  <c r="K659" i="18"/>
  <c r="J659" i="18"/>
  <c r="I1034" i="18"/>
  <c r="H196" i="25" s="1"/>
  <c r="I764" i="18"/>
  <c r="H181" i="25" s="1"/>
  <c r="I584" i="18"/>
  <c r="H136" i="25" s="1"/>
  <c r="I509" i="18"/>
  <c r="H13" i="25" s="1"/>
  <c r="I494" i="18"/>
  <c r="H109" i="25" s="1"/>
  <c r="I284" i="18"/>
  <c r="I254" i="18"/>
  <c r="I224" i="18"/>
  <c r="H226" i="25" s="1"/>
  <c r="I209" i="18"/>
  <c r="I89" i="18"/>
  <c r="H315" i="25" s="1"/>
  <c r="E1109" i="18"/>
  <c r="E1094" i="18"/>
  <c r="D465" i="25" s="1"/>
  <c r="E1079" i="18"/>
  <c r="E1064" i="18"/>
  <c r="E1049" i="18"/>
  <c r="D480" i="25" s="1"/>
  <c r="E1034" i="18"/>
  <c r="D196" i="25" s="1"/>
  <c r="E1019" i="18"/>
  <c r="E1004" i="18"/>
  <c r="E989" i="18"/>
  <c r="D28" i="25" s="1"/>
  <c r="E974" i="18"/>
  <c r="E959" i="18"/>
  <c r="E944" i="18"/>
  <c r="E929" i="18"/>
  <c r="E914" i="18"/>
  <c r="E899" i="18"/>
  <c r="E884" i="18"/>
  <c r="D375" i="25" s="1"/>
  <c r="E869" i="18"/>
  <c r="D43" i="25" s="1"/>
  <c r="E854" i="18"/>
  <c r="D345" i="25" s="1"/>
  <c r="E824" i="18"/>
  <c r="E809" i="18"/>
  <c r="D211" i="25" s="1"/>
  <c r="E794" i="18"/>
  <c r="E779" i="18"/>
  <c r="E764" i="18"/>
  <c r="D181" i="25" s="1"/>
  <c r="E749" i="18"/>
  <c r="E734" i="18"/>
  <c r="D450" i="25" s="1"/>
  <c r="E704" i="18"/>
  <c r="E689" i="18"/>
  <c r="D255" i="25" s="1"/>
  <c r="E674" i="18"/>
  <c r="E659" i="18"/>
  <c r="D390" i="25" s="1"/>
  <c r="E644" i="18"/>
  <c r="E629" i="18"/>
  <c r="D94" i="25" s="1"/>
  <c r="E614" i="18"/>
  <c r="E599" i="18"/>
  <c r="E584" i="18"/>
  <c r="D136" i="25" s="1"/>
  <c r="E569" i="18"/>
  <c r="D435" i="25" s="1"/>
  <c r="E554" i="18"/>
  <c r="E539" i="18"/>
  <c r="E524" i="18"/>
  <c r="D55" i="25" s="1"/>
  <c r="E509" i="18"/>
  <c r="D13" i="25" s="1"/>
  <c r="E494" i="18"/>
  <c r="D109" i="25" s="1"/>
  <c r="E479" i="18"/>
  <c r="E464" i="18"/>
  <c r="E449" i="18"/>
  <c r="D70" i="25" s="1"/>
  <c r="E434" i="18"/>
  <c r="E419" i="18"/>
  <c r="D495" i="25" s="1"/>
  <c r="E389" i="18"/>
  <c r="D241" i="25" s="1"/>
  <c r="E374" i="18"/>
  <c r="E359" i="18"/>
  <c r="D285" i="25" s="1"/>
  <c r="E344" i="18"/>
  <c r="E329" i="18"/>
  <c r="D510" i="25" s="1"/>
  <c r="E314" i="18"/>
  <c r="D420" i="25" s="1"/>
  <c r="E299" i="18"/>
  <c r="E284" i="18"/>
  <c r="E269" i="18"/>
  <c r="D151" i="25" s="1"/>
  <c r="E254" i="18"/>
  <c r="E239" i="18"/>
  <c r="D82" i="25" s="1"/>
  <c r="E209" i="18"/>
  <c r="E194" i="18"/>
  <c r="E179" i="18"/>
  <c r="E164" i="18"/>
  <c r="E149" i="18"/>
  <c r="E134" i="18"/>
  <c r="D405" i="25" s="1"/>
  <c r="E224" i="18"/>
  <c r="D226" i="25" s="1"/>
  <c r="E104" i="18"/>
  <c r="D166" i="25" s="1"/>
  <c r="E89" i="18"/>
  <c r="D315" i="25" s="1"/>
  <c r="E59" i="18"/>
  <c r="D330" i="25" s="1"/>
  <c r="E44" i="18"/>
  <c r="E29" i="18"/>
  <c r="E32" i="25" l="1"/>
  <c r="E335" i="25"/>
  <c r="D300" i="25"/>
  <c r="F830" i="18"/>
  <c r="F845" i="18" s="1"/>
  <c r="E336" i="25" s="1"/>
  <c r="E217" i="25"/>
  <c r="D360" i="25"/>
  <c r="F874" i="18"/>
  <c r="E33" i="25"/>
  <c r="E364" i="25"/>
  <c r="F888" i="18"/>
  <c r="F903" i="18" s="1"/>
  <c r="F918" i="18" s="1"/>
  <c r="F933" i="18" s="1"/>
  <c r="F948" i="18" s="1"/>
  <c r="E95" i="25"/>
  <c r="F645" i="18"/>
  <c r="F660" i="18" s="1"/>
  <c r="E356" i="25"/>
  <c r="F685" i="18"/>
  <c r="E435" i="25"/>
  <c r="F584" i="18"/>
  <c r="E203" i="25"/>
  <c r="F816" i="18"/>
  <c r="E92" i="25"/>
  <c r="F642" i="18"/>
  <c r="F657" i="18" s="1"/>
  <c r="E250" i="25"/>
  <c r="F699" i="18"/>
  <c r="F714" i="18" s="1"/>
  <c r="F729" i="18" s="1"/>
  <c r="E387" i="25"/>
  <c r="F671" i="18"/>
  <c r="E174" i="25"/>
  <c r="F772" i="18"/>
  <c r="F787" i="18" s="1"/>
  <c r="F802" i="18" s="1"/>
  <c r="E135" i="25"/>
  <c r="F598" i="18"/>
  <c r="F613" i="18" s="1"/>
  <c r="F628" i="18" s="1"/>
  <c r="E444" i="25"/>
  <c r="F743" i="18"/>
  <c r="F758" i="18" s="1"/>
  <c r="L659" i="18"/>
  <c r="L989" i="18"/>
  <c r="I1033" i="18"/>
  <c r="H195" i="25" s="1"/>
  <c r="I763" i="18"/>
  <c r="H180" i="25" s="1"/>
  <c r="I583" i="18"/>
  <c r="H135" i="25" s="1"/>
  <c r="I508" i="18"/>
  <c r="I493" i="18"/>
  <c r="H108" i="25" s="1"/>
  <c r="I403" i="18"/>
  <c r="I283" i="18"/>
  <c r="I208" i="18"/>
  <c r="I118" i="18"/>
  <c r="I88" i="18"/>
  <c r="H314" i="25" s="1"/>
  <c r="G508" i="18"/>
  <c r="G148" i="18"/>
  <c r="G103" i="18"/>
  <c r="F165" i="25" s="1"/>
  <c r="E613" i="18"/>
  <c r="E58" i="18"/>
  <c r="D329" i="25" s="1"/>
  <c r="G957" i="18"/>
  <c r="I1032" i="18"/>
  <c r="H194" i="25" s="1"/>
  <c r="I762" i="18"/>
  <c r="H179" i="25" s="1"/>
  <c r="I582" i="18"/>
  <c r="H134" i="25" s="1"/>
  <c r="K507" i="18"/>
  <c r="J507" i="18"/>
  <c r="G507" i="18"/>
  <c r="I507" i="18"/>
  <c r="I402" i="18"/>
  <c r="I282" i="18"/>
  <c r="I117" i="18"/>
  <c r="I87" i="18"/>
  <c r="H313" i="25" s="1"/>
  <c r="K717" i="18"/>
  <c r="J717" i="18"/>
  <c r="I717" i="18"/>
  <c r="G717" i="18"/>
  <c r="E717" i="18"/>
  <c r="K612" i="18"/>
  <c r="J612" i="18"/>
  <c r="I612" i="18"/>
  <c r="G612" i="18"/>
  <c r="E612" i="18"/>
  <c r="F860" i="18" l="1"/>
  <c r="F875" i="18" s="1"/>
  <c r="F831" i="18"/>
  <c r="F846" i="18" s="1"/>
  <c r="E337" i="25" s="1"/>
  <c r="E218" i="25"/>
  <c r="L717" i="18"/>
  <c r="L507" i="18"/>
  <c r="E259" i="25"/>
  <c r="F963" i="18"/>
  <c r="F978" i="18" s="1"/>
  <c r="E93" i="25"/>
  <c r="F643" i="18"/>
  <c r="F658" i="18" s="1"/>
  <c r="E445" i="25"/>
  <c r="F744" i="18"/>
  <c r="F759" i="18" s="1"/>
  <c r="E251" i="25"/>
  <c r="F700" i="18"/>
  <c r="F715" i="18" s="1"/>
  <c r="F730" i="18" s="1"/>
  <c r="E175" i="25"/>
  <c r="F773" i="18"/>
  <c r="F788" i="18" s="1"/>
  <c r="F803" i="18" s="1"/>
  <c r="E204" i="25"/>
  <c r="F817" i="18"/>
  <c r="E388" i="25"/>
  <c r="F672" i="18"/>
  <c r="E136" i="25"/>
  <c r="F599" i="18"/>
  <c r="F614" i="18" s="1"/>
  <c r="F629" i="18" s="1"/>
  <c r="E391" i="25"/>
  <c r="F675" i="18"/>
  <c r="E357" i="25"/>
  <c r="F686" i="18"/>
  <c r="E365" i="25"/>
  <c r="F889" i="18"/>
  <c r="F904" i="18" s="1"/>
  <c r="F919" i="18" s="1"/>
  <c r="F934" i="18" s="1"/>
  <c r="F949" i="18" s="1"/>
  <c r="L612" i="18"/>
  <c r="K716" i="18"/>
  <c r="K71" i="18"/>
  <c r="K506" i="18"/>
  <c r="E34" i="25" l="1"/>
  <c r="F861" i="18"/>
  <c r="F876" i="18" s="1"/>
  <c r="F832" i="18"/>
  <c r="F847" i="18" s="1"/>
  <c r="F862" i="18" s="1"/>
  <c r="E219" i="25"/>
  <c r="E94" i="25"/>
  <c r="F644" i="18"/>
  <c r="F659" i="18" s="1"/>
  <c r="E366" i="25"/>
  <c r="F890" i="18"/>
  <c r="F905" i="18" s="1"/>
  <c r="F920" i="18" s="1"/>
  <c r="F935" i="18" s="1"/>
  <c r="F950" i="18" s="1"/>
  <c r="E176" i="25"/>
  <c r="F774" i="18"/>
  <c r="F789" i="18" s="1"/>
  <c r="F804" i="18" s="1"/>
  <c r="E17" i="25"/>
  <c r="E2" i="25" s="1"/>
  <c r="F993" i="18"/>
  <c r="E260" i="25"/>
  <c r="F964" i="18"/>
  <c r="F979" i="18" s="1"/>
  <c r="E205" i="25"/>
  <c r="F818" i="18"/>
  <c r="E361" i="25"/>
  <c r="F690" i="18"/>
  <c r="E358" i="25"/>
  <c r="F687" i="18"/>
  <c r="E252" i="25"/>
  <c r="F701" i="18"/>
  <c r="F716" i="18" s="1"/>
  <c r="F731" i="18" s="1"/>
  <c r="E446" i="25"/>
  <c r="F745" i="18"/>
  <c r="F760" i="18" s="1"/>
  <c r="E389" i="25"/>
  <c r="F673" i="18"/>
  <c r="J716" i="18"/>
  <c r="L716" i="18" s="1"/>
  <c r="I716" i="18"/>
  <c r="G716" i="18"/>
  <c r="J506" i="18"/>
  <c r="L506" i="18" s="1"/>
  <c r="I506" i="18"/>
  <c r="G506" i="18"/>
  <c r="E956" i="18"/>
  <c r="E716" i="18"/>
  <c r="E506" i="18"/>
  <c r="E251" i="18"/>
  <c r="L709" i="18"/>
  <c r="L710" i="18"/>
  <c r="L711" i="18"/>
  <c r="L712" i="18"/>
  <c r="L713" i="18"/>
  <c r="L714" i="18"/>
  <c r="L715" i="18"/>
  <c r="L708" i="18"/>
  <c r="J709" i="18"/>
  <c r="K709" i="18" s="1"/>
  <c r="J710" i="18"/>
  <c r="K710" i="18" s="1"/>
  <c r="J711" i="18"/>
  <c r="K711" i="18" s="1"/>
  <c r="J712" i="18"/>
  <c r="K712" i="18" s="1"/>
  <c r="J713" i="18"/>
  <c r="K713" i="18" s="1"/>
  <c r="J714" i="18"/>
  <c r="K714" i="18" s="1"/>
  <c r="J715" i="18"/>
  <c r="K715" i="18" s="1"/>
  <c r="J708" i="18"/>
  <c r="K708" i="18" s="1"/>
  <c r="I709" i="18"/>
  <c r="I710" i="18"/>
  <c r="I711" i="18"/>
  <c r="I712" i="18"/>
  <c r="I713" i="18"/>
  <c r="I714" i="18"/>
  <c r="I715" i="18"/>
  <c r="I708" i="18"/>
  <c r="G709" i="18"/>
  <c r="G710" i="18"/>
  <c r="G711" i="18"/>
  <c r="G712" i="18"/>
  <c r="G713" i="18"/>
  <c r="G714" i="18"/>
  <c r="G715" i="18"/>
  <c r="G708" i="18"/>
  <c r="H708" i="18" s="1"/>
  <c r="E709" i="18"/>
  <c r="E710" i="18"/>
  <c r="E711" i="18"/>
  <c r="E712" i="18"/>
  <c r="E713" i="18"/>
  <c r="E714" i="18"/>
  <c r="E715" i="18"/>
  <c r="E708" i="18"/>
  <c r="L499" i="18"/>
  <c r="L500" i="18"/>
  <c r="L501" i="18"/>
  <c r="L502" i="18"/>
  <c r="L503" i="18"/>
  <c r="L504" i="18"/>
  <c r="L505" i="18"/>
  <c r="L498" i="18"/>
  <c r="J499" i="18"/>
  <c r="K499" i="18" s="1"/>
  <c r="J500" i="18"/>
  <c r="K500" i="18" s="1"/>
  <c r="J501" i="18"/>
  <c r="K501" i="18" s="1"/>
  <c r="J502" i="18"/>
  <c r="K502" i="18" s="1"/>
  <c r="J503" i="18"/>
  <c r="K503" i="18" s="1"/>
  <c r="J504" i="18"/>
  <c r="K504" i="18" s="1"/>
  <c r="J505" i="18"/>
  <c r="K505" i="18" s="1"/>
  <c r="J498" i="18"/>
  <c r="K498" i="18" s="1"/>
  <c r="I499" i="18"/>
  <c r="I500" i="18"/>
  <c r="I501" i="18"/>
  <c r="I502" i="18"/>
  <c r="I503" i="18"/>
  <c r="I504" i="18"/>
  <c r="I505" i="18"/>
  <c r="I498" i="18"/>
  <c r="G499" i="18"/>
  <c r="G500" i="18"/>
  <c r="G501" i="18"/>
  <c r="G502" i="18"/>
  <c r="G503" i="18"/>
  <c r="G504" i="18"/>
  <c r="G505" i="18"/>
  <c r="G498" i="18"/>
  <c r="H498" i="18" s="1"/>
  <c r="E499" i="18"/>
  <c r="E500" i="18"/>
  <c r="E501" i="18"/>
  <c r="E502" i="18"/>
  <c r="E503" i="18"/>
  <c r="E504" i="18"/>
  <c r="E505" i="18"/>
  <c r="E498" i="18"/>
  <c r="L64" i="18"/>
  <c r="L65" i="18"/>
  <c r="L66" i="18"/>
  <c r="L67" i="18"/>
  <c r="L68" i="18"/>
  <c r="L69" i="18"/>
  <c r="L70" i="18"/>
  <c r="L63" i="18"/>
  <c r="J73" i="18"/>
  <c r="I73" i="18"/>
  <c r="H225" i="25" s="1"/>
  <c r="G73" i="18"/>
  <c r="E73" i="18"/>
  <c r="J71" i="18"/>
  <c r="I71" i="18"/>
  <c r="G71" i="18"/>
  <c r="E71" i="18"/>
  <c r="J72" i="18"/>
  <c r="I72" i="18"/>
  <c r="H224" i="25" s="1"/>
  <c r="G72" i="18"/>
  <c r="E72" i="18"/>
  <c r="J64" i="18"/>
  <c r="J65" i="18"/>
  <c r="J66" i="18"/>
  <c r="J67" i="18"/>
  <c r="J68" i="18"/>
  <c r="J69" i="18"/>
  <c r="J70" i="18"/>
  <c r="J63" i="18"/>
  <c r="I64" i="18"/>
  <c r="I65" i="18"/>
  <c r="I66" i="18"/>
  <c r="I67" i="18"/>
  <c r="I68" i="18"/>
  <c r="I69" i="18"/>
  <c r="I70" i="18"/>
  <c r="I63" i="18"/>
  <c r="G64" i="18"/>
  <c r="G65" i="18"/>
  <c r="G66" i="18"/>
  <c r="G67" i="18"/>
  <c r="G68" i="18"/>
  <c r="G69" i="18"/>
  <c r="G70" i="18"/>
  <c r="G63" i="18"/>
  <c r="E64" i="18"/>
  <c r="E65" i="18"/>
  <c r="E66" i="18"/>
  <c r="E67" i="18"/>
  <c r="E68" i="18"/>
  <c r="E69" i="18"/>
  <c r="E70" i="18"/>
  <c r="E63" i="18"/>
  <c r="J539" i="18"/>
  <c r="G539" i="18"/>
  <c r="L538" i="18"/>
  <c r="J538" i="18"/>
  <c r="I537" i="18"/>
  <c r="G537" i="18"/>
  <c r="L508" i="18"/>
  <c r="L1123" i="18"/>
  <c r="J1123" i="18"/>
  <c r="I1123" i="18"/>
  <c r="H12" i="25" s="1"/>
  <c r="G1123" i="18"/>
  <c r="E1123" i="18"/>
  <c r="L1122" i="18"/>
  <c r="J1122" i="18"/>
  <c r="I1122" i="18"/>
  <c r="H11" i="25" s="1"/>
  <c r="G1122" i="18"/>
  <c r="E1122" i="18"/>
  <c r="L1121" i="18"/>
  <c r="J1121" i="18"/>
  <c r="I1121" i="18"/>
  <c r="G1121" i="18"/>
  <c r="E1121" i="18"/>
  <c r="L1120" i="18"/>
  <c r="J1120" i="18"/>
  <c r="I1120" i="18"/>
  <c r="G1120" i="18"/>
  <c r="E1120" i="18"/>
  <c r="C1120" i="18"/>
  <c r="A1120" i="18"/>
  <c r="L1119" i="18"/>
  <c r="J1119" i="18"/>
  <c r="I1119" i="18"/>
  <c r="G1119" i="18"/>
  <c r="E1119" i="18"/>
  <c r="C1119" i="18"/>
  <c r="A1119" i="18"/>
  <c r="L1118" i="18"/>
  <c r="J1118" i="18"/>
  <c r="I1118" i="18"/>
  <c r="G1118" i="18"/>
  <c r="E1118" i="18"/>
  <c r="C1118" i="18"/>
  <c r="A1118" i="18"/>
  <c r="L1117" i="18"/>
  <c r="J1117" i="18"/>
  <c r="I1117" i="18"/>
  <c r="G1117" i="18"/>
  <c r="E1117" i="18"/>
  <c r="C1117" i="18"/>
  <c r="A1117" i="18"/>
  <c r="L1116" i="18"/>
  <c r="J1116" i="18"/>
  <c r="I1116" i="18"/>
  <c r="G1116" i="18"/>
  <c r="E1116" i="18"/>
  <c r="C1116" i="18"/>
  <c r="A1116" i="18"/>
  <c r="L1115" i="18"/>
  <c r="J1115" i="18"/>
  <c r="I1115" i="18"/>
  <c r="G1115" i="18"/>
  <c r="E1115" i="18"/>
  <c r="C1115" i="18"/>
  <c r="A1115" i="18"/>
  <c r="L1114" i="18"/>
  <c r="J1114" i="18"/>
  <c r="I1114" i="18"/>
  <c r="G1114" i="18"/>
  <c r="E1114" i="18"/>
  <c r="C1114" i="18"/>
  <c r="A1114" i="18"/>
  <c r="L1113" i="18"/>
  <c r="J1113" i="18"/>
  <c r="I1113" i="18"/>
  <c r="G1113" i="18"/>
  <c r="H1113" i="18" s="1"/>
  <c r="E1113" i="18"/>
  <c r="C1113" i="18"/>
  <c r="A1113" i="18"/>
  <c r="L1110" i="18"/>
  <c r="J1110" i="18"/>
  <c r="I1110" i="18"/>
  <c r="G1110" i="18"/>
  <c r="L1109" i="18"/>
  <c r="J1109" i="18"/>
  <c r="I1109" i="18"/>
  <c r="G1109" i="18"/>
  <c r="L1108" i="18"/>
  <c r="J1108" i="18"/>
  <c r="I1108" i="18"/>
  <c r="G1108" i="18"/>
  <c r="E1108" i="18"/>
  <c r="L1107" i="18"/>
  <c r="J1107" i="18"/>
  <c r="I1107" i="18"/>
  <c r="G1107" i="18"/>
  <c r="E1107" i="18"/>
  <c r="L1106" i="18"/>
  <c r="J1106" i="18"/>
  <c r="I1106" i="18"/>
  <c r="G1106" i="18"/>
  <c r="E1106" i="18"/>
  <c r="L1105" i="18"/>
  <c r="J1105" i="18"/>
  <c r="I1105" i="18"/>
  <c r="G1105" i="18"/>
  <c r="E1105" i="18"/>
  <c r="C1105" i="18"/>
  <c r="A1105" i="18"/>
  <c r="L1104" i="18"/>
  <c r="J1104" i="18"/>
  <c r="I1104" i="18"/>
  <c r="G1104" i="18"/>
  <c r="E1104" i="18"/>
  <c r="C1104" i="18"/>
  <c r="A1104" i="18"/>
  <c r="L1103" i="18"/>
  <c r="J1103" i="18"/>
  <c r="I1103" i="18"/>
  <c r="G1103" i="18"/>
  <c r="E1103" i="18"/>
  <c r="C1103" i="18"/>
  <c r="A1103" i="18"/>
  <c r="L1102" i="18"/>
  <c r="J1102" i="18"/>
  <c r="I1102" i="18"/>
  <c r="G1102" i="18"/>
  <c r="E1102" i="18"/>
  <c r="C1102" i="18"/>
  <c r="A1102" i="18"/>
  <c r="L1101" i="18"/>
  <c r="J1101" i="18"/>
  <c r="I1101" i="18"/>
  <c r="G1101" i="18"/>
  <c r="E1101" i="18"/>
  <c r="C1101" i="18"/>
  <c r="A1101" i="18"/>
  <c r="L1100" i="18"/>
  <c r="J1100" i="18"/>
  <c r="I1100" i="18"/>
  <c r="G1100" i="18"/>
  <c r="E1100" i="18"/>
  <c r="C1100" i="18"/>
  <c r="A1100" i="18"/>
  <c r="L1099" i="18"/>
  <c r="J1099" i="18"/>
  <c r="I1099" i="18"/>
  <c r="G1099" i="18"/>
  <c r="E1099" i="18"/>
  <c r="C1099" i="18"/>
  <c r="A1099" i="18"/>
  <c r="L1098" i="18"/>
  <c r="J1098" i="18"/>
  <c r="I1098" i="18"/>
  <c r="G1098" i="18"/>
  <c r="E1098" i="18"/>
  <c r="C1098" i="18"/>
  <c r="A1098" i="18"/>
  <c r="L1095" i="18"/>
  <c r="K466" i="25" s="1"/>
  <c r="J1095" i="18"/>
  <c r="I466" i="25" s="1"/>
  <c r="I1095" i="18"/>
  <c r="H466" i="25" s="1"/>
  <c r="G1095" i="18"/>
  <c r="F466" i="25" s="1"/>
  <c r="L1094" i="18"/>
  <c r="K465" i="25" s="1"/>
  <c r="J1094" i="18"/>
  <c r="I465" i="25" s="1"/>
  <c r="I1094" i="18"/>
  <c r="H465" i="25" s="1"/>
  <c r="G1094" i="18"/>
  <c r="F465" i="25" s="1"/>
  <c r="L1093" i="18"/>
  <c r="K464" i="25" s="1"/>
  <c r="J1093" i="18"/>
  <c r="I464" i="25" s="1"/>
  <c r="I1093" i="18"/>
  <c r="H464" i="25" s="1"/>
  <c r="G1093" i="18"/>
  <c r="F464" i="25" s="1"/>
  <c r="E1093" i="18"/>
  <c r="D464" i="25" s="1"/>
  <c r="L1092" i="18"/>
  <c r="K463" i="25" s="1"/>
  <c r="J1092" i="18"/>
  <c r="I463" i="25" s="1"/>
  <c r="I1092" i="18"/>
  <c r="H463" i="25" s="1"/>
  <c r="G1092" i="18"/>
  <c r="F463" i="25" s="1"/>
  <c r="E1092" i="18"/>
  <c r="D463" i="25" s="1"/>
  <c r="L1091" i="18"/>
  <c r="K462" i="25" s="1"/>
  <c r="J1091" i="18"/>
  <c r="I462" i="25" s="1"/>
  <c r="I1091" i="18"/>
  <c r="H462" i="25" s="1"/>
  <c r="G1091" i="18"/>
  <c r="F462" i="25" s="1"/>
  <c r="E1091" i="18"/>
  <c r="D462" i="25" s="1"/>
  <c r="L1090" i="18"/>
  <c r="K461" i="25" s="1"/>
  <c r="J1090" i="18"/>
  <c r="I461" i="25" s="1"/>
  <c r="I1090" i="18"/>
  <c r="H461" i="25" s="1"/>
  <c r="G1090" i="18"/>
  <c r="F461" i="25" s="1"/>
  <c r="E1090" i="18"/>
  <c r="D461" i="25" s="1"/>
  <c r="C1090" i="18"/>
  <c r="A1090" i="18"/>
  <c r="L1089" i="18"/>
  <c r="K460" i="25" s="1"/>
  <c r="J1089" i="18"/>
  <c r="I460" i="25" s="1"/>
  <c r="I1089" i="18"/>
  <c r="H460" i="25" s="1"/>
  <c r="G1089" i="18"/>
  <c r="F460" i="25" s="1"/>
  <c r="E1089" i="18"/>
  <c r="D460" i="25" s="1"/>
  <c r="C1089" i="18"/>
  <c r="A1089" i="18"/>
  <c r="L1088" i="18"/>
  <c r="K459" i="25" s="1"/>
  <c r="J1088" i="18"/>
  <c r="I459" i="25" s="1"/>
  <c r="I1088" i="18"/>
  <c r="H459" i="25" s="1"/>
  <c r="G1088" i="18"/>
  <c r="F459" i="25" s="1"/>
  <c r="E1088" i="18"/>
  <c r="D459" i="25" s="1"/>
  <c r="C1088" i="18"/>
  <c r="A1088" i="18"/>
  <c r="L1087" i="18"/>
  <c r="K458" i="25" s="1"/>
  <c r="J1087" i="18"/>
  <c r="I458" i="25" s="1"/>
  <c r="I1087" i="18"/>
  <c r="H458" i="25" s="1"/>
  <c r="G1087" i="18"/>
  <c r="F458" i="25" s="1"/>
  <c r="E1087" i="18"/>
  <c r="D458" i="25" s="1"/>
  <c r="C1087" i="18"/>
  <c r="A1087" i="18"/>
  <c r="L1086" i="18"/>
  <c r="K457" i="25" s="1"/>
  <c r="J1086" i="18"/>
  <c r="I457" i="25" s="1"/>
  <c r="I1086" i="18"/>
  <c r="H457" i="25" s="1"/>
  <c r="G1086" i="18"/>
  <c r="F457" i="25" s="1"/>
  <c r="E1086" i="18"/>
  <c r="D457" i="25" s="1"/>
  <c r="C1086" i="18"/>
  <c r="A1086" i="18"/>
  <c r="L1085" i="18"/>
  <c r="K456" i="25" s="1"/>
  <c r="J1085" i="18"/>
  <c r="I456" i="25" s="1"/>
  <c r="I1085" i="18"/>
  <c r="H456" i="25" s="1"/>
  <c r="G1085" i="18"/>
  <c r="F456" i="25" s="1"/>
  <c r="E1085" i="18"/>
  <c r="D456" i="25" s="1"/>
  <c r="C1085" i="18"/>
  <c r="A1085" i="18"/>
  <c r="L1084" i="18"/>
  <c r="K455" i="25" s="1"/>
  <c r="J1084" i="18"/>
  <c r="I455" i="25" s="1"/>
  <c r="I1084" i="18"/>
  <c r="H455" i="25" s="1"/>
  <c r="G1084" i="18"/>
  <c r="F455" i="25" s="1"/>
  <c r="E1084" i="18"/>
  <c r="D455" i="25" s="1"/>
  <c r="C1084" i="18"/>
  <c r="A1084" i="18"/>
  <c r="L1083" i="18"/>
  <c r="K454" i="25" s="1"/>
  <c r="J1083" i="18"/>
  <c r="I454" i="25" s="1"/>
  <c r="I1083" i="18"/>
  <c r="H454" i="25" s="1"/>
  <c r="G1083" i="18"/>
  <c r="F454" i="25" s="1"/>
  <c r="E1083" i="18"/>
  <c r="D454" i="25" s="1"/>
  <c r="C1083" i="18"/>
  <c r="A1083" i="18"/>
  <c r="L1079" i="18"/>
  <c r="J1079" i="18"/>
  <c r="I1079" i="18"/>
  <c r="G1079" i="18"/>
  <c r="L1078" i="18"/>
  <c r="J1078" i="18"/>
  <c r="I1078" i="18"/>
  <c r="G1078" i="18"/>
  <c r="E1078" i="18"/>
  <c r="L1077" i="18"/>
  <c r="J1077" i="18"/>
  <c r="I1077" i="18"/>
  <c r="G1077" i="18"/>
  <c r="E1077" i="18"/>
  <c r="L1076" i="18"/>
  <c r="J1076" i="18"/>
  <c r="I1076" i="18"/>
  <c r="G1076" i="18"/>
  <c r="E1076" i="18"/>
  <c r="L1075" i="18"/>
  <c r="J1075" i="18"/>
  <c r="I1075" i="18"/>
  <c r="G1075" i="18"/>
  <c r="E1075" i="18"/>
  <c r="C1075" i="18"/>
  <c r="A1075" i="18"/>
  <c r="L1074" i="18"/>
  <c r="J1074" i="18"/>
  <c r="I1074" i="18"/>
  <c r="G1074" i="18"/>
  <c r="E1074" i="18"/>
  <c r="C1074" i="18"/>
  <c r="A1074" i="18"/>
  <c r="L1073" i="18"/>
  <c r="J1073" i="18"/>
  <c r="I1073" i="18"/>
  <c r="G1073" i="18"/>
  <c r="E1073" i="18"/>
  <c r="C1073" i="18"/>
  <c r="A1073" i="18"/>
  <c r="L1072" i="18"/>
  <c r="J1072" i="18"/>
  <c r="I1072" i="18"/>
  <c r="G1072" i="18"/>
  <c r="E1072" i="18"/>
  <c r="C1072" i="18"/>
  <c r="A1072" i="18"/>
  <c r="L1071" i="18"/>
  <c r="J1071" i="18"/>
  <c r="I1071" i="18"/>
  <c r="G1071" i="18"/>
  <c r="E1071" i="18"/>
  <c r="C1071" i="18"/>
  <c r="A1071" i="18"/>
  <c r="L1070" i="18"/>
  <c r="J1070" i="18"/>
  <c r="I1070" i="18"/>
  <c r="G1070" i="18"/>
  <c r="E1070" i="18"/>
  <c r="C1070" i="18"/>
  <c r="A1070" i="18"/>
  <c r="L1069" i="18"/>
  <c r="J1069" i="18"/>
  <c r="I1069" i="18"/>
  <c r="G1069" i="18"/>
  <c r="E1069" i="18"/>
  <c r="C1069" i="18"/>
  <c r="A1069" i="18"/>
  <c r="L1068" i="18"/>
  <c r="J1068" i="18"/>
  <c r="I1068" i="18"/>
  <c r="G1068" i="18"/>
  <c r="H1068" i="18" s="1"/>
  <c r="E1068" i="18"/>
  <c r="C1068" i="18"/>
  <c r="A1068" i="18"/>
  <c r="L1064" i="18"/>
  <c r="J1064" i="18"/>
  <c r="I1064" i="18"/>
  <c r="G1064" i="18"/>
  <c r="L1063" i="18"/>
  <c r="J1063" i="18"/>
  <c r="I1063" i="18"/>
  <c r="G1063" i="18"/>
  <c r="E1063" i="18"/>
  <c r="L1062" i="18"/>
  <c r="J1062" i="18"/>
  <c r="I1062" i="18"/>
  <c r="G1062" i="18"/>
  <c r="E1062" i="18"/>
  <c r="L1061" i="18"/>
  <c r="J1061" i="18"/>
  <c r="I1061" i="18"/>
  <c r="G1061" i="18"/>
  <c r="E1061" i="18"/>
  <c r="L1060" i="18"/>
  <c r="J1060" i="18"/>
  <c r="I1060" i="18"/>
  <c r="G1060" i="18"/>
  <c r="E1060" i="18"/>
  <c r="C1060" i="18"/>
  <c r="A1060" i="18"/>
  <c r="L1059" i="18"/>
  <c r="J1059" i="18"/>
  <c r="I1059" i="18"/>
  <c r="G1059" i="18"/>
  <c r="E1059" i="18"/>
  <c r="C1059" i="18"/>
  <c r="A1059" i="18"/>
  <c r="L1058" i="18"/>
  <c r="J1058" i="18"/>
  <c r="I1058" i="18"/>
  <c r="G1058" i="18"/>
  <c r="E1058" i="18"/>
  <c r="C1058" i="18"/>
  <c r="A1058" i="18"/>
  <c r="L1057" i="18"/>
  <c r="J1057" i="18"/>
  <c r="I1057" i="18"/>
  <c r="G1057" i="18"/>
  <c r="E1057" i="18"/>
  <c r="C1057" i="18"/>
  <c r="A1057" i="18"/>
  <c r="L1056" i="18"/>
  <c r="J1056" i="18"/>
  <c r="I1056" i="18"/>
  <c r="G1056" i="18"/>
  <c r="E1056" i="18"/>
  <c r="C1056" i="18"/>
  <c r="A1056" i="18"/>
  <c r="L1055" i="18"/>
  <c r="J1055" i="18"/>
  <c r="I1055" i="18"/>
  <c r="G1055" i="18"/>
  <c r="E1055" i="18"/>
  <c r="C1055" i="18"/>
  <c r="A1055" i="18"/>
  <c r="L1054" i="18"/>
  <c r="J1054" i="18"/>
  <c r="I1054" i="18"/>
  <c r="G1054" i="18"/>
  <c r="E1054" i="18"/>
  <c r="C1054" i="18"/>
  <c r="A1054" i="18"/>
  <c r="L1053" i="18"/>
  <c r="J1053" i="18"/>
  <c r="I1053" i="18"/>
  <c r="G1053" i="18"/>
  <c r="H1053" i="18" s="1"/>
  <c r="E1053" i="18"/>
  <c r="C1053" i="18"/>
  <c r="A1053" i="18"/>
  <c r="L1050" i="18"/>
  <c r="K481" i="25" s="1"/>
  <c r="J1050" i="18"/>
  <c r="I481" i="25" s="1"/>
  <c r="I1050" i="18"/>
  <c r="H481" i="25" s="1"/>
  <c r="G1050" i="18"/>
  <c r="F481" i="25" s="1"/>
  <c r="L1049" i="18"/>
  <c r="K480" i="25" s="1"/>
  <c r="J1049" i="18"/>
  <c r="I480" i="25" s="1"/>
  <c r="I1049" i="18"/>
  <c r="H480" i="25" s="1"/>
  <c r="G1049" i="18"/>
  <c r="F480" i="25" s="1"/>
  <c r="L1048" i="18"/>
  <c r="K479" i="25" s="1"/>
  <c r="J1048" i="18"/>
  <c r="I479" i="25" s="1"/>
  <c r="I1048" i="18"/>
  <c r="H479" i="25" s="1"/>
  <c r="G1048" i="18"/>
  <c r="F479" i="25" s="1"/>
  <c r="E1048" i="18"/>
  <c r="D479" i="25" s="1"/>
  <c r="L1047" i="18"/>
  <c r="K478" i="25" s="1"/>
  <c r="J1047" i="18"/>
  <c r="I478" i="25" s="1"/>
  <c r="I1047" i="18"/>
  <c r="H478" i="25" s="1"/>
  <c r="G1047" i="18"/>
  <c r="F478" i="25" s="1"/>
  <c r="E1047" i="18"/>
  <c r="D478" i="25" s="1"/>
  <c r="L1046" i="18"/>
  <c r="K477" i="25" s="1"/>
  <c r="J1046" i="18"/>
  <c r="I477" i="25" s="1"/>
  <c r="I1046" i="18"/>
  <c r="H477" i="25" s="1"/>
  <c r="G1046" i="18"/>
  <c r="F477" i="25" s="1"/>
  <c r="E1046" i="18"/>
  <c r="D477" i="25" s="1"/>
  <c r="L1045" i="18"/>
  <c r="K476" i="25" s="1"/>
  <c r="J1045" i="18"/>
  <c r="I476" i="25" s="1"/>
  <c r="I1045" i="18"/>
  <c r="H476" i="25" s="1"/>
  <c r="G1045" i="18"/>
  <c r="F476" i="25" s="1"/>
  <c r="E1045" i="18"/>
  <c r="D476" i="25" s="1"/>
  <c r="C1045" i="18"/>
  <c r="A1045" i="18"/>
  <c r="L1044" i="18"/>
  <c r="J1044" i="18"/>
  <c r="I1044" i="18"/>
  <c r="H475" i="25" s="1"/>
  <c r="G1044" i="18"/>
  <c r="F475" i="25" s="1"/>
  <c r="E1044" i="18"/>
  <c r="D475" i="25" s="1"/>
  <c r="C1044" i="18"/>
  <c r="A1044" i="18"/>
  <c r="L1043" i="18"/>
  <c r="K474" i="25" s="1"/>
  <c r="J1043" i="18"/>
  <c r="I474" i="25" s="1"/>
  <c r="I1043" i="18"/>
  <c r="H474" i="25" s="1"/>
  <c r="G1043" i="18"/>
  <c r="F474" i="25" s="1"/>
  <c r="E1043" i="18"/>
  <c r="D474" i="25" s="1"/>
  <c r="C1043" i="18"/>
  <c r="A1043" i="18"/>
  <c r="L1042" i="18"/>
  <c r="K473" i="25" s="1"/>
  <c r="J1042" i="18"/>
  <c r="I473" i="25" s="1"/>
  <c r="I1042" i="18"/>
  <c r="H473" i="25" s="1"/>
  <c r="G1042" i="18"/>
  <c r="F473" i="25" s="1"/>
  <c r="E1042" i="18"/>
  <c r="D473" i="25" s="1"/>
  <c r="C1042" i="18"/>
  <c r="A1042" i="18"/>
  <c r="L1041" i="18"/>
  <c r="K472" i="25" s="1"/>
  <c r="J1041" i="18"/>
  <c r="I472" i="25" s="1"/>
  <c r="I1041" i="18"/>
  <c r="H472" i="25" s="1"/>
  <c r="G1041" i="18"/>
  <c r="F472" i="25" s="1"/>
  <c r="E1041" i="18"/>
  <c r="D472" i="25" s="1"/>
  <c r="C1041" i="18"/>
  <c r="A1041" i="18"/>
  <c r="L1040" i="18"/>
  <c r="K471" i="25" s="1"/>
  <c r="J1040" i="18"/>
  <c r="I471" i="25" s="1"/>
  <c r="I1040" i="18"/>
  <c r="H471" i="25" s="1"/>
  <c r="G1040" i="18"/>
  <c r="F471" i="25" s="1"/>
  <c r="E1040" i="18"/>
  <c r="D471" i="25" s="1"/>
  <c r="C1040" i="18"/>
  <c r="A1040" i="18"/>
  <c r="L1039" i="18"/>
  <c r="K470" i="25" s="1"/>
  <c r="J1039" i="18"/>
  <c r="I470" i="25" s="1"/>
  <c r="I1039" i="18"/>
  <c r="H470" i="25" s="1"/>
  <c r="G1039" i="18"/>
  <c r="F470" i="25" s="1"/>
  <c r="E1039" i="18"/>
  <c r="D470" i="25" s="1"/>
  <c r="C1039" i="18"/>
  <c r="A1039" i="18"/>
  <c r="L1038" i="18"/>
  <c r="K469" i="25" s="1"/>
  <c r="J1038" i="18"/>
  <c r="I469" i="25" s="1"/>
  <c r="I1038" i="18"/>
  <c r="H469" i="25" s="1"/>
  <c r="G1038" i="18"/>
  <c r="F469" i="25" s="1"/>
  <c r="E1038" i="18"/>
  <c r="D469" i="25" s="1"/>
  <c r="C1038" i="18"/>
  <c r="A1038" i="18"/>
  <c r="L1035" i="18"/>
  <c r="K197" i="25" s="1"/>
  <c r="J1035" i="18"/>
  <c r="I197" i="25" s="1"/>
  <c r="G1035" i="18"/>
  <c r="F197" i="25" s="1"/>
  <c r="L1034" i="18"/>
  <c r="K196" i="25" s="1"/>
  <c r="J1034" i="18"/>
  <c r="I196" i="25" s="1"/>
  <c r="G1034" i="18"/>
  <c r="F196" i="25" s="1"/>
  <c r="L1033" i="18"/>
  <c r="K195" i="25" s="1"/>
  <c r="J1033" i="18"/>
  <c r="I195" i="25" s="1"/>
  <c r="G1033" i="18"/>
  <c r="F195" i="25" s="1"/>
  <c r="E1033" i="18"/>
  <c r="D195" i="25" s="1"/>
  <c r="L1032" i="18"/>
  <c r="K194" i="25" s="1"/>
  <c r="J1032" i="18"/>
  <c r="I194" i="25" s="1"/>
  <c r="G1032" i="18"/>
  <c r="F194" i="25" s="1"/>
  <c r="E1032" i="18"/>
  <c r="D194" i="25" s="1"/>
  <c r="L1031" i="18"/>
  <c r="K193" i="25" s="1"/>
  <c r="J1031" i="18"/>
  <c r="I193" i="25" s="1"/>
  <c r="I1031" i="18"/>
  <c r="H193" i="25" s="1"/>
  <c r="G1031" i="18"/>
  <c r="F193" i="25" s="1"/>
  <c r="E1031" i="18"/>
  <c r="D193" i="25" s="1"/>
  <c r="L1030" i="18"/>
  <c r="K192" i="25" s="1"/>
  <c r="J1030" i="18"/>
  <c r="I192" i="25" s="1"/>
  <c r="I1030" i="18"/>
  <c r="H192" i="25" s="1"/>
  <c r="G1030" i="18"/>
  <c r="F192" i="25" s="1"/>
  <c r="E1030" i="18"/>
  <c r="D192" i="25" s="1"/>
  <c r="C1030" i="18"/>
  <c r="A1030" i="18"/>
  <c r="L1029" i="18"/>
  <c r="K191" i="25" s="1"/>
  <c r="J1029" i="18"/>
  <c r="I191" i="25" s="1"/>
  <c r="I1029" i="18"/>
  <c r="H191" i="25" s="1"/>
  <c r="G1029" i="18"/>
  <c r="F191" i="25" s="1"/>
  <c r="E1029" i="18"/>
  <c r="D191" i="25" s="1"/>
  <c r="C1029" i="18"/>
  <c r="A1029" i="18"/>
  <c r="L1028" i="18"/>
  <c r="K190" i="25" s="1"/>
  <c r="J1028" i="18"/>
  <c r="I190" i="25" s="1"/>
  <c r="I1028" i="18"/>
  <c r="H190" i="25" s="1"/>
  <c r="G1028" i="18"/>
  <c r="F190" i="25" s="1"/>
  <c r="E1028" i="18"/>
  <c r="D190" i="25" s="1"/>
  <c r="C1028" i="18"/>
  <c r="A1028" i="18"/>
  <c r="L1027" i="18"/>
  <c r="K189" i="25" s="1"/>
  <c r="J1027" i="18"/>
  <c r="I189" i="25" s="1"/>
  <c r="I1027" i="18"/>
  <c r="H189" i="25" s="1"/>
  <c r="G1027" i="18"/>
  <c r="F189" i="25" s="1"/>
  <c r="E1027" i="18"/>
  <c r="D189" i="25" s="1"/>
  <c r="C1027" i="18"/>
  <c r="A1027" i="18"/>
  <c r="L1026" i="18"/>
  <c r="K188" i="25" s="1"/>
  <c r="J1026" i="18"/>
  <c r="I188" i="25" s="1"/>
  <c r="I1026" i="18"/>
  <c r="H188" i="25" s="1"/>
  <c r="G1026" i="18"/>
  <c r="F188" i="25" s="1"/>
  <c r="E1026" i="18"/>
  <c r="D188" i="25" s="1"/>
  <c r="C1026" i="18"/>
  <c r="A1026" i="18"/>
  <c r="L1025" i="18"/>
  <c r="K187" i="25" s="1"/>
  <c r="J1025" i="18"/>
  <c r="I187" i="25" s="1"/>
  <c r="I1025" i="18"/>
  <c r="H187" i="25" s="1"/>
  <c r="G1025" i="18"/>
  <c r="F187" i="25" s="1"/>
  <c r="E1025" i="18"/>
  <c r="D187" i="25" s="1"/>
  <c r="C1025" i="18"/>
  <c r="A1025" i="18"/>
  <c r="L1024" i="18"/>
  <c r="K186" i="25" s="1"/>
  <c r="J1024" i="18"/>
  <c r="I186" i="25" s="1"/>
  <c r="I1024" i="18"/>
  <c r="H186" i="25" s="1"/>
  <c r="G1024" i="18"/>
  <c r="F186" i="25" s="1"/>
  <c r="E1024" i="18"/>
  <c r="D186" i="25" s="1"/>
  <c r="C1024" i="18"/>
  <c r="A1024" i="18"/>
  <c r="L1023" i="18"/>
  <c r="K185" i="25" s="1"/>
  <c r="J1023" i="18"/>
  <c r="I185" i="25" s="1"/>
  <c r="I1023" i="18"/>
  <c r="H185" i="25" s="1"/>
  <c r="G1023" i="18"/>
  <c r="F185" i="25" s="1"/>
  <c r="E1023" i="18"/>
  <c r="D185" i="25" s="1"/>
  <c r="C1023" i="18"/>
  <c r="A1023" i="18"/>
  <c r="L1019" i="18"/>
  <c r="J1019" i="18"/>
  <c r="I1019" i="18"/>
  <c r="G1019" i="18"/>
  <c r="L1018" i="18"/>
  <c r="J1018" i="18"/>
  <c r="I1018" i="18"/>
  <c r="G1018" i="18"/>
  <c r="E1018" i="18"/>
  <c r="L1017" i="18"/>
  <c r="J1017" i="18"/>
  <c r="I1017" i="18"/>
  <c r="G1017" i="18"/>
  <c r="E1017" i="18"/>
  <c r="L1016" i="18"/>
  <c r="J1016" i="18"/>
  <c r="I1016" i="18"/>
  <c r="G1016" i="18"/>
  <c r="E1016" i="18"/>
  <c r="L1015" i="18"/>
  <c r="J1015" i="18"/>
  <c r="I1015" i="18"/>
  <c r="G1015" i="18"/>
  <c r="E1015" i="18"/>
  <c r="C1015" i="18"/>
  <c r="A1015" i="18"/>
  <c r="L1014" i="18"/>
  <c r="J1014" i="18"/>
  <c r="I1014" i="18"/>
  <c r="G1014" i="18"/>
  <c r="E1014" i="18"/>
  <c r="C1014" i="18"/>
  <c r="A1014" i="18"/>
  <c r="L1013" i="18"/>
  <c r="J1013" i="18"/>
  <c r="I1013" i="18"/>
  <c r="G1013" i="18"/>
  <c r="E1013" i="18"/>
  <c r="C1013" i="18"/>
  <c r="A1013" i="18"/>
  <c r="L1012" i="18"/>
  <c r="J1012" i="18"/>
  <c r="I1012" i="18"/>
  <c r="G1012" i="18"/>
  <c r="E1012" i="18"/>
  <c r="C1012" i="18"/>
  <c r="A1012" i="18"/>
  <c r="L1011" i="18"/>
  <c r="J1011" i="18"/>
  <c r="I1011" i="18"/>
  <c r="G1011" i="18"/>
  <c r="E1011" i="18"/>
  <c r="C1011" i="18"/>
  <c r="A1011" i="18"/>
  <c r="L1010" i="18"/>
  <c r="J1010" i="18"/>
  <c r="I1010" i="18"/>
  <c r="G1010" i="18"/>
  <c r="E1010" i="18"/>
  <c r="C1010" i="18"/>
  <c r="A1010" i="18"/>
  <c r="L1009" i="18"/>
  <c r="J1009" i="18"/>
  <c r="I1009" i="18"/>
  <c r="G1009" i="18"/>
  <c r="E1009" i="18"/>
  <c r="C1009" i="18"/>
  <c r="A1009" i="18"/>
  <c r="L1008" i="18"/>
  <c r="J1008" i="18"/>
  <c r="I1008" i="18"/>
  <c r="G1008" i="18"/>
  <c r="H1008" i="18" s="1"/>
  <c r="E1008" i="18"/>
  <c r="C1008" i="18"/>
  <c r="A1008" i="18"/>
  <c r="L1005" i="18"/>
  <c r="J1005" i="18"/>
  <c r="I1005" i="18"/>
  <c r="G1005" i="18"/>
  <c r="L1004" i="18"/>
  <c r="J1004" i="18"/>
  <c r="I1004" i="18"/>
  <c r="G1004" i="18"/>
  <c r="L1003" i="18"/>
  <c r="J1003" i="18"/>
  <c r="I1003" i="18"/>
  <c r="G1003" i="18"/>
  <c r="E1003" i="18"/>
  <c r="L1002" i="18"/>
  <c r="J1002" i="18"/>
  <c r="I1002" i="18"/>
  <c r="G1002" i="18"/>
  <c r="E1002" i="18"/>
  <c r="L1001" i="18"/>
  <c r="J1001" i="18"/>
  <c r="I1001" i="18"/>
  <c r="G1001" i="18"/>
  <c r="E1001" i="18"/>
  <c r="L1000" i="18"/>
  <c r="J1000" i="18"/>
  <c r="I1000" i="18"/>
  <c r="G1000" i="18"/>
  <c r="E1000" i="18"/>
  <c r="C1000" i="18"/>
  <c r="A1000" i="18"/>
  <c r="L999" i="18"/>
  <c r="J999" i="18"/>
  <c r="I999" i="18"/>
  <c r="G999" i="18"/>
  <c r="E999" i="18"/>
  <c r="C999" i="18"/>
  <c r="A999" i="18"/>
  <c r="L998" i="18"/>
  <c r="J998" i="18"/>
  <c r="I998" i="18"/>
  <c r="G998" i="18"/>
  <c r="E998" i="18"/>
  <c r="C998" i="18"/>
  <c r="A998" i="18"/>
  <c r="L997" i="18"/>
  <c r="J997" i="18"/>
  <c r="I997" i="18"/>
  <c r="G997" i="18"/>
  <c r="E997" i="18"/>
  <c r="C997" i="18"/>
  <c r="A997" i="18"/>
  <c r="L996" i="18"/>
  <c r="J996" i="18"/>
  <c r="I996" i="18"/>
  <c r="G996" i="18"/>
  <c r="E996" i="18"/>
  <c r="C996" i="18"/>
  <c r="A996" i="18"/>
  <c r="L995" i="18"/>
  <c r="J995" i="18"/>
  <c r="I995" i="18"/>
  <c r="G995" i="18"/>
  <c r="E995" i="18"/>
  <c r="C995" i="18"/>
  <c r="A995" i="18"/>
  <c r="L994" i="18"/>
  <c r="J994" i="18"/>
  <c r="I994" i="18"/>
  <c r="G994" i="18"/>
  <c r="E994" i="18"/>
  <c r="C994" i="18"/>
  <c r="A994" i="18"/>
  <c r="L993" i="18"/>
  <c r="J993" i="18"/>
  <c r="I993" i="18"/>
  <c r="G993" i="18"/>
  <c r="G110" i="25" s="1"/>
  <c r="G111" i="25" s="1"/>
  <c r="G112" i="25" s="1"/>
  <c r="G113" i="25" s="1"/>
  <c r="G114" i="25" s="1"/>
  <c r="G115" i="25" s="1"/>
  <c r="G116" i="25" s="1"/>
  <c r="G117" i="25" s="1"/>
  <c r="G118" i="25" s="1"/>
  <c r="G119" i="25" s="1"/>
  <c r="G120" i="25" s="1"/>
  <c r="G121" i="25" s="1"/>
  <c r="G122" i="25" s="1"/>
  <c r="G123" i="25" s="1"/>
  <c r="G124" i="25" s="1"/>
  <c r="E993" i="18"/>
  <c r="C993" i="18"/>
  <c r="A993" i="18"/>
  <c r="L990" i="18"/>
  <c r="J990" i="18"/>
  <c r="I990" i="18"/>
  <c r="H29" i="25" s="1"/>
  <c r="G990" i="18"/>
  <c r="F29" i="25" s="1"/>
  <c r="I989" i="18"/>
  <c r="H28" i="25" s="1"/>
  <c r="G989" i="18"/>
  <c r="F28" i="25" s="1"/>
  <c r="L988" i="18"/>
  <c r="K27" i="25" s="1"/>
  <c r="J988" i="18"/>
  <c r="I27" i="25" s="1"/>
  <c r="I988" i="18"/>
  <c r="H27" i="25" s="1"/>
  <c r="G988" i="18"/>
  <c r="F27" i="25" s="1"/>
  <c r="E988" i="18"/>
  <c r="D27" i="25" s="1"/>
  <c r="L987" i="18"/>
  <c r="K26" i="25" s="1"/>
  <c r="J987" i="18"/>
  <c r="I26" i="25" s="1"/>
  <c r="I987" i="18"/>
  <c r="H26" i="25" s="1"/>
  <c r="G987" i="18"/>
  <c r="F26" i="25" s="1"/>
  <c r="E987" i="18"/>
  <c r="D26" i="25" s="1"/>
  <c r="L986" i="18"/>
  <c r="K25" i="25" s="1"/>
  <c r="J986" i="18"/>
  <c r="I25" i="25" s="1"/>
  <c r="I986" i="18"/>
  <c r="H25" i="25" s="1"/>
  <c r="G986" i="18"/>
  <c r="F25" i="25" s="1"/>
  <c r="E986" i="18"/>
  <c r="D25" i="25" s="1"/>
  <c r="L985" i="18"/>
  <c r="K24" i="25" s="1"/>
  <c r="J985" i="18"/>
  <c r="I24" i="25" s="1"/>
  <c r="I985" i="18"/>
  <c r="H24" i="25" s="1"/>
  <c r="G985" i="18"/>
  <c r="F24" i="25" s="1"/>
  <c r="E985" i="18"/>
  <c r="D24" i="25" s="1"/>
  <c r="C985" i="18"/>
  <c r="A985" i="18"/>
  <c r="L984" i="18"/>
  <c r="K23" i="25" s="1"/>
  <c r="J984" i="18"/>
  <c r="I23" i="25" s="1"/>
  <c r="I984" i="18"/>
  <c r="H23" i="25" s="1"/>
  <c r="G984" i="18"/>
  <c r="F23" i="25" s="1"/>
  <c r="E984" i="18"/>
  <c r="D23" i="25" s="1"/>
  <c r="C984" i="18"/>
  <c r="A984" i="18"/>
  <c r="L983" i="18"/>
  <c r="K22" i="25" s="1"/>
  <c r="J983" i="18"/>
  <c r="I22" i="25" s="1"/>
  <c r="I983" i="18"/>
  <c r="H22" i="25" s="1"/>
  <c r="G983" i="18"/>
  <c r="F22" i="25" s="1"/>
  <c r="E983" i="18"/>
  <c r="D22" i="25" s="1"/>
  <c r="C983" i="18"/>
  <c r="A983" i="18"/>
  <c r="L982" i="18"/>
  <c r="K21" i="25" s="1"/>
  <c r="J982" i="18"/>
  <c r="I21" i="25" s="1"/>
  <c r="I982" i="18"/>
  <c r="H21" i="25" s="1"/>
  <c r="G982" i="18"/>
  <c r="F21" i="25" s="1"/>
  <c r="E982" i="18"/>
  <c r="D21" i="25" s="1"/>
  <c r="C982" i="18"/>
  <c r="A982" i="18"/>
  <c r="L981" i="18"/>
  <c r="K20" i="25" s="1"/>
  <c r="K18" i="25" s="1"/>
  <c r="K19" i="25" s="1"/>
  <c r="J981" i="18"/>
  <c r="I20" i="25" s="1"/>
  <c r="I19" i="25" s="1"/>
  <c r="I18" i="25" s="1"/>
  <c r="I981" i="18"/>
  <c r="H20" i="25" s="1"/>
  <c r="G981" i="18"/>
  <c r="F20" i="25" s="1"/>
  <c r="E981" i="18"/>
  <c r="D20" i="25" s="1"/>
  <c r="C981" i="18"/>
  <c r="A981" i="18"/>
  <c r="I980" i="18"/>
  <c r="H19" i="25" s="1"/>
  <c r="G980" i="18"/>
  <c r="F19" i="25" s="1"/>
  <c r="E980" i="18"/>
  <c r="D19" i="25" s="1"/>
  <c r="C980" i="18"/>
  <c r="A980" i="18"/>
  <c r="I979" i="18"/>
  <c r="H18" i="25" s="1"/>
  <c r="G979" i="18"/>
  <c r="F18" i="25" s="1"/>
  <c r="E979" i="18"/>
  <c r="D18" i="25" s="1"/>
  <c r="C979" i="18"/>
  <c r="A979" i="18"/>
  <c r="I978" i="18"/>
  <c r="H17" i="25" s="1"/>
  <c r="G978" i="18"/>
  <c r="F17" i="25" s="1"/>
  <c r="E978" i="18"/>
  <c r="D17" i="25" s="1"/>
  <c r="C978" i="18"/>
  <c r="A978" i="18"/>
  <c r="L974" i="18"/>
  <c r="J974" i="18"/>
  <c r="I974" i="18"/>
  <c r="G974" i="18"/>
  <c r="L973" i="18"/>
  <c r="J973" i="18"/>
  <c r="I973" i="18"/>
  <c r="G973" i="18"/>
  <c r="E973" i="18"/>
  <c r="L972" i="18"/>
  <c r="J972" i="18"/>
  <c r="I972" i="18"/>
  <c r="G972" i="18"/>
  <c r="E972" i="18"/>
  <c r="L971" i="18"/>
  <c r="J971" i="18"/>
  <c r="I971" i="18"/>
  <c r="G971" i="18"/>
  <c r="E971" i="18"/>
  <c r="L970" i="18"/>
  <c r="J970" i="18"/>
  <c r="I970" i="18"/>
  <c r="G970" i="18"/>
  <c r="E970" i="18"/>
  <c r="C970" i="18"/>
  <c r="A970" i="18"/>
  <c r="L969" i="18"/>
  <c r="J969" i="18"/>
  <c r="I969" i="18"/>
  <c r="G969" i="18"/>
  <c r="E969" i="18"/>
  <c r="C969" i="18"/>
  <c r="A969" i="18"/>
  <c r="L968" i="18"/>
  <c r="J968" i="18"/>
  <c r="I968" i="18"/>
  <c r="G968" i="18"/>
  <c r="E968" i="18"/>
  <c r="C968" i="18"/>
  <c r="A968" i="18"/>
  <c r="L967" i="18"/>
  <c r="J967" i="18"/>
  <c r="I967" i="18"/>
  <c r="G967" i="18"/>
  <c r="E967" i="18"/>
  <c r="C967" i="18"/>
  <c r="A967" i="18"/>
  <c r="L966" i="18"/>
  <c r="J966" i="18"/>
  <c r="I966" i="18"/>
  <c r="G966" i="18"/>
  <c r="E966" i="18"/>
  <c r="C966" i="18"/>
  <c r="A966" i="18"/>
  <c r="L965" i="18"/>
  <c r="J965" i="18"/>
  <c r="I965" i="18"/>
  <c r="G965" i="18"/>
  <c r="E965" i="18"/>
  <c r="C965" i="18"/>
  <c r="A965" i="18"/>
  <c r="L964" i="18"/>
  <c r="J964" i="18"/>
  <c r="I964" i="18"/>
  <c r="G964" i="18"/>
  <c r="E964" i="18"/>
  <c r="C964" i="18"/>
  <c r="A964" i="18"/>
  <c r="L963" i="18"/>
  <c r="J963" i="18"/>
  <c r="I963" i="18"/>
  <c r="G963" i="18"/>
  <c r="H963" i="18" s="1"/>
  <c r="E963" i="18"/>
  <c r="C963" i="18"/>
  <c r="A963" i="18"/>
  <c r="L960" i="18"/>
  <c r="J960" i="18"/>
  <c r="I960" i="18"/>
  <c r="G960" i="18"/>
  <c r="L959" i="18"/>
  <c r="J959" i="18"/>
  <c r="I959" i="18"/>
  <c r="G959" i="18"/>
  <c r="L958" i="18"/>
  <c r="J958" i="18"/>
  <c r="I958" i="18"/>
  <c r="G958" i="18"/>
  <c r="E958" i="18"/>
  <c r="L957" i="18"/>
  <c r="J957" i="18"/>
  <c r="I957" i="18"/>
  <c r="E957" i="18"/>
  <c r="L956" i="18"/>
  <c r="J956" i="18"/>
  <c r="I956" i="18"/>
  <c r="G956" i="18"/>
  <c r="L955" i="18"/>
  <c r="J955" i="18"/>
  <c r="I955" i="18"/>
  <c r="G955" i="18"/>
  <c r="E955" i="18"/>
  <c r="C955" i="18"/>
  <c r="A955" i="18"/>
  <c r="L954" i="18"/>
  <c r="J954" i="18"/>
  <c r="I954" i="18"/>
  <c r="G954" i="18"/>
  <c r="E954" i="18"/>
  <c r="C954" i="18"/>
  <c r="A954" i="18"/>
  <c r="L953" i="18"/>
  <c r="J953" i="18"/>
  <c r="I953" i="18"/>
  <c r="G953" i="18"/>
  <c r="E953" i="18"/>
  <c r="C953" i="18"/>
  <c r="A953" i="18"/>
  <c r="L952" i="18"/>
  <c r="J952" i="18"/>
  <c r="I952" i="18"/>
  <c r="G952" i="18"/>
  <c r="E952" i="18"/>
  <c r="C952" i="18"/>
  <c r="A952" i="18"/>
  <c r="L951" i="18"/>
  <c r="J951" i="18"/>
  <c r="I951" i="18"/>
  <c r="G951" i="18"/>
  <c r="E951" i="18"/>
  <c r="C951" i="18"/>
  <c r="A951" i="18"/>
  <c r="L950" i="18"/>
  <c r="J950" i="18"/>
  <c r="I950" i="18"/>
  <c r="G950" i="18"/>
  <c r="E950" i="18"/>
  <c r="C950" i="18"/>
  <c r="A950" i="18"/>
  <c r="L949" i="18"/>
  <c r="J949" i="18"/>
  <c r="I949" i="18"/>
  <c r="G949" i="18"/>
  <c r="E949" i="18"/>
  <c r="C949" i="18"/>
  <c r="A949" i="18"/>
  <c r="L948" i="18"/>
  <c r="J948" i="18"/>
  <c r="I948" i="18"/>
  <c r="G948" i="18"/>
  <c r="E948" i="18"/>
  <c r="C948" i="18"/>
  <c r="A948" i="18"/>
  <c r="L944" i="18"/>
  <c r="J944" i="18"/>
  <c r="I944" i="18"/>
  <c r="H300" i="25" s="1"/>
  <c r="G944" i="18"/>
  <c r="L943" i="18"/>
  <c r="J943" i="18"/>
  <c r="I943" i="18"/>
  <c r="G943" i="18"/>
  <c r="E943" i="18"/>
  <c r="L942" i="18"/>
  <c r="J942" i="18"/>
  <c r="I942" i="18"/>
  <c r="G942" i="18"/>
  <c r="E942" i="18"/>
  <c r="L941" i="18"/>
  <c r="J941" i="18"/>
  <c r="I941" i="18"/>
  <c r="G941" i="18"/>
  <c r="E941" i="18"/>
  <c r="L940" i="18"/>
  <c r="J940" i="18"/>
  <c r="I940" i="18"/>
  <c r="G940" i="18"/>
  <c r="E940" i="18"/>
  <c r="C940" i="18"/>
  <c r="A940" i="18"/>
  <c r="L939" i="18"/>
  <c r="J939" i="18"/>
  <c r="I939" i="18"/>
  <c r="G939" i="18"/>
  <c r="E939" i="18"/>
  <c r="C939" i="18"/>
  <c r="A939" i="18"/>
  <c r="L938" i="18"/>
  <c r="J938" i="18"/>
  <c r="I938" i="18"/>
  <c r="G938" i="18"/>
  <c r="E938" i="18"/>
  <c r="C938" i="18"/>
  <c r="A938" i="18"/>
  <c r="L937" i="18"/>
  <c r="J937" i="18"/>
  <c r="I937" i="18"/>
  <c r="G937" i="18"/>
  <c r="E937" i="18"/>
  <c r="C937" i="18"/>
  <c r="A937" i="18"/>
  <c r="L936" i="18"/>
  <c r="J936" i="18"/>
  <c r="I936" i="18"/>
  <c r="G936" i="18"/>
  <c r="E936" i="18"/>
  <c r="C936" i="18"/>
  <c r="A936" i="18"/>
  <c r="L935" i="18"/>
  <c r="J935" i="18"/>
  <c r="I935" i="18"/>
  <c r="G935" i="18"/>
  <c r="E935" i="18"/>
  <c r="C935" i="18"/>
  <c r="A935" i="18"/>
  <c r="L934" i="18"/>
  <c r="J934" i="18"/>
  <c r="I934" i="18"/>
  <c r="G934" i="18"/>
  <c r="E934" i="18"/>
  <c r="C934" i="18"/>
  <c r="A934" i="18"/>
  <c r="L933" i="18"/>
  <c r="J933" i="18"/>
  <c r="I933" i="18"/>
  <c r="G933" i="18"/>
  <c r="H933" i="18" s="1"/>
  <c r="E933" i="18"/>
  <c r="C933" i="18"/>
  <c r="A933" i="18"/>
  <c r="L929" i="18"/>
  <c r="J929" i="18"/>
  <c r="I929" i="18"/>
  <c r="G929" i="18"/>
  <c r="L928" i="18"/>
  <c r="J928" i="18"/>
  <c r="I928" i="18"/>
  <c r="G928" i="18"/>
  <c r="E928" i="18"/>
  <c r="L927" i="18"/>
  <c r="J927" i="18"/>
  <c r="I927" i="18"/>
  <c r="G927" i="18"/>
  <c r="E927" i="18"/>
  <c r="L926" i="18"/>
  <c r="J926" i="18"/>
  <c r="I926" i="18"/>
  <c r="G926" i="18"/>
  <c r="E926" i="18"/>
  <c r="L925" i="18"/>
  <c r="J925" i="18"/>
  <c r="I925" i="18"/>
  <c r="G925" i="18"/>
  <c r="E925" i="18"/>
  <c r="C925" i="18"/>
  <c r="A925" i="18"/>
  <c r="L924" i="18"/>
  <c r="J924" i="18"/>
  <c r="I924" i="18"/>
  <c r="G924" i="18"/>
  <c r="E924" i="18"/>
  <c r="C924" i="18"/>
  <c r="A924" i="18"/>
  <c r="L923" i="18"/>
  <c r="J923" i="18"/>
  <c r="I923" i="18"/>
  <c r="G923" i="18"/>
  <c r="E923" i="18"/>
  <c r="C923" i="18"/>
  <c r="A923" i="18"/>
  <c r="L922" i="18"/>
  <c r="J922" i="18"/>
  <c r="I922" i="18"/>
  <c r="G922" i="18"/>
  <c r="E922" i="18"/>
  <c r="C922" i="18"/>
  <c r="A922" i="18"/>
  <c r="L921" i="18"/>
  <c r="J921" i="18"/>
  <c r="I921" i="18"/>
  <c r="G921" i="18"/>
  <c r="E921" i="18"/>
  <c r="C921" i="18"/>
  <c r="A921" i="18"/>
  <c r="L920" i="18"/>
  <c r="J920" i="18"/>
  <c r="I920" i="18"/>
  <c r="G920" i="18"/>
  <c r="E920" i="18"/>
  <c r="C920" i="18"/>
  <c r="A920" i="18"/>
  <c r="L919" i="18"/>
  <c r="J919" i="18"/>
  <c r="I919" i="18"/>
  <c r="G919" i="18"/>
  <c r="E919" i="18"/>
  <c r="C919" i="18"/>
  <c r="A919" i="18"/>
  <c r="L918" i="18"/>
  <c r="J918" i="18"/>
  <c r="I918" i="18"/>
  <c r="G918" i="18"/>
  <c r="H918" i="18" s="1"/>
  <c r="E918" i="18"/>
  <c r="C918" i="18"/>
  <c r="A918" i="18"/>
  <c r="L914" i="18"/>
  <c r="J914" i="18"/>
  <c r="I914" i="18"/>
  <c r="G914" i="18"/>
  <c r="L913" i="18"/>
  <c r="J913" i="18"/>
  <c r="I913" i="18"/>
  <c r="G913" i="18"/>
  <c r="E913" i="18"/>
  <c r="L912" i="18"/>
  <c r="J912" i="18"/>
  <c r="I912" i="18"/>
  <c r="G912" i="18"/>
  <c r="E912" i="18"/>
  <c r="L911" i="18"/>
  <c r="J911" i="18"/>
  <c r="I911" i="18"/>
  <c r="G911" i="18"/>
  <c r="E911" i="18"/>
  <c r="L910" i="18"/>
  <c r="J910" i="18"/>
  <c r="I910" i="18"/>
  <c r="G910" i="18"/>
  <c r="E910" i="18"/>
  <c r="C910" i="18"/>
  <c r="A910" i="18"/>
  <c r="L909" i="18"/>
  <c r="J909" i="18"/>
  <c r="I909" i="18"/>
  <c r="G909" i="18"/>
  <c r="E909" i="18"/>
  <c r="C909" i="18"/>
  <c r="A909" i="18"/>
  <c r="L908" i="18"/>
  <c r="J908" i="18"/>
  <c r="I908" i="18"/>
  <c r="G908" i="18"/>
  <c r="E908" i="18"/>
  <c r="C908" i="18"/>
  <c r="A908" i="18"/>
  <c r="L907" i="18"/>
  <c r="J907" i="18"/>
  <c r="I907" i="18"/>
  <c r="G907" i="18"/>
  <c r="E907" i="18"/>
  <c r="C907" i="18"/>
  <c r="A907" i="18"/>
  <c r="L906" i="18"/>
  <c r="J906" i="18"/>
  <c r="I906" i="18"/>
  <c r="G906" i="18"/>
  <c r="E906" i="18"/>
  <c r="C906" i="18"/>
  <c r="A906" i="18"/>
  <c r="L905" i="18"/>
  <c r="J905" i="18"/>
  <c r="I905" i="18"/>
  <c r="G905" i="18"/>
  <c r="E905" i="18"/>
  <c r="C905" i="18"/>
  <c r="A905" i="18"/>
  <c r="L904" i="18"/>
  <c r="J904" i="18"/>
  <c r="I904" i="18"/>
  <c r="G904" i="18"/>
  <c r="E904" i="18"/>
  <c r="C904" i="18"/>
  <c r="A904" i="18"/>
  <c r="L903" i="18"/>
  <c r="J903" i="18"/>
  <c r="I903" i="18"/>
  <c r="G903" i="18"/>
  <c r="H903" i="18" s="1"/>
  <c r="E903" i="18"/>
  <c r="C903" i="18"/>
  <c r="A903" i="18"/>
  <c r="L899" i="18"/>
  <c r="J899" i="18"/>
  <c r="I899" i="18"/>
  <c r="G899" i="18"/>
  <c r="L898" i="18"/>
  <c r="J898" i="18"/>
  <c r="I898" i="18"/>
  <c r="G898" i="18"/>
  <c r="E898" i="18"/>
  <c r="L897" i="18"/>
  <c r="J897" i="18"/>
  <c r="I897" i="18"/>
  <c r="G897" i="18"/>
  <c r="E897" i="18"/>
  <c r="L896" i="18"/>
  <c r="J896" i="18"/>
  <c r="I896" i="18"/>
  <c r="G896" i="18"/>
  <c r="E896" i="18"/>
  <c r="L895" i="18"/>
  <c r="J895" i="18"/>
  <c r="I895" i="18"/>
  <c r="G895" i="18"/>
  <c r="E895" i="18"/>
  <c r="C895" i="18"/>
  <c r="A895" i="18"/>
  <c r="L894" i="18"/>
  <c r="J894" i="18"/>
  <c r="I894" i="18"/>
  <c r="G894" i="18"/>
  <c r="E894" i="18"/>
  <c r="C894" i="18"/>
  <c r="A894" i="18"/>
  <c r="L893" i="18"/>
  <c r="J893" i="18"/>
  <c r="I893" i="18"/>
  <c r="G893" i="18"/>
  <c r="E893" i="18"/>
  <c r="C893" i="18"/>
  <c r="A893" i="18"/>
  <c r="L892" i="18"/>
  <c r="J892" i="18"/>
  <c r="I892" i="18"/>
  <c r="G892" i="18"/>
  <c r="E892" i="18"/>
  <c r="C892" i="18"/>
  <c r="A892" i="18"/>
  <c r="L891" i="18"/>
  <c r="J891" i="18"/>
  <c r="I891" i="18"/>
  <c r="G891" i="18"/>
  <c r="E891" i="18"/>
  <c r="C891" i="18"/>
  <c r="A891" i="18"/>
  <c r="L890" i="18"/>
  <c r="J890" i="18"/>
  <c r="I890" i="18"/>
  <c r="G890" i="18"/>
  <c r="E890" i="18"/>
  <c r="C890" i="18"/>
  <c r="A890" i="18"/>
  <c r="L889" i="18"/>
  <c r="J889" i="18"/>
  <c r="I889" i="18"/>
  <c r="G889" i="18"/>
  <c r="E889" i="18"/>
  <c r="C889" i="18"/>
  <c r="A889" i="18"/>
  <c r="L888" i="18"/>
  <c r="J888" i="18"/>
  <c r="I888" i="18"/>
  <c r="G888" i="18"/>
  <c r="H888" i="18" s="1"/>
  <c r="E888" i="18"/>
  <c r="C888" i="18"/>
  <c r="A888" i="18"/>
  <c r="L885" i="18"/>
  <c r="K376" i="25" s="1"/>
  <c r="J885" i="18"/>
  <c r="I376" i="25" s="1"/>
  <c r="I885" i="18"/>
  <c r="H376" i="25" s="1"/>
  <c r="G885" i="18"/>
  <c r="F376" i="25" s="1"/>
  <c r="L884" i="18"/>
  <c r="K375" i="25" s="1"/>
  <c r="J884" i="18"/>
  <c r="I375" i="25" s="1"/>
  <c r="I884" i="18"/>
  <c r="H375" i="25" s="1"/>
  <c r="G884" i="18"/>
  <c r="F375" i="25" s="1"/>
  <c r="L883" i="18"/>
  <c r="K374" i="25" s="1"/>
  <c r="J883" i="18"/>
  <c r="I374" i="25" s="1"/>
  <c r="I883" i="18"/>
  <c r="H374" i="25" s="1"/>
  <c r="G883" i="18"/>
  <c r="F374" i="25" s="1"/>
  <c r="E883" i="18"/>
  <c r="D374" i="25" s="1"/>
  <c r="L882" i="18"/>
  <c r="K373" i="25" s="1"/>
  <c r="J882" i="18"/>
  <c r="I373" i="25" s="1"/>
  <c r="I882" i="18"/>
  <c r="H373" i="25" s="1"/>
  <c r="G882" i="18"/>
  <c r="F373" i="25" s="1"/>
  <c r="E882" i="18"/>
  <c r="D373" i="25" s="1"/>
  <c r="L881" i="18"/>
  <c r="K372" i="25" s="1"/>
  <c r="J881" i="18"/>
  <c r="I372" i="25" s="1"/>
  <c r="I881" i="18"/>
  <c r="H372" i="25" s="1"/>
  <c r="G881" i="18"/>
  <c r="F372" i="25" s="1"/>
  <c r="E881" i="18"/>
  <c r="D372" i="25" s="1"/>
  <c r="L880" i="18"/>
  <c r="K371" i="25" s="1"/>
  <c r="J880" i="18"/>
  <c r="I371" i="25" s="1"/>
  <c r="I880" i="18"/>
  <c r="H371" i="25" s="1"/>
  <c r="G880" i="18"/>
  <c r="F371" i="25" s="1"/>
  <c r="E880" i="18"/>
  <c r="D371" i="25" s="1"/>
  <c r="C880" i="18"/>
  <c r="A880" i="18"/>
  <c r="L879" i="18"/>
  <c r="K370" i="25" s="1"/>
  <c r="J879" i="18"/>
  <c r="I370" i="25" s="1"/>
  <c r="I879" i="18"/>
  <c r="H370" i="25" s="1"/>
  <c r="G879" i="18"/>
  <c r="F370" i="25" s="1"/>
  <c r="E879" i="18"/>
  <c r="D370" i="25" s="1"/>
  <c r="C879" i="18"/>
  <c r="A879" i="18"/>
  <c r="L878" i="18"/>
  <c r="K369" i="25" s="1"/>
  <c r="J878" i="18"/>
  <c r="I369" i="25" s="1"/>
  <c r="I878" i="18"/>
  <c r="H369" i="25" s="1"/>
  <c r="G878" i="18"/>
  <c r="F369" i="25" s="1"/>
  <c r="E878" i="18"/>
  <c r="D369" i="25" s="1"/>
  <c r="C878" i="18"/>
  <c r="A878" i="18"/>
  <c r="L877" i="18"/>
  <c r="K368" i="25" s="1"/>
  <c r="J877" i="18"/>
  <c r="I368" i="25" s="1"/>
  <c r="I877" i="18"/>
  <c r="H368" i="25" s="1"/>
  <c r="G877" i="18"/>
  <c r="F368" i="25" s="1"/>
  <c r="E877" i="18"/>
  <c r="D368" i="25" s="1"/>
  <c r="C877" i="18"/>
  <c r="A877" i="18"/>
  <c r="L876" i="18"/>
  <c r="K367" i="25" s="1"/>
  <c r="J876" i="18"/>
  <c r="I367" i="25" s="1"/>
  <c r="I876" i="18"/>
  <c r="H367" i="25" s="1"/>
  <c r="G876" i="18"/>
  <c r="F367" i="25" s="1"/>
  <c r="E876" i="18"/>
  <c r="D367" i="25" s="1"/>
  <c r="C876" i="18"/>
  <c r="A876" i="18"/>
  <c r="L875" i="18"/>
  <c r="K366" i="25" s="1"/>
  <c r="J875" i="18"/>
  <c r="I366" i="25" s="1"/>
  <c r="I875" i="18"/>
  <c r="H366" i="25" s="1"/>
  <c r="G875" i="18"/>
  <c r="F366" i="25" s="1"/>
  <c r="E875" i="18"/>
  <c r="D366" i="25" s="1"/>
  <c r="C875" i="18"/>
  <c r="A875" i="18"/>
  <c r="L874" i="18"/>
  <c r="K365" i="25" s="1"/>
  <c r="J874" i="18"/>
  <c r="I365" i="25" s="1"/>
  <c r="I874" i="18"/>
  <c r="H365" i="25" s="1"/>
  <c r="G874" i="18"/>
  <c r="F365" i="25" s="1"/>
  <c r="E874" i="18"/>
  <c r="D365" i="25" s="1"/>
  <c r="C874" i="18"/>
  <c r="A874" i="18"/>
  <c r="L873" i="18"/>
  <c r="K364" i="25" s="1"/>
  <c r="J873" i="18"/>
  <c r="I364" i="25" s="1"/>
  <c r="I873" i="18"/>
  <c r="H364" i="25" s="1"/>
  <c r="G873" i="18"/>
  <c r="F364" i="25" s="1"/>
  <c r="E873" i="18"/>
  <c r="D364" i="25" s="1"/>
  <c r="C873" i="18"/>
  <c r="A873" i="18"/>
  <c r="L869" i="18"/>
  <c r="K43" i="25" s="1"/>
  <c r="J869" i="18"/>
  <c r="I43" i="25" s="1"/>
  <c r="I869" i="18"/>
  <c r="H43" i="25" s="1"/>
  <c r="G869" i="18"/>
  <c r="F43" i="25" s="1"/>
  <c r="L868" i="18"/>
  <c r="K42" i="25" s="1"/>
  <c r="J868" i="18"/>
  <c r="I42" i="25" s="1"/>
  <c r="I868" i="18"/>
  <c r="H42" i="25" s="1"/>
  <c r="G868" i="18"/>
  <c r="F42" i="25" s="1"/>
  <c r="E868" i="18"/>
  <c r="D42" i="25" s="1"/>
  <c r="L867" i="18"/>
  <c r="K41" i="25" s="1"/>
  <c r="J867" i="18"/>
  <c r="I41" i="25" s="1"/>
  <c r="I867" i="18"/>
  <c r="H41" i="25" s="1"/>
  <c r="G867" i="18"/>
  <c r="F41" i="25" s="1"/>
  <c r="E867" i="18"/>
  <c r="D41" i="25" s="1"/>
  <c r="L866" i="18"/>
  <c r="K40" i="25" s="1"/>
  <c r="J866" i="18"/>
  <c r="I40" i="25" s="1"/>
  <c r="I866" i="18"/>
  <c r="H40" i="25" s="1"/>
  <c r="G866" i="18"/>
  <c r="F40" i="25" s="1"/>
  <c r="E866" i="18"/>
  <c r="D40" i="25" s="1"/>
  <c r="L865" i="18"/>
  <c r="K39" i="25" s="1"/>
  <c r="J865" i="18"/>
  <c r="I39" i="25" s="1"/>
  <c r="I865" i="18"/>
  <c r="H39" i="25" s="1"/>
  <c r="G865" i="18"/>
  <c r="F39" i="25" s="1"/>
  <c r="E865" i="18"/>
  <c r="D39" i="25" s="1"/>
  <c r="C865" i="18"/>
  <c r="A865" i="18"/>
  <c r="L864" i="18"/>
  <c r="K38" i="25" s="1"/>
  <c r="J864" i="18"/>
  <c r="I38" i="25" s="1"/>
  <c r="I864" i="18"/>
  <c r="H38" i="25" s="1"/>
  <c r="G864" i="18"/>
  <c r="F38" i="25" s="1"/>
  <c r="E864" i="18"/>
  <c r="D38" i="25" s="1"/>
  <c r="C864" i="18"/>
  <c r="A864" i="18"/>
  <c r="L863" i="18"/>
  <c r="K37" i="25" s="1"/>
  <c r="J863" i="18"/>
  <c r="I37" i="25" s="1"/>
  <c r="I863" i="18"/>
  <c r="H37" i="25" s="1"/>
  <c r="G863" i="18"/>
  <c r="F37" i="25" s="1"/>
  <c r="E863" i="18"/>
  <c r="D37" i="25" s="1"/>
  <c r="C863" i="18"/>
  <c r="A863" i="18"/>
  <c r="L862" i="18"/>
  <c r="K36" i="25" s="1"/>
  <c r="J862" i="18"/>
  <c r="I36" i="25" s="1"/>
  <c r="I862" i="18"/>
  <c r="H36" i="25" s="1"/>
  <c r="G862" i="18"/>
  <c r="F36" i="25" s="1"/>
  <c r="E862" i="18"/>
  <c r="D36" i="25" s="1"/>
  <c r="C862" i="18"/>
  <c r="A862" i="18"/>
  <c r="L861" i="18"/>
  <c r="K35" i="25" s="1"/>
  <c r="J861" i="18"/>
  <c r="I35" i="25" s="1"/>
  <c r="I861" i="18"/>
  <c r="H35" i="25" s="1"/>
  <c r="G861" i="18"/>
  <c r="F35" i="25" s="1"/>
  <c r="E861" i="18"/>
  <c r="D35" i="25" s="1"/>
  <c r="C861" i="18"/>
  <c r="A861" i="18"/>
  <c r="L860" i="18"/>
  <c r="K34" i="25" s="1"/>
  <c r="J860" i="18"/>
  <c r="I34" i="25" s="1"/>
  <c r="I860" i="18"/>
  <c r="H34" i="25" s="1"/>
  <c r="G860" i="18"/>
  <c r="F34" i="25" s="1"/>
  <c r="E860" i="18"/>
  <c r="D34" i="25" s="1"/>
  <c r="C860" i="18"/>
  <c r="A860" i="18"/>
  <c r="L859" i="18"/>
  <c r="K33" i="25" s="1"/>
  <c r="J859" i="18"/>
  <c r="I33" i="25" s="1"/>
  <c r="I859" i="18"/>
  <c r="H33" i="25" s="1"/>
  <c r="G859" i="18"/>
  <c r="F33" i="25" s="1"/>
  <c r="E859" i="18"/>
  <c r="D33" i="25" s="1"/>
  <c r="C859" i="18"/>
  <c r="A859" i="18"/>
  <c r="L858" i="18"/>
  <c r="K32" i="25" s="1"/>
  <c r="J858" i="18"/>
  <c r="I32" i="25" s="1"/>
  <c r="I858" i="18"/>
  <c r="H32" i="25" s="1"/>
  <c r="G858" i="18"/>
  <c r="E858" i="18"/>
  <c r="D32" i="25" s="1"/>
  <c r="C858" i="18"/>
  <c r="A858" i="18"/>
  <c r="L855" i="18"/>
  <c r="K346" i="25" s="1"/>
  <c r="J855" i="18"/>
  <c r="I346" i="25" s="1"/>
  <c r="I855" i="18"/>
  <c r="H346" i="25" s="1"/>
  <c r="G855" i="18"/>
  <c r="F346" i="25" s="1"/>
  <c r="L854" i="18"/>
  <c r="K345" i="25" s="1"/>
  <c r="J854" i="18"/>
  <c r="I345" i="25" s="1"/>
  <c r="I854" i="18"/>
  <c r="H345" i="25" s="1"/>
  <c r="G854" i="18"/>
  <c r="F345" i="25" s="1"/>
  <c r="L853" i="18"/>
  <c r="K344" i="25" s="1"/>
  <c r="J853" i="18"/>
  <c r="I344" i="25" s="1"/>
  <c r="I853" i="18"/>
  <c r="H344" i="25" s="1"/>
  <c r="G853" i="18"/>
  <c r="F344" i="25" s="1"/>
  <c r="E853" i="18"/>
  <c r="D344" i="25" s="1"/>
  <c r="L852" i="18"/>
  <c r="K343" i="25" s="1"/>
  <c r="J852" i="18"/>
  <c r="I343" i="25" s="1"/>
  <c r="I852" i="18"/>
  <c r="H343" i="25" s="1"/>
  <c r="G852" i="18"/>
  <c r="F343" i="25" s="1"/>
  <c r="E852" i="18"/>
  <c r="D343" i="25" s="1"/>
  <c r="L851" i="18"/>
  <c r="K342" i="25" s="1"/>
  <c r="J851" i="18"/>
  <c r="I342" i="25" s="1"/>
  <c r="I851" i="18"/>
  <c r="H342" i="25" s="1"/>
  <c r="G851" i="18"/>
  <c r="F342" i="25" s="1"/>
  <c r="E851" i="18"/>
  <c r="D342" i="25" s="1"/>
  <c r="L850" i="18"/>
  <c r="K341" i="25" s="1"/>
  <c r="J850" i="18"/>
  <c r="I341" i="25" s="1"/>
  <c r="I850" i="18"/>
  <c r="H341" i="25" s="1"/>
  <c r="G850" i="18"/>
  <c r="F341" i="25" s="1"/>
  <c r="E850" i="18"/>
  <c r="D341" i="25" s="1"/>
  <c r="C850" i="18"/>
  <c r="A850" i="18"/>
  <c r="L849" i="18"/>
  <c r="K340" i="25" s="1"/>
  <c r="J849" i="18"/>
  <c r="I340" i="25" s="1"/>
  <c r="I849" i="18"/>
  <c r="H340" i="25" s="1"/>
  <c r="G849" i="18"/>
  <c r="F340" i="25" s="1"/>
  <c r="E849" i="18"/>
  <c r="D340" i="25" s="1"/>
  <c r="C849" i="18"/>
  <c r="A849" i="18"/>
  <c r="L848" i="18"/>
  <c r="K339" i="25" s="1"/>
  <c r="J848" i="18"/>
  <c r="I339" i="25" s="1"/>
  <c r="I848" i="18"/>
  <c r="H339" i="25" s="1"/>
  <c r="G848" i="18"/>
  <c r="F339" i="25" s="1"/>
  <c r="E848" i="18"/>
  <c r="D339" i="25" s="1"/>
  <c r="C848" i="18"/>
  <c r="A848" i="18"/>
  <c r="L847" i="18"/>
  <c r="K338" i="25" s="1"/>
  <c r="J847" i="18"/>
  <c r="I338" i="25" s="1"/>
  <c r="I847" i="18"/>
  <c r="H338" i="25" s="1"/>
  <c r="G847" i="18"/>
  <c r="F338" i="25" s="1"/>
  <c r="E847" i="18"/>
  <c r="D338" i="25" s="1"/>
  <c r="C847" i="18"/>
  <c r="A847" i="18"/>
  <c r="L846" i="18"/>
  <c r="K337" i="25" s="1"/>
  <c r="J846" i="18"/>
  <c r="I337" i="25" s="1"/>
  <c r="I846" i="18"/>
  <c r="H337" i="25" s="1"/>
  <c r="G846" i="18"/>
  <c r="F337" i="25" s="1"/>
  <c r="E846" i="18"/>
  <c r="D337" i="25" s="1"/>
  <c r="C846" i="18"/>
  <c r="A846" i="18"/>
  <c r="L845" i="18"/>
  <c r="K336" i="25" s="1"/>
  <c r="J845" i="18"/>
  <c r="I336" i="25" s="1"/>
  <c r="I845" i="18"/>
  <c r="H336" i="25" s="1"/>
  <c r="G845" i="18"/>
  <c r="F336" i="25" s="1"/>
  <c r="E845" i="18"/>
  <c r="D336" i="25" s="1"/>
  <c r="C845" i="18"/>
  <c r="A845" i="18"/>
  <c r="L844" i="18"/>
  <c r="K335" i="25" s="1"/>
  <c r="J844" i="18"/>
  <c r="I335" i="25" s="1"/>
  <c r="I844" i="18"/>
  <c r="H335" i="25" s="1"/>
  <c r="G844" i="18"/>
  <c r="F335" i="25" s="1"/>
  <c r="E844" i="18"/>
  <c r="D335" i="25" s="1"/>
  <c r="C844" i="18"/>
  <c r="A844" i="18"/>
  <c r="L843" i="18"/>
  <c r="K334" i="25" s="1"/>
  <c r="J843" i="18"/>
  <c r="I334" i="25" s="1"/>
  <c r="I843" i="18"/>
  <c r="H334" i="25" s="1"/>
  <c r="G843" i="18"/>
  <c r="F334" i="25" s="1"/>
  <c r="E843" i="18"/>
  <c r="D334" i="25" s="1"/>
  <c r="C843" i="18"/>
  <c r="A843" i="18"/>
  <c r="L836" i="18"/>
  <c r="J836" i="18"/>
  <c r="I836" i="18"/>
  <c r="G836" i="18"/>
  <c r="E836" i="18"/>
  <c r="L835" i="18"/>
  <c r="J835" i="18"/>
  <c r="I835" i="18"/>
  <c r="G835" i="18"/>
  <c r="E835" i="18"/>
  <c r="C835" i="18"/>
  <c r="A835" i="18"/>
  <c r="L834" i="18"/>
  <c r="J834" i="18"/>
  <c r="I834" i="18"/>
  <c r="G834" i="18"/>
  <c r="E834" i="18"/>
  <c r="C834" i="18"/>
  <c r="A834" i="18"/>
  <c r="L833" i="18"/>
  <c r="J833" i="18"/>
  <c r="I833" i="18"/>
  <c r="G833" i="18"/>
  <c r="E833" i="18"/>
  <c r="C833" i="18"/>
  <c r="A833" i="18"/>
  <c r="L832" i="18"/>
  <c r="J832" i="18"/>
  <c r="I832" i="18"/>
  <c r="G832" i="18"/>
  <c r="E832" i="18"/>
  <c r="C832" i="18"/>
  <c r="A832" i="18"/>
  <c r="L831" i="18"/>
  <c r="J831" i="18"/>
  <c r="I831" i="18"/>
  <c r="G831" i="18"/>
  <c r="E831" i="18"/>
  <c r="C831" i="18"/>
  <c r="A831" i="18"/>
  <c r="L830" i="18"/>
  <c r="J830" i="18"/>
  <c r="I830" i="18"/>
  <c r="G830" i="18"/>
  <c r="E830" i="18"/>
  <c r="C830" i="18"/>
  <c r="A830" i="18"/>
  <c r="L829" i="18"/>
  <c r="J829" i="18"/>
  <c r="I829" i="18"/>
  <c r="G829" i="18"/>
  <c r="E829" i="18"/>
  <c r="C829" i="18"/>
  <c r="A829" i="18"/>
  <c r="L828" i="18"/>
  <c r="J828" i="18"/>
  <c r="I828" i="18"/>
  <c r="G828" i="18"/>
  <c r="H828" i="18" s="1"/>
  <c r="E828" i="18"/>
  <c r="C828" i="18"/>
  <c r="A828" i="18"/>
  <c r="L824" i="18"/>
  <c r="J824" i="18"/>
  <c r="I824" i="18"/>
  <c r="G824" i="18"/>
  <c r="L823" i="18"/>
  <c r="J823" i="18"/>
  <c r="I823" i="18"/>
  <c r="G823" i="18"/>
  <c r="E823" i="18"/>
  <c r="L822" i="18"/>
  <c r="J822" i="18"/>
  <c r="I822" i="18"/>
  <c r="G822" i="18"/>
  <c r="E822" i="18"/>
  <c r="L821" i="18"/>
  <c r="J821" i="18"/>
  <c r="I821" i="18"/>
  <c r="G821" i="18"/>
  <c r="E821" i="18"/>
  <c r="L820" i="18"/>
  <c r="J820" i="18"/>
  <c r="I820" i="18"/>
  <c r="G820" i="18"/>
  <c r="E820" i="18"/>
  <c r="C820" i="18"/>
  <c r="A820" i="18"/>
  <c r="L819" i="18"/>
  <c r="J819" i="18"/>
  <c r="I819" i="18"/>
  <c r="G819" i="18"/>
  <c r="E819" i="18"/>
  <c r="C819" i="18"/>
  <c r="A819" i="18"/>
  <c r="L818" i="18"/>
  <c r="J818" i="18"/>
  <c r="I818" i="18"/>
  <c r="G818" i="18"/>
  <c r="E818" i="18"/>
  <c r="C818" i="18"/>
  <c r="A818" i="18"/>
  <c r="L817" i="18"/>
  <c r="J817" i="18"/>
  <c r="I817" i="18"/>
  <c r="G817" i="18"/>
  <c r="E817" i="18"/>
  <c r="C817" i="18"/>
  <c r="A817" i="18"/>
  <c r="L816" i="18"/>
  <c r="J816" i="18"/>
  <c r="I816" i="18"/>
  <c r="G816" i="18"/>
  <c r="E816" i="18"/>
  <c r="C816" i="18"/>
  <c r="A816" i="18"/>
  <c r="L815" i="18"/>
  <c r="J815" i="18"/>
  <c r="I815" i="18"/>
  <c r="G815" i="18"/>
  <c r="E815" i="18"/>
  <c r="C815" i="18"/>
  <c r="A815" i="18"/>
  <c r="L814" i="18"/>
  <c r="J814" i="18"/>
  <c r="I814" i="18"/>
  <c r="G814" i="18"/>
  <c r="E814" i="18"/>
  <c r="C814" i="18"/>
  <c r="A814" i="18"/>
  <c r="L813" i="18"/>
  <c r="J813" i="18"/>
  <c r="I813" i="18"/>
  <c r="G813" i="18"/>
  <c r="H813" i="18" s="1"/>
  <c r="E813" i="18"/>
  <c r="C813" i="18"/>
  <c r="A813" i="18"/>
  <c r="L810" i="18"/>
  <c r="K212" i="25" s="1"/>
  <c r="J810" i="18"/>
  <c r="I212" i="25" s="1"/>
  <c r="I810" i="18"/>
  <c r="H212" i="25" s="1"/>
  <c r="G810" i="18"/>
  <c r="F212" i="25" s="1"/>
  <c r="L809" i="18"/>
  <c r="K211" i="25" s="1"/>
  <c r="J809" i="18"/>
  <c r="I211" i="25" s="1"/>
  <c r="I809" i="18"/>
  <c r="H211" i="25" s="1"/>
  <c r="G809" i="18"/>
  <c r="F211" i="25" s="1"/>
  <c r="L808" i="18"/>
  <c r="K210" i="25" s="1"/>
  <c r="J808" i="18"/>
  <c r="I210" i="25" s="1"/>
  <c r="I808" i="18"/>
  <c r="H210" i="25" s="1"/>
  <c r="G808" i="18"/>
  <c r="F210" i="25" s="1"/>
  <c r="E808" i="18"/>
  <c r="D210" i="25" s="1"/>
  <c r="L807" i="18"/>
  <c r="K209" i="25" s="1"/>
  <c r="J807" i="18"/>
  <c r="I209" i="25" s="1"/>
  <c r="I807" i="18"/>
  <c r="H209" i="25" s="1"/>
  <c r="G807" i="18"/>
  <c r="F209" i="25" s="1"/>
  <c r="E807" i="18"/>
  <c r="D209" i="25" s="1"/>
  <c r="L806" i="18"/>
  <c r="K208" i="25" s="1"/>
  <c r="J806" i="18"/>
  <c r="I208" i="25" s="1"/>
  <c r="I806" i="18"/>
  <c r="H208" i="25" s="1"/>
  <c r="G806" i="18"/>
  <c r="F208" i="25" s="1"/>
  <c r="E806" i="18"/>
  <c r="D208" i="25" s="1"/>
  <c r="L805" i="18"/>
  <c r="K207" i="25" s="1"/>
  <c r="J805" i="18"/>
  <c r="I207" i="25" s="1"/>
  <c r="I805" i="18"/>
  <c r="H207" i="25" s="1"/>
  <c r="G805" i="18"/>
  <c r="F207" i="25" s="1"/>
  <c r="E805" i="18"/>
  <c r="D207" i="25" s="1"/>
  <c r="C805" i="18"/>
  <c r="A805" i="18"/>
  <c r="L804" i="18"/>
  <c r="K206" i="25" s="1"/>
  <c r="J804" i="18"/>
  <c r="I206" i="25" s="1"/>
  <c r="I804" i="18"/>
  <c r="H206" i="25" s="1"/>
  <c r="G804" i="18"/>
  <c r="F206" i="25" s="1"/>
  <c r="E804" i="18"/>
  <c r="D206" i="25" s="1"/>
  <c r="C804" i="18"/>
  <c r="A804" i="18"/>
  <c r="L803" i="18"/>
  <c r="K205" i="25" s="1"/>
  <c r="J803" i="18"/>
  <c r="I205" i="25" s="1"/>
  <c r="I803" i="18"/>
  <c r="H205" i="25" s="1"/>
  <c r="G803" i="18"/>
  <c r="F205" i="25" s="1"/>
  <c r="E803" i="18"/>
  <c r="D205" i="25" s="1"/>
  <c r="C803" i="18"/>
  <c r="A803" i="18"/>
  <c r="L802" i="18"/>
  <c r="K204" i="25" s="1"/>
  <c r="J802" i="18"/>
  <c r="I204" i="25" s="1"/>
  <c r="I802" i="18"/>
  <c r="H204" i="25" s="1"/>
  <c r="G802" i="18"/>
  <c r="F204" i="25" s="1"/>
  <c r="E802" i="18"/>
  <c r="D204" i="25" s="1"/>
  <c r="C802" i="18"/>
  <c r="A802" i="18"/>
  <c r="L801" i="18"/>
  <c r="K203" i="25" s="1"/>
  <c r="J801" i="18"/>
  <c r="I203" i="25" s="1"/>
  <c r="I801" i="18"/>
  <c r="H203" i="25" s="1"/>
  <c r="G801" i="18"/>
  <c r="F203" i="25" s="1"/>
  <c r="E801" i="18"/>
  <c r="D203" i="25" s="1"/>
  <c r="C801" i="18"/>
  <c r="A801" i="18"/>
  <c r="L800" i="18"/>
  <c r="K202" i="25" s="1"/>
  <c r="J800" i="18"/>
  <c r="I202" i="25" s="1"/>
  <c r="I800" i="18"/>
  <c r="H202" i="25" s="1"/>
  <c r="G800" i="18"/>
  <c r="F202" i="25" s="1"/>
  <c r="E800" i="18"/>
  <c r="D202" i="25" s="1"/>
  <c r="C800" i="18"/>
  <c r="A800" i="18"/>
  <c r="L799" i="18"/>
  <c r="K201" i="25" s="1"/>
  <c r="J799" i="18"/>
  <c r="I201" i="25" s="1"/>
  <c r="I799" i="18"/>
  <c r="H201" i="25" s="1"/>
  <c r="G799" i="18"/>
  <c r="F201" i="25" s="1"/>
  <c r="E799" i="18"/>
  <c r="D201" i="25" s="1"/>
  <c r="C799" i="18"/>
  <c r="A799" i="18"/>
  <c r="L798" i="18"/>
  <c r="J798" i="18"/>
  <c r="I798" i="18"/>
  <c r="H200" i="25" s="1"/>
  <c r="G798" i="18"/>
  <c r="F200" i="25" s="1"/>
  <c r="E798" i="18"/>
  <c r="D200" i="25" s="1"/>
  <c r="C798" i="18"/>
  <c r="A798" i="18"/>
  <c r="L794" i="18"/>
  <c r="J794" i="18"/>
  <c r="I794" i="18"/>
  <c r="G794" i="18"/>
  <c r="L793" i="18"/>
  <c r="J793" i="18"/>
  <c r="I793" i="18"/>
  <c r="G793" i="18"/>
  <c r="E793" i="18"/>
  <c r="L792" i="18"/>
  <c r="J792" i="18"/>
  <c r="I792" i="18"/>
  <c r="G792" i="18"/>
  <c r="E792" i="18"/>
  <c r="L791" i="18"/>
  <c r="J791" i="18"/>
  <c r="I791" i="18"/>
  <c r="G791" i="18"/>
  <c r="E791" i="18"/>
  <c r="L790" i="18"/>
  <c r="J790" i="18"/>
  <c r="I790" i="18"/>
  <c r="G790" i="18"/>
  <c r="E790" i="18"/>
  <c r="C790" i="18"/>
  <c r="A790" i="18"/>
  <c r="L789" i="18"/>
  <c r="J789" i="18"/>
  <c r="I789" i="18"/>
  <c r="G789" i="18"/>
  <c r="E789" i="18"/>
  <c r="C789" i="18"/>
  <c r="A789" i="18"/>
  <c r="L788" i="18"/>
  <c r="J788" i="18"/>
  <c r="I788" i="18"/>
  <c r="G788" i="18"/>
  <c r="E788" i="18"/>
  <c r="C788" i="18"/>
  <c r="A788" i="18"/>
  <c r="L787" i="18"/>
  <c r="J787" i="18"/>
  <c r="I787" i="18"/>
  <c r="G787" i="18"/>
  <c r="E787" i="18"/>
  <c r="C787" i="18"/>
  <c r="A787" i="18"/>
  <c r="L786" i="18"/>
  <c r="J786" i="18"/>
  <c r="I786" i="18"/>
  <c r="G786" i="18"/>
  <c r="E786" i="18"/>
  <c r="C786" i="18"/>
  <c r="A786" i="18"/>
  <c r="L785" i="18"/>
  <c r="J785" i="18"/>
  <c r="I785" i="18"/>
  <c r="G785" i="18"/>
  <c r="E785" i="18"/>
  <c r="C785" i="18"/>
  <c r="A785" i="18"/>
  <c r="L784" i="18"/>
  <c r="J784" i="18"/>
  <c r="I784" i="18"/>
  <c r="G784" i="18"/>
  <c r="E784" i="18"/>
  <c r="C784" i="18"/>
  <c r="A784" i="18"/>
  <c r="L783" i="18"/>
  <c r="J783" i="18"/>
  <c r="I783" i="18"/>
  <c r="G783" i="18"/>
  <c r="H783" i="18" s="1"/>
  <c r="E783" i="18"/>
  <c r="C783" i="18"/>
  <c r="A783" i="18"/>
  <c r="L779" i="18"/>
  <c r="J779" i="18"/>
  <c r="I779" i="18"/>
  <c r="G779" i="18"/>
  <c r="L778" i="18"/>
  <c r="J778" i="18"/>
  <c r="I778" i="18"/>
  <c r="G778" i="18"/>
  <c r="E778" i="18"/>
  <c r="L777" i="18"/>
  <c r="J777" i="18"/>
  <c r="I777" i="18"/>
  <c r="G777" i="18"/>
  <c r="E777" i="18"/>
  <c r="L776" i="18"/>
  <c r="J776" i="18"/>
  <c r="I776" i="18"/>
  <c r="G776" i="18"/>
  <c r="E776" i="18"/>
  <c r="L775" i="18"/>
  <c r="J775" i="18"/>
  <c r="I775" i="18"/>
  <c r="G775" i="18"/>
  <c r="E775" i="18"/>
  <c r="C775" i="18"/>
  <c r="A775" i="18"/>
  <c r="L774" i="18"/>
  <c r="J774" i="18"/>
  <c r="I774" i="18"/>
  <c r="G774" i="18"/>
  <c r="E774" i="18"/>
  <c r="C774" i="18"/>
  <c r="A774" i="18"/>
  <c r="L773" i="18"/>
  <c r="J773" i="18"/>
  <c r="I773" i="18"/>
  <c r="G773" i="18"/>
  <c r="E773" i="18"/>
  <c r="C773" i="18"/>
  <c r="A773" i="18"/>
  <c r="L772" i="18"/>
  <c r="J772" i="18"/>
  <c r="I772" i="18"/>
  <c r="G772" i="18"/>
  <c r="E772" i="18"/>
  <c r="C772" i="18"/>
  <c r="A772" i="18"/>
  <c r="L771" i="18"/>
  <c r="J771" i="18"/>
  <c r="I771" i="18"/>
  <c r="G771" i="18"/>
  <c r="E771" i="18"/>
  <c r="C771" i="18"/>
  <c r="A771" i="18"/>
  <c r="L770" i="18"/>
  <c r="J770" i="18"/>
  <c r="I770" i="18"/>
  <c r="G770" i="18"/>
  <c r="E770" i="18"/>
  <c r="C770" i="18"/>
  <c r="A770" i="18"/>
  <c r="L769" i="18"/>
  <c r="J769" i="18"/>
  <c r="I769" i="18"/>
  <c r="G769" i="18"/>
  <c r="E769" i="18"/>
  <c r="C769" i="18"/>
  <c r="A769" i="18"/>
  <c r="L768" i="18"/>
  <c r="J768" i="18"/>
  <c r="I768" i="18"/>
  <c r="G768" i="18"/>
  <c r="H768" i="18" s="1"/>
  <c r="E768" i="18"/>
  <c r="C768" i="18"/>
  <c r="A768" i="18"/>
  <c r="L765" i="18"/>
  <c r="K182" i="25" s="1"/>
  <c r="J765" i="18"/>
  <c r="I182" i="25" s="1"/>
  <c r="G765" i="18"/>
  <c r="F182" i="25" s="1"/>
  <c r="L764" i="18"/>
  <c r="K181" i="25" s="1"/>
  <c r="J764" i="18"/>
  <c r="I181" i="25" s="1"/>
  <c r="G764" i="18"/>
  <c r="F181" i="25" s="1"/>
  <c r="L763" i="18"/>
  <c r="K180" i="25" s="1"/>
  <c r="J763" i="18"/>
  <c r="I180" i="25" s="1"/>
  <c r="G763" i="18"/>
  <c r="F180" i="25" s="1"/>
  <c r="E763" i="18"/>
  <c r="D180" i="25" s="1"/>
  <c r="L762" i="18"/>
  <c r="K179" i="25" s="1"/>
  <c r="J762" i="18"/>
  <c r="I179" i="25" s="1"/>
  <c r="G762" i="18"/>
  <c r="F179" i="25" s="1"/>
  <c r="E762" i="18"/>
  <c r="D179" i="25" s="1"/>
  <c r="L761" i="18"/>
  <c r="K178" i="25" s="1"/>
  <c r="J761" i="18"/>
  <c r="I178" i="25" s="1"/>
  <c r="I761" i="18"/>
  <c r="H178" i="25" s="1"/>
  <c r="G761" i="18"/>
  <c r="F178" i="25" s="1"/>
  <c r="E761" i="18"/>
  <c r="D178" i="25" s="1"/>
  <c r="L760" i="18"/>
  <c r="K177" i="25" s="1"/>
  <c r="J760" i="18"/>
  <c r="I177" i="25" s="1"/>
  <c r="I760" i="18"/>
  <c r="H177" i="25" s="1"/>
  <c r="G760" i="18"/>
  <c r="F177" i="25" s="1"/>
  <c r="E760" i="18"/>
  <c r="D177" i="25" s="1"/>
  <c r="C760" i="18"/>
  <c r="A760" i="18"/>
  <c r="L759" i="18"/>
  <c r="K176" i="25" s="1"/>
  <c r="J759" i="18"/>
  <c r="I176" i="25" s="1"/>
  <c r="I759" i="18"/>
  <c r="H176" i="25" s="1"/>
  <c r="G759" i="18"/>
  <c r="F176" i="25" s="1"/>
  <c r="E759" i="18"/>
  <c r="D176" i="25" s="1"/>
  <c r="C759" i="18"/>
  <c r="A759" i="18"/>
  <c r="L758" i="18"/>
  <c r="K175" i="25" s="1"/>
  <c r="J758" i="18"/>
  <c r="I175" i="25" s="1"/>
  <c r="I758" i="18"/>
  <c r="H175" i="25" s="1"/>
  <c r="G758" i="18"/>
  <c r="F175" i="25" s="1"/>
  <c r="E758" i="18"/>
  <c r="D175" i="25" s="1"/>
  <c r="C758" i="18"/>
  <c r="A758" i="18"/>
  <c r="L757" i="18"/>
  <c r="K174" i="25" s="1"/>
  <c r="J757" i="18"/>
  <c r="I174" i="25" s="1"/>
  <c r="I757" i="18"/>
  <c r="H174" i="25" s="1"/>
  <c r="G757" i="18"/>
  <c r="F174" i="25" s="1"/>
  <c r="E757" i="18"/>
  <c r="D174" i="25" s="1"/>
  <c r="C757" i="18"/>
  <c r="A757" i="18"/>
  <c r="L756" i="18"/>
  <c r="K173" i="25" s="1"/>
  <c r="J756" i="18"/>
  <c r="I173" i="25" s="1"/>
  <c r="I756" i="18"/>
  <c r="H173" i="25" s="1"/>
  <c r="G756" i="18"/>
  <c r="F173" i="25" s="1"/>
  <c r="E756" i="18"/>
  <c r="D173" i="25" s="1"/>
  <c r="C756" i="18"/>
  <c r="A756" i="18"/>
  <c r="L755" i="18"/>
  <c r="K172" i="25" s="1"/>
  <c r="J755" i="18"/>
  <c r="I172" i="25" s="1"/>
  <c r="I755" i="18"/>
  <c r="H172" i="25" s="1"/>
  <c r="G755" i="18"/>
  <c r="F172" i="25" s="1"/>
  <c r="E755" i="18"/>
  <c r="D172" i="25" s="1"/>
  <c r="C755" i="18"/>
  <c r="A755" i="18"/>
  <c r="L754" i="18"/>
  <c r="K171" i="25" s="1"/>
  <c r="J754" i="18"/>
  <c r="I171" i="25" s="1"/>
  <c r="I754" i="18"/>
  <c r="H171" i="25" s="1"/>
  <c r="G754" i="18"/>
  <c r="F171" i="25" s="1"/>
  <c r="E754" i="18"/>
  <c r="D171" i="25" s="1"/>
  <c r="C754" i="18"/>
  <c r="A754" i="18"/>
  <c r="L753" i="18"/>
  <c r="K170" i="25" s="1"/>
  <c r="J753" i="18"/>
  <c r="I170" i="25" s="1"/>
  <c r="I753" i="18"/>
  <c r="H170" i="25" s="1"/>
  <c r="G753" i="18"/>
  <c r="F170" i="25" s="1"/>
  <c r="E753" i="18"/>
  <c r="D170" i="25" s="1"/>
  <c r="C753" i="18"/>
  <c r="A753" i="18"/>
  <c r="L749" i="18"/>
  <c r="J749" i="18"/>
  <c r="I749" i="18"/>
  <c r="G749" i="18"/>
  <c r="L748" i="18"/>
  <c r="J748" i="18"/>
  <c r="I748" i="18"/>
  <c r="G748" i="18"/>
  <c r="E748" i="18"/>
  <c r="L747" i="18"/>
  <c r="J747" i="18"/>
  <c r="I747" i="18"/>
  <c r="G747" i="18"/>
  <c r="E747" i="18"/>
  <c r="L746" i="18"/>
  <c r="J746" i="18"/>
  <c r="I746" i="18"/>
  <c r="G746" i="18"/>
  <c r="E746" i="18"/>
  <c r="L745" i="18"/>
  <c r="J745" i="18"/>
  <c r="I745" i="18"/>
  <c r="G745" i="18"/>
  <c r="E745" i="18"/>
  <c r="C745" i="18"/>
  <c r="A745" i="18"/>
  <c r="L744" i="18"/>
  <c r="J744" i="18"/>
  <c r="I744" i="18"/>
  <c r="G744" i="18"/>
  <c r="E744" i="18"/>
  <c r="C744" i="18"/>
  <c r="A744" i="18"/>
  <c r="L743" i="18"/>
  <c r="J743" i="18"/>
  <c r="I743" i="18"/>
  <c r="G743" i="18"/>
  <c r="E743" i="18"/>
  <c r="C743" i="18"/>
  <c r="A743" i="18"/>
  <c r="L742" i="18"/>
  <c r="J742" i="18"/>
  <c r="I742" i="18"/>
  <c r="G742" i="18"/>
  <c r="E742" i="18"/>
  <c r="C742" i="18"/>
  <c r="A742" i="18"/>
  <c r="L741" i="18"/>
  <c r="J741" i="18"/>
  <c r="I741" i="18"/>
  <c r="G741" i="18"/>
  <c r="E741" i="18"/>
  <c r="C741" i="18"/>
  <c r="A741" i="18"/>
  <c r="L740" i="18"/>
  <c r="J740" i="18"/>
  <c r="I740" i="18"/>
  <c r="G740" i="18"/>
  <c r="E740" i="18"/>
  <c r="C740" i="18"/>
  <c r="A740" i="18"/>
  <c r="L739" i="18"/>
  <c r="J739" i="18"/>
  <c r="I739" i="18"/>
  <c r="G739" i="18"/>
  <c r="E739" i="18"/>
  <c r="C739" i="18"/>
  <c r="A739" i="18"/>
  <c r="L738" i="18"/>
  <c r="J738" i="18"/>
  <c r="I738" i="18"/>
  <c r="G738" i="18"/>
  <c r="H738" i="18" s="1"/>
  <c r="E738" i="18"/>
  <c r="C738" i="18"/>
  <c r="A738" i="18"/>
  <c r="L735" i="18"/>
  <c r="K451" i="25" s="1"/>
  <c r="J735" i="18"/>
  <c r="I451" i="25" s="1"/>
  <c r="I735" i="18"/>
  <c r="H451" i="25" s="1"/>
  <c r="G735" i="18"/>
  <c r="F451" i="25" s="1"/>
  <c r="L734" i="18"/>
  <c r="K450" i="25" s="1"/>
  <c r="J734" i="18"/>
  <c r="I450" i="25" s="1"/>
  <c r="I734" i="18"/>
  <c r="H450" i="25" s="1"/>
  <c r="G734" i="18"/>
  <c r="F450" i="25" s="1"/>
  <c r="L733" i="18"/>
  <c r="K449" i="25" s="1"/>
  <c r="J733" i="18"/>
  <c r="I449" i="25" s="1"/>
  <c r="I733" i="18"/>
  <c r="H449" i="25" s="1"/>
  <c r="G733" i="18"/>
  <c r="F449" i="25" s="1"/>
  <c r="E733" i="18"/>
  <c r="D449" i="25" s="1"/>
  <c r="L732" i="18"/>
  <c r="K448" i="25" s="1"/>
  <c r="J732" i="18"/>
  <c r="I448" i="25" s="1"/>
  <c r="I732" i="18"/>
  <c r="H448" i="25" s="1"/>
  <c r="G732" i="18"/>
  <c r="F448" i="25" s="1"/>
  <c r="E732" i="18"/>
  <c r="D448" i="25" s="1"/>
  <c r="L731" i="18"/>
  <c r="K447" i="25" s="1"/>
  <c r="J731" i="18"/>
  <c r="I447" i="25" s="1"/>
  <c r="I731" i="18"/>
  <c r="H447" i="25" s="1"/>
  <c r="G731" i="18"/>
  <c r="F447" i="25" s="1"/>
  <c r="E731" i="18"/>
  <c r="D447" i="25" s="1"/>
  <c r="L730" i="18"/>
  <c r="K446" i="25" s="1"/>
  <c r="J730" i="18"/>
  <c r="I446" i="25" s="1"/>
  <c r="I730" i="18"/>
  <c r="H446" i="25" s="1"/>
  <c r="G730" i="18"/>
  <c r="F446" i="25" s="1"/>
  <c r="E730" i="18"/>
  <c r="D446" i="25" s="1"/>
  <c r="C730" i="18"/>
  <c r="A730" i="18"/>
  <c r="L729" i="18"/>
  <c r="K445" i="25" s="1"/>
  <c r="J729" i="18"/>
  <c r="I445" i="25" s="1"/>
  <c r="I729" i="18"/>
  <c r="H445" i="25" s="1"/>
  <c r="G729" i="18"/>
  <c r="F445" i="25" s="1"/>
  <c r="E729" i="18"/>
  <c r="D445" i="25" s="1"/>
  <c r="C729" i="18"/>
  <c r="A729" i="18"/>
  <c r="L728" i="18"/>
  <c r="K444" i="25" s="1"/>
  <c r="J728" i="18"/>
  <c r="I444" i="25" s="1"/>
  <c r="I728" i="18"/>
  <c r="H444" i="25" s="1"/>
  <c r="G728" i="18"/>
  <c r="F444" i="25" s="1"/>
  <c r="E728" i="18"/>
  <c r="D444" i="25" s="1"/>
  <c r="C728" i="18"/>
  <c r="A728" i="18"/>
  <c r="L727" i="18"/>
  <c r="K443" i="25" s="1"/>
  <c r="J727" i="18"/>
  <c r="I443" i="25" s="1"/>
  <c r="I727" i="18"/>
  <c r="H443" i="25" s="1"/>
  <c r="G727" i="18"/>
  <c r="F443" i="25" s="1"/>
  <c r="E727" i="18"/>
  <c r="D443" i="25" s="1"/>
  <c r="C727" i="18"/>
  <c r="A727" i="18"/>
  <c r="L726" i="18"/>
  <c r="K442" i="25" s="1"/>
  <c r="J726" i="18"/>
  <c r="I442" i="25" s="1"/>
  <c r="I726" i="18"/>
  <c r="H442" i="25" s="1"/>
  <c r="G726" i="18"/>
  <c r="F442" i="25" s="1"/>
  <c r="E726" i="18"/>
  <c r="D442" i="25" s="1"/>
  <c r="C726" i="18"/>
  <c r="A726" i="18"/>
  <c r="L725" i="18"/>
  <c r="K441" i="25" s="1"/>
  <c r="J725" i="18"/>
  <c r="I441" i="25" s="1"/>
  <c r="I725" i="18"/>
  <c r="H441" i="25" s="1"/>
  <c r="G725" i="18"/>
  <c r="F441" i="25" s="1"/>
  <c r="E725" i="18"/>
  <c r="D441" i="25" s="1"/>
  <c r="C725" i="18"/>
  <c r="A725" i="18"/>
  <c r="L724" i="18"/>
  <c r="K440" i="25" s="1"/>
  <c r="J724" i="18"/>
  <c r="I440" i="25" s="1"/>
  <c r="I724" i="18"/>
  <c r="H440" i="25" s="1"/>
  <c r="G724" i="18"/>
  <c r="F440" i="25" s="1"/>
  <c r="E724" i="18"/>
  <c r="D440" i="25" s="1"/>
  <c r="C724" i="18"/>
  <c r="A724" i="18"/>
  <c r="L723" i="18"/>
  <c r="K439" i="25" s="1"/>
  <c r="J723" i="18"/>
  <c r="I439" i="25" s="1"/>
  <c r="I723" i="18"/>
  <c r="H439" i="25" s="1"/>
  <c r="G723" i="18"/>
  <c r="F439" i="25" s="1"/>
  <c r="E723" i="18"/>
  <c r="D439" i="25" s="1"/>
  <c r="C723" i="18"/>
  <c r="A723" i="18"/>
  <c r="L704" i="18"/>
  <c r="J704" i="18"/>
  <c r="I704" i="18"/>
  <c r="G704" i="18"/>
  <c r="L703" i="18"/>
  <c r="J703" i="18"/>
  <c r="I703" i="18"/>
  <c r="G703" i="18"/>
  <c r="E703" i="18"/>
  <c r="L702" i="18"/>
  <c r="J702" i="18"/>
  <c r="I702" i="18"/>
  <c r="G702" i="18"/>
  <c r="E702" i="18"/>
  <c r="L701" i="18"/>
  <c r="J701" i="18"/>
  <c r="I701" i="18"/>
  <c r="G701" i="18"/>
  <c r="E701" i="18"/>
  <c r="L700" i="18"/>
  <c r="J700" i="18"/>
  <c r="I700" i="18"/>
  <c r="G700" i="18"/>
  <c r="E700" i="18"/>
  <c r="C700" i="18"/>
  <c r="A700" i="18"/>
  <c r="L699" i="18"/>
  <c r="J699" i="18"/>
  <c r="I699" i="18"/>
  <c r="G699" i="18"/>
  <c r="E699" i="18"/>
  <c r="C699" i="18"/>
  <c r="A699" i="18"/>
  <c r="L698" i="18"/>
  <c r="J698" i="18"/>
  <c r="I698" i="18"/>
  <c r="G698" i="18"/>
  <c r="E698" i="18"/>
  <c r="C698" i="18"/>
  <c r="A698" i="18"/>
  <c r="L697" i="18"/>
  <c r="J697" i="18"/>
  <c r="I697" i="18"/>
  <c r="G697" i="18"/>
  <c r="E697" i="18"/>
  <c r="C697" i="18"/>
  <c r="A697" i="18"/>
  <c r="L696" i="18"/>
  <c r="J696" i="18"/>
  <c r="I696" i="18"/>
  <c r="G696" i="18"/>
  <c r="E696" i="18"/>
  <c r="C696" i="18"/>
  <c r="A696" i="18"/>
  <c r="L695" i="18"/>
  <c r="J695" i="18"/>
  <c r="I695" i="18"/>
  <c r="G695" i="18"/>
  <c r="E695" i="18"/>
  <c r="C695" i="18"/>
  <c r="A695" i="18"/>
  <c r="L694" i="18"/>
  <c r="J694" i="18"/>
  <c r="I694" i="18"/>
  <c r="G694" i="18"/>
  <c r="E694" i="18"/>
  <c r="C694" i="18"/>
  <c r="A694" i="18"/>
  <c r="L693" i="18"/>
  <c r="J693" i="18"/>
  <c r="I693" i="18"/>
  <c r="G693" i="18"/>
  <c r="H693" i="18" s="1"/>
  <c r="E693" i="18"/>
  <c r="C693" i="18"/>
  <c r="A693" i="18"/>
  <c r="L690" i="18"/>
  <c r="K256" i="25" s="1"/>
  <c r="J690" i="18"/>
  <c r="I256" i="25" s="1"/>
  <c r="I690" i="18"/>
  <c r="H256" i="25" s="1"/>
  <c r="G690" i="18"/>
  <c r="F256" i="25" s="1"/>
  <c r="L689" i="18"/>
  <c r="K255" i="25" s="1"/>
  <c r="J689" i="18"/>
  <c r="I255" i="25" s="1"/>
  <c r="I689" i="18"/>
  <c r="H255" i="25" s="1"/>
  <c r="G689" i="18"/>
  <c r="F255" i="25" s="1"/>
  <c r="L688" i="18"/>
  <c r="K254" i="25" s="1"/>
  <c r="J688" i="18"/>
  <c r="I254" i="25" s="1"/>
  <c r="I688" i="18"/>
  <c r="H254" i="25" s="1"/>
  <c r="G688" i="18"/>
  <c r="F254" i="25" s="1"/>
  <c r="E688" i="18"/>
  <c r="D254" i="25" s="1"/>
  <c r="L687" i="18"/>
  <c r="K253" i="25" s="1"/>
  <c r="J687" i="18"/>
  <c r="I253" i="25" s="1"/>
  <c r="I687" i="18"/>
  <c r="H253" i="25" s="1"/>
  <c r="G687" i="18"/>
  <c r="F253" i="25" s="1"/>
  <c r="E687" i="18"/>
  <c r="D253" i="25" s="1"/>
  <c r="L686" i="18"/>
  <c r="K252" i="25" s="1"/>
  <c r="J686" i="18"/>
  <c r="I252" i="25" s="1"/>
  <c r="I686" i="18"/>
  <c r="H252" i="25" s="1"/>
  <c r="G686" i="18"/>
  <c r="F252" i="25" s="1"/>
  <c r="E686" i="18"/>
  <c r="D252" i="25" s="1"/>
  <c r="L685" i="18"/>
  <c r="K251" i="25" s="1"/>
  <c r="J685" i="18"/>
  <c r="I251" i="25" s="1"/>
  <c r="I685" i="18"/>
  <c r="H251" i="25" s="1"/>
  <c r="G685" i="18"/>
  <c r="F251" i="25" s="1"/>
  <c r="E685" i="18"/>
  <c r="D251" i="25" s="1"/>
  <c r="C685" i="18"/>
  <c r="A685" i="18"/>
  <c r="L684" i="18"/>
  <c r="K250" i="25" s="1"/>
  <c r="J684" i="18"/>
  <c r="I250" i="25" s="1"/>
  <c r="I684" i="18"/>
  <c r="H250" i="25" s="1"/>
  <c r="G684" i="18"/>
  <c r="F250" i="25" s="1"/>
  <c r="E684" i="18"/>
  <c r="D250" i="25" s="1"/>
  <c r="C684" i="18"/>
  <c r="A684" i="18"/>
  <c r="L683" i="18"/>
  <c r="K249" i="25" s="1"/>
  <c r="J683" i="18"/>
  <c r="I249" i="25" s="1"/>
  <c r="I683" i="18"/>
  <c r="H249" i="25" s="1"/>
  <c r="G683" i="18"/>
  <c r="F249" i="25" s="1"/>
  <c r="E683" i="18"/>
  <c r="D249" i="25" s="1"/>
  <c r="C683" i="18"/>
  <c r="A683" i="18"/>
  <c r="L682" i="18"/>
  <c r="K248" i="25" s="1"/>
  <c r="J682" i="18"/>
  <c r="I248" i="25" s="1"/>
  <c r="I682" i="18"/>
  <c r="H248" i="25" s="1"/>
  <c r="G682" i="18"/>
  <c r="F248" i="25" s="1"/>
  <c r="E682" i="18"/>
  <c r="D248" i="25" s="1"/>
  <c r="C682" i="18"/>
  <c r="A682" i="18"/>
  <c r="L681" i="18"/>
  <c r="K247" i="25" s="1"/>
  <c r="J681" i="18"/>
  <c r="I247" i="25" s="1"/>
  <c r="I681" i="18"/>
  <c r="H247" i="25" s="1"/>
  <c r="G681" i="18"/>
  <c r="F247" i="25" s="1"/>
  <c r="E681" i="18"/>
  <c r="D247" i="25" s="1"/>
  <c r="C681" i="18"/>
  <c r="A681" i="18"/>
  <c r="L680" i="18"/>
  <c r="I680" i="18"/>
  <c r="H246" i="25" s="1"/>
  <c r="G680" i="18"/>
  <c r="F246" i="25" s="1"/>
  <c r="E680" i="18"/>
  <c r="D246" i="25" s="1"/>
  <c r="C680" i="18"/>
  <c r="A680" i="18"/>
  <c r="L679" i="18"/>
  <c r="K245" i="25" s="1"/>
  <c r="J679" i="18"/>
  <c r="I245" i="25" s="1"/>
  <c r="I679" i="18"/>
  <c r="H245" i="25" s="1"/>
  <c r="G679" i="18"/>
  <c r="F245" i="25" s="1"/>
  <c r="E679" i="18"/>
  <c r="D245" i="25" s="1"/>
  <c r="C679" i="18"/>
  <c r="A679" i="18"/>
  <c r="L678" i="18"/>
  <c r="K244" i="25" s="1"/>
  <c r="J678" i="18"/>
  <c r="I244" i="25" s="1"/>
  <c r="I678" i="18"/>
  <c r="H244" i="25" s="1"/>
  <c r="G678" i="18"/>
  <c r="F244" i="25" s="1"/>
  <c r="E678" i="18"/>
  <c r="D244" i="25" s="1"/>
  <c r="C678" i="18"/>
  <c r="A678" i="18"/>
  <c r="L675" i="18"/>
  <c r="J675" i="18"/>
  <c r="I361" i="25" s="1"/>
  <c r="I675" i="18"/>
  <c r="H361" i="25" s="1"/>
  <c r="G675" i="18"/>
  <c r="F361" i="25" s="1"/>
  <c r="L674" i="18"/>
  <c r="J674" i="18"/>
  <c r="I674" i="18"/>
  <c r="G674" i="18"/>
  <c r="L673" i="18"/>
  <c r="J673" i="18"/>
  <c r="I673" i="18"/>
  <c r="G673" i="18"/>
  <c r="E673" i="18"/>
  <c r="L672" i="18"/>
  <c r="J672" i="18"/>
  <c r="I672" i="18"/>
  <c r="G672" i="18"/>
  <c r="E672" i="18"/>
  <c r="L671" i="18"/>
  <c r="J671" i="18"/>
  <c r="I671" i="18"/>
  <c r="G671" i="18"/>
  <c r="E671" i="18"/>
  <c r="L670" i="18"/>
  <c r="J670" i="18"/>
  <c r="I670" i="18"/>
  <c r="G670" i="18"/>
  <c r="E670" i="18"/>
  <c r="C670" i="18"/>
  <c r="A670" i="18"/>
  <c r="L669" i="18"/>
  <c r="J669" i="18"/>
  <c r="I669" i="18"/>
  <c r="G669" i="18"/>
  <c r="E669" i="18"/>
  <c r="C669" i="18"/>
  <c r="A669" i="18"/>
  <c r="L668" i="18"/>
  <c r="J668" i="18"/>
  <c r="I668" i="18"/>
  <c r="G668" i="18"/>
  <c r="E668" i="18"/>
  <c r="C668" i="18"/>
  <c r="A668" i="18"/>
  <c r="L667" i="18"/>
  <c r="J667" i="18"/>
  <c r="I667" i="18"/>
  <c r="G667" i="18"/>
  <c r="E667" i="18"/>
  <c r="C667" i="18"/>
  <c r="A667" i="18"/>
  <c r="L666" i="18"/>
  <c r="J666" i="18"/>
  <c r="I666" i="18"/>
  <c r="G666" i="18"/>
  <c r="E666" i="18"/>
  <c r="C666" i="18"/>
  <c r="A666" i="18"/>
  <c r="L665" i="18"/>
  <c r="J665" i="18"/>
  <c r="I665" i="18"/>
  <c r="G665" i="18"/>
  <c r="E665" i="18"/>
  <c r="C665" i="18"/>
  <c r="A665" i="18"/>
  <c r="L664" i="18"/>
  <c r="J664" i="18"/>
  <c r="I664" i="18"/>
  <c r="G664" i="18"/>
  <c r="E664" i="18"/>
  <c r="C664" i="18"/>
  <c r="A664" i="18"/>
  <c r="L663" i="18"/>
  <c r="J663" i="18"/>
  <c r="I663" i="18"/>
  <c r="G663" i="18"/>
  <c r="E663" i="18"/>
  <c r="C663" i="18"/>
  <c r="A663" i="18"/>
  <c r="L660" i="18"/>
  <c r="J660" i="18"/>
  <c r="I660" i="18"/>
  <c r="H391" i="25" s="1"/>
  <c r="G660" i="18"/>
  <c r="F391" i="25" s="1"/>
  <c r="I659" i="18"/>
  <c r="H390" i="25" s="1"/>
  <c r="G659" i="18"/>
  <c r="F390" i="25" s="1"/>
  <c r="L658" i="18"/>
  <c r="K389" i="25" s="1"/>
  <c r="J658" i="18"/>
  <c r="I389" i="25" s="1"/>
  <c r="I658" i="18"/>
  <c r="H389" i="25" s="1"/>
  <c r="G658" i="18"/>
  <c r="F389" i="25" s="1"/>
  <c r="E658" i="18"/>
  <c r="D389" i="25" s="1"/>
  <c r="L657" i="18"/>
  <c r="K388" i="25" s="1"/>
  <c r="J657" i="18"/>
  <c r="I388" i="25" s="1"/>
  <c r="I657" i="18"/>
  <c r="H388" i="25" s="1"/>
  <c r="G657" i="18"/>
  <c r="F388" i="25" s="1"/>
  <c r="E657" i="18"/>
  <c r="D388" i="25" s="1"/>
  <c r="L656" i="18"/>
  <c r="K387" i="25" s="1"/>
  <c r="J656" i="18"/>
  <c r="I387" i="25" s="1"/>
  <c r="I656" i="18"/>
  <c r="H387" i="25" s="1"/>
  <c r="G656" i="18"/>
  <c r="F387" i="25" s="1"/>
  <c r="E656" i="18"/>
  <c r="D387" i="25" s="1"/>
  <c r="L655" i="18"/>
  <c r="K386" i="25" s="1"/>
  <c r="J655" i="18"/>
  <c r="I386" i="25" s="1"/>
  <c r="I655" i="18"/>
  <c r="H386" i="25" s="1"/>
  <c r="G655" i="18"/>
  <c r="F386" i="25" s="1"/>
  <c r="E655" i="18"/>
  <c r="D386" i="25" s="1"/>
  <c r="C655" i="18"/>
  <c r="A655" i="18"/>
  <c r="L654" i="18"/>
  <c r="K385" i="25" s="1"/>
  <c r="J654" i="18"/>
  <c r="I385" i="25" s="1"/>
  <c r="I654" i="18"/>
  <c r="H385" i="25" s="1"/>
  <c r="G654" i="18"/>
  <c r="F385" i="25" s="1"/>
  <c r="E654" i="18"/>
  <c r="D385" i="25" s="1"/>
  <c r="C654" i="18"/>
  <c r="A654" i="18"/>
  <c r="L653" i="18"/>
  <c r="K384" i="25" s="1"/>
  <c r="J653" i="18"/>
  <c r="I384" i="25" s="1"/>
  <c r="I653" i="18"/>
  <c r="H384" i="25" s="1"/>
  <c r="G653" i="18"/>
  <c r="F384" i="25" s="1"/>
  <c r="E653" i="18"/>
  <c r="D384" i="25" s="1"/>
  <c r="C653" i="18"/>
  <c r="A653" i="18"/>
  <c r="L652" i="18"/>
  <c r="K383" i="25" s="1"/>
  <c r="J652" i="18"/>
  <c r="I383" i="25" s="1"/>
  <c r="I652" i="18"/>
  <c r="H383" i="25" s="1"/>
  <c r="G652" i="18"/>
  <c r="F383" i="25" s="1"/>
  <c r="E652" i="18"/>
  <c r="D383" i="25" s="1"/>
  <c r="C652" i="18"/>
  <c r="A652" i="18"/>
  <c r="L651" i="18"/>
  <c r="K382" i="25" s="1"/>
  <c r="J651" i="18"/>
  <c r="I382" i="25" s="1"/>
  <c r="I651" i="18"/>
  <c r="H382" i="25" s="1"/>
  <c r="G651" i="18"/>
  <c r="F382" i="25" s="1"/>
  <c r="E651" i="18"/>
  <c r="D382" i="25" s="1"/>
  <c r="C651" i="18"/>
  <c r="A651" i="18"/>
  <c r="L650" i="18"/>
  <c r="K381" i="25" s="1"/>
  <c r="J650" i="18"/>
  <c r="I381" i="25" s="1"/>
  <c r="I650" i="18"/>
  <c r="H381" i="25" s="1"/>
  <c r="G650" i="18"/>
  <c r="F381" i="25" s="1"/>
  <c r="E650" i="18"/>
  <c r="D381" i="25" s="1"/>
  <c r="C650" i="18"/>
  <c r="A650" i="18"/>
  <c r="L649" i="18"/>
  <c r="K380" i="25" s="1"/>
  <c r="J649" i="18"/>
  <c r="I380" i="25" s="1"/>
  <c r="I649" i="18"/>
  <c r="H380" i="25" s="1"/>
  <c r="G649" i="18"/>
  <c r="F380" i="25" s="1"/>
  <c r="E649" i="18"/>
  <c r="D380" i="25" s="1"/>
  <c r="C649" i="18"/>
  <c r="A649" i="18"/>
  <c r="L648" i="18"/>
  <c r="K379" i="25" s="1"/>
  <c r="J648" i="18"/>
  <c r="I379" i="25" s="1"/>
  <c r="I648" i="18"/>
  <c r="H379" i="25" s="1"/>
  <c r="G648" i="18"/>
  <c r="F379" i="25" s="1"/>
  <c r="E648" i="18"/>
  <c r="D379" i="25" s="1"/>
  <c r="C648" i="18"/>
  <c r="A648" i="18"/>
  <c r="L644" i="18"/>
  <c r="J644" i="18"/>
  <c r="I644" i="18"/>
  <c r="G644" i="18"/>
  <c r="L643" i="18"/>
  <c r="J643" i="18"/>
  <c r="I643" i="18"/>
  <c r="G643" i="18"/>
  <c r="E643" i="18"/>
  <c r="L642" i="18"/>
  <c r="J642" i="18"/>
  <c r="I642" i="18"/>
  <c r="G642" i="18"/>
  <c r="E642" i="18"/>
  <c r="L641" i="18"/>
  <c r="J641" i="18"/>
  <c r="I641" i="18"/>
  <c r="G641" i="18"/>
  <c r="E641" i="18"/>
  <c r="L640" i="18"/>
  <c r="J640" i="18"/>
  <c r="I640" i="18"/>
  <c r="G640" i="18"/>
  <c r="E640" i="18"/>
  <c r="C640" i="18"/>
  <c r="A640" i="18"/>
  <c r="L639" i="18"/>
  <c r="J639" i="18"/>
  <c r="I639" i="18"/>
  <c r="G639" i="18"/>
  <c r="E639" i="18"/>
  <c r="C639" i="18"/>
  <c r="A639" i="18"/>
  <c r="L638" i="18"/>
  <c r="J638" i="18"/>
  <c r="I638" i="18"/>
  <c r="G638" i="18"/>
  <c r="E638" i="18"/>
  <c r="C638" i="18"/>
  <c r="A638" i="18"/>
  <c r="L637" i="18"/>
  <c r="J637" i="18"/>
  <c r="I637" i="18"/>
  <c r="G637" i="18"/>
  <c r="E637" i="18"/>
  <c r="C637" i="18"/>
  <c r="A637" i="18"/>
  <c r="L636" i="18"/>
  <c r="J636" i="18"/>
  <c r="I636" i="18"/>
  <c r="G636" i="18"/>
  <c r="E636" i="18"/>
  <c r="C636" i="18"/>
  <c r="A636" i="18"/>
  <c r="L635" i="18"/>
  <c r="J635" i="18"/>
  <c r="I635" i="18"/>
  <c r="G635" i="18"/>
  <c r="E635" i="18"/>
  <c r="C635" i="18"/>
  <c r="A635" i="18"/>
  <c r="L634" i="18"/>
  <c r="J634" i="18"/>
  <c r="I634" i="18"/>
  <c r="G634" i="18"/>
  <c r="E634" i="18"/>
  <c r="C634" i="18"/>
  <c r="A634" i="18"/>
  <c r="L633" i="18"/>
  <c r="J633" i="18"/>
  <c r="I633" i="18"/>
  <c r="G633" i="18"/>
  <c r="H633" i="18" s="1"/>
  <c r="E633" i="18"/>
  <c r="C633" i="18"/>
  <c r="A633" i="18"/>
  <c r="L630" i="18"/>
  <c r="K95" i="25" s="1"/>
  <c r="J630" i="18"/>
  <c r="I95" i="25" s="1"/>
  <c r="I630" i="18"/>
  <c r="H95" i="25" s="1"/>
  <c r="G630" i="18"/>
  <c r="F95" i="25" s="1"/>
  <c r="L629" i="18"/>
  <c r="K94" i="25" s="1"/>
  <c r="J629" i="18"/>
  <c r="I94" i="25" s="1"/>
  <c r="I629" i="18"/>
  <c r="H94" i="25" s="1"/>
  <c r="G629" i="18"/>
  <c r="F94" i="25" s="1"/>
  <c r="L628" i="18"/>
  <c r="K93" i="25" s="1"/>
  <c r="J628" i="18"/>
  <c r="I93" i="25" s="1"/>
  <c r="I628" i="18"/>
  <c r="H93" i="25" s="1"/>
  <c r="G628" i="18"/>
  <c r="F93" i="25" s="1"/>
  <c r="E628" i="18"/>
  <c r="D93" i="25" s="1"/>
  <c r="L627" i="18"/>
  <c r="K92" i="25" s="1"/>
  <c r="J627" i="18"/>
  <c r="I92" i="25" s="1"/>
  <c r="I627" i="18"/>
  <c r="H92" i="25" s="1"/>
  <c r="G627" i="18"/>
  <c r="F92" i="25" s="1"/>
  <c r="E627" i="18"/>
  <c r="D92" i="25" s="1"/>
  <c r="L626" i="18"/>
  <c r="K91" i="25" s="1"/>
  <c r="J626" i="18"/>
  <c r="I91" i="25" s="1"/>
  <c r="I626" i="18"/>
  <c r="H91" i="25" s="1"/>
  <c r="G626" i="18"/>
  <c r="F91" i="25" s="1"/>
  <c r="E626" i="18"/>
  <c r="D91" i="25" s="1"/>
  <c r="L625" i="18"/>
  <c r="K90" i="25" s="1"/>
  <c r="J625" i="18"/>
  <c r="I90" i="25" s="1"/>
  <c r="I625" i="18"/>
  <c r="H90" i="25" s="1"/>
  <c r="G625" i="18"/>
  <c r="F90" i="25" s="1"/>
  <c r="E625" i="18"/>
  <c r="D90" i="25" s="1"/>
  <c r="C625" i="18"/>
  <c r="A625" i="18"/>
  <c r="L624" i="18"/>
  <c r="K89" i="25" s="1"/>
  <c r="J624" i="18"/>
  <c r="I89" i="25" s="1"/>
  <c r="I624" i="18"/>
  <c r="H89" i="25" s="1"/>
  <c r="G624" i="18"/>
  <c r="F89" i="25" s="1"/>
  <c r="E624" i="18"/>
  <c r="D89" i="25" s="1"/>
  <c r="C624" i="18"/>
  <c r="A624" i="18"/>
  <c r="L623" i="18"/>
  <c r="K88" i="25" s="1"/>
  <c r="J623" i="18"/>
  <c r="I88" i="25" s="1"/>
  <c r="I623" i="18"/>
  <c r="H88" i="25" s="1"/>
  <c r="G623" i="18"/>
  <c r="F88" i="25" s="1"/>
  <c r="E623" i="18"/>
  <c r="D88" i="25" s="1"/>
  <c r="C623" i="18"/>
  <c r="A623" i="18"/>
  <c r="L622" i="18"/>
  <c r="K87" i="25" s="1"/>
  <c r="J622" i="18"/>
  <c r="I87" i="25" s="1"/>
  <c r="I622" i="18"/>
  <c r="H87" i="25" s="1"/>
  <c r="G622" i="18"/>
  <c r="F87" i="25" s="1"/>
  <c r="E622" i="18"/>
  <c r="D87" i="25" s="1"/>
  <c r="C622" i="18"/>
  <c r="A622" i="18"/>
  <c r="L621" i="18"/>
  <c r="K86" i="25" s="1"/>
  <c r="J621" i="18"/>
  <c r="I86" i="25" s="1"/>
  <c r="I621" i="18"/>
  <c r="H86" i="25" s="1"/>
  <c r="G621" i="18"/>
  <c r="F86" i="25" s="1"/>
  <c r="E621" i="18"/>
  <c r="D86" i="25" s="1"/>
  <c r="C621" i="18"/>
  <c r="A621" i="18"/>
  <c r="L620" i="18"/>
  <c r="K85" i="25" s="1"/>
  <c r="J620" i="18"/>
  <c r="I85" i="25" s="1"/>
  <c r="I620" i="18"/>
  <c r="H85" i="25" s="1"/>
  <c r="G620" i="18"/>
  <c r="F85" i="25" s="1"/>
  <c r="E620" i="18"/>
  <c r="D85" i="25" s="1"/>
  <c r="C620" i="18"/>
  <c r="A620" i="18"/>
  <c r="L619" i="18"/>
  <c r="K84" i="25" s="1"/>
  <c r="J619" i="18"/>
  <c r="I84" i="25" s="1"/>
  <c r="I619" i="18"/>
  <c r="H84" i="25" s="1"/>
  <c r="G619" i="18"/>
  <c r="F84" i="25" s="1"/>
  <c r="E619" i="18"/>
  <c r="D84" i="25" s="1"/>
  <c r="C619" i="18"/>
  <c r="A619" i="18"/>
  <c r="L618" i="18"/>
  <c r="K83" i="25" s="1"/>
  <c r="J618" i="18"/>
  <c r="I83" i="25" s="1"/>
  <c r="I618" i="18"/>
  <c r="H83" i="25" s="1"/>
  <c r="G618" i="18"/>
  <c r="F83" i="25" s="1"/>
  <c r="E618" i="18"/>
  <c r="D83" i="25" s="1"/>
  <c r="C618" i="18"/>
  <c r="A618" i="18"/>
  <c r="L614" i="18"/>
  <c r="J614" i="18"/>
  <c r="I614" i="18"/>
  <c r="G614" i="18"/>
  <c r="L613" i="18"/>
  <c r="J613" i="18"/>
  <c r="I613" i="18"/>
  <c r="G613" i="18"/>
  <c r="L611" i="18"/>
  <c r="J611" i="18"/>
  <c r="I611" i="18"/>
  <c r="G611" i="18"/>
  <c r="E611" i="18"/>
  <c r="L610" i="18"/>
  <c r="J610" i="18"/>
  <c r="I610" i="18"/>
  <c r="G610" i="18"/>
  <c r="E610" i="18"/>
  <c r="C610" i="18"/>
  <c r="A610" i="18"/>
  <c r="L609" i="18"/>
  <c r="J609" i="18"/>
  <c r="I609" i="18"/>
  <c r="G609" i="18"/>
  <c r="E609" i="18"/>
  <c r="C609" i="18"/>
  <c r="A609" i="18"/>
  <c r="L608" i="18"/>
  <c r="J608" i="18"/>
  <c r="I608" i="18"/>
  <c r="G608" i="18"/>
  <c r="E608" i="18"/>
  <c r="C608" i="18"/>
  <c r="A608" i="18"/>
  <c r="L607" i="18"/>
  <c r="J607" i="18"/>
  <c r="I607" i="18"/>
  <c r="G607" i="18"/>
  <c r="E607" i="18"/>
  <c r="C607" i="18"/>
  <c r="A607" i="18"/>
  <c r="L606" i="18"/>
  <c r="J606" i="18"/>
  <c r="I606" i="18"/>
  <c r="G606" i="18"/>
  <c r="E606" i="18"/>
  <c r="C606" i="18"/>
  <c r="A606" i="18"/>
  <c r="L605" i="18"/>
  <c r="J605" i="18"/>
  <c r="I605" i="18"/>
  <c r="G605" i="18"/>
  <c r="E605" i="18"/>
  <c r="C605" i="18"/>
  <c r="A605" i="18"/>
  <c r="L604" i="18"/>
  <c r="J604" i="18"/>
  <c r="I604" i="18"/>
  <c r="G604" i="18"/>
  <c r="E604" i="18"/>
  <c r="C604" i="18"/>
  <c r="A604" i="18"/>
  <c r="L603" i="18"/>
  <c r="J603" i="18"/>
  <c r="I603" i="18"/>
  <c r="G603" i="18"/>
  <c r="H603" i="18" s="1"/>
  <c r="E603" i="18"/>
  <c r="C603" i="18"/>
  <c r="A603" i="18"/>
  <c r="L599" i="18"/>
  <c r="J599" i="18"/>
  <c r="I599" i="18"/>
  <c r="G599" i="18"/>
  <c r="L598" i="18"/>
  <c r="J598" i="18"/>
  <c r="I598" i="18"/>
  <c r="G598" i="18"/>
  <c r="E598" i="18"/>
  <c r="L597" i="18"/>
  <c r="J597" i="18"/>
  <c r="I597" i="18"/>
  <c r="G597" i="18"/>
  <c r="E597" i="18"/>
  <c r="L596" i="18"/>
  <c r="J596" i="18"/>
  <c r="I596" i="18"/>
  <c r="G596" i="18"/>
  <c r="E596" i="18"/>
  <c r="L595" i="18"/>
  <c r="J595" i="18"/>
  <c r="I595" i="18"/>
  <c r="G595" i="18"/>
  <c r="E595" i="18"/>
  <c r="C595" i="18"/>
  <c r="A595" i="18"/>
  <c r="L594" i="18"/>
  <c r="J594" i="18"/>
  <c r="I594" i="18"/>
  <c r="G594" i="18"/>
  <c r="E594" i="18"/>
  <c r="C594" i="18"/>
  <c r="A594" i="18"/>
  <c r="L593" i="18"/>
  <c r="J593" i="18"/>
  <c r="I593" i="18"/>
  <c r="G593" i="18"/>
  <c r="E593" i="18"/>
  <c r="C593" i="18"/>
  <c r="A593" i="18"/>
  <c r="L592" i="18"/>
  <c r="J592" i="18"/>
  <c r="I592" i="18"/>
  <c r="G592" i="18"/>
  <c r="E592" i="18"/>
  <c r="C592" i="18"/>
  <c r="A592" i="18"/>
  <c r="L591" i="18"/>
  <c r="J591" i="18"/>
  <c r="I591" i="18"/>
  <c r="G591" i="18"/>
  <c r="E591" i="18"/>
  <c r="C591" i="18"/>
  <c r="A591" i="18"/>
  <c r="L590" i="18"/>
  <c r="J590" i="18"/>
  <c r="I590" i="18"/>
  <c r="G590" i="18"/>
  <c r="E590" i="18"/>
  <c r="C590" i="18"/>
  <c r="A590" i="18"/>
  <c r="L589" i="18"/>
  <c r="J589" i="18"/>
  <c r="I589" i="18"/>
  <c r="G589" i="18"/>
  <c r="E589" i="18"/>
  <c r="C589" i="18"/>
  <c r="A589" i="18"/>
  <c r="L588" i="18"/>
  <c r="J588" i="18"/>
  <c r="I588" i="18"/>
  <c r="G588" i="18"/>
  <c r="H588" i="18" s="1"/>
  <c r="E588" i="18"/>
  <c r="C588" i="18"/>
  <c r="A588" i="18"/>
  <c r="L585" i="18"/>
  <c r="K137" i="25" s="1"/>
  <c r="J585" i="18"/>
  <c r="I137" i="25" s="1"/>
  <c r="L584" i="18"/>
  <c r="K136" i="25" s="1"/>
  <c r="J584" i="18"/>
  <c r="I136" i="25" s="1"/>
  <c r="G584" i="18"/>
  <c r="F136" i="25" s="1"/>
  <c r="L583" i="18"/>
  <c r="K135" i="25" s="1"/>
  <c r="J583" i="18"/>
  <c r="I135" i="25" s="1"/>
  <c r="G583" i="18"/>
  <c r="F135" i="25" s="1"/>
  <c r="E583" i="18"/>
  <c r="D135" i="25" s="1"/>
  <c r="L582" i="18"/>
  <c r="K134" i="25" s="1"/>
  <c r="J582" i="18"/>
  <c r="I134" i="25" s="1"/>
  <c r="G582" i="18"/>
  <c r="F134" i="25" s="1"/>
  <c r="E582" i="18"/>
  <c r="D134" i="25" s="1"/>
  <c r="L581" i="18"/>
  <c r="K133" i="25" s="1"/>
  <c r="J581" i="18"/>
  <c r="I133" i="25" s="1"/>
  <c r="I581" i="18"/>
  <c r="H133" i="25" s="1"/>
  <c r="G581" i="18"/>
  <c r="F133" i="25" s="1"/>
  <c r="E581" i="18"/>
  <c r="D133" i="25" s="1"/>
  <c r="L580" i="18"/>
  <c r="K132" i="25" s="1"/>
  <c r="J580" i="18"/>
  <c r="I132" i="25" s="1"/>
  <c r="I580" i="18"/>
  <c r="H132" i="25" s="1"/>
  <c r="G580" i="18"/>
  <c r="F132" i="25" s="1"/>
  <c r="E580" i="18"/>
  <c r="D132" i="25" s="1"/>
  <c r="C580" i="18"/>
  <c r="A580" i="18"/>
  <c r="L579" i="18"/>
  <c r="K131" i="25" s="1"/>
  <c r="J579" i="18"/>
  <c r="I131" i="25" s="1"/>
  <c r="I579" i="18"/>
  <c r="H131" i="25" s="1"/>
  <c r="G579" i="18"/>
  <c r="F131" i="25" s="1"/>
  <c r="E579" i="18"/>
  <c r="D131" i="25" s="1"/>
  <c r="C579" i="18"/>
  <c r="A579" i="18"/>
  <c r="L578" i="18"/>
  <c r="K130" i="25" s="1"/>
  <c r="J578" i="18"/>
  <c r="I130" i="25" s="1"/>
  <c r="I578" i="18"/>
  <c r="H130" i="25" s="1"/>
  <c r="G578" i="18"/>
  <c r="F130" i="25" s="1"/>
  <c r="E578" i="18"/>
  <c r="D130" i="25" s="1"/>
  <c r="C578" i="18"/>
  <c r="A578" i="18"/>
  <c r="L577" i="18"/>
  <c r="K129" i="25" s="1"/>
  <c r="J577" i="18"/>
  <c r="I129" i="25" s="1"/>
  <c r="I577" i="18"/>
  <c r="H129" i="25" s="1"/>
  <c r="G577" i="18"/>
  <c r="F129" i="25" s="1"/>
  <c r="E577" i="18"/>
  <c r="D129" i="25" s="1"/>
  <c r="C577" i="18"/>
  <c r="A577" i="18"/>
  <c r="L576" i="18"/>
  <c r="K128" i="25" s="1"/>
  <c r="J576" i="18"/>
  <c r="I128" i="25" s="1"/>
  <c r="I576" i="18"/>
  <c r="H128" i="25" s="1"/>
  <c r="G576" i="18"/>
  <c r="F128" i="25" s="1"/>
  <c r="E576" i="18"/>
  <c r="D128" i="25" s="1"/>
  <c r="C576" i="18"/>
  <c r="A576" i="18"/>
  <c r="L575" i="18"/>
  <c r="K127" i="25" s="1"/>
  <c r="J575" i="18"/>
  <c r="I127" i="25" s="1"/>
  <c r="I575" i="18"/>
  <c r="H127" i="25" s="1"/>
  <c r="G575" i="18"/>
  <c r="F127" i="25" s="1"/>
  <c r="E575" i="18"/>
  <c r="D127" i="25" s="1"/>
  <c r="C575" i="18"/>
  <c r="A575" i="18"/>
  <c r="L574" i="18"/>
  <c r="K126" i="25" s="1"/>
  <c r="J574" i="18"/>
  <c r="I126" i="25" s="1"/>
  <c r="I574" i="18"/>
  <c r="H126" i="25" s="1"/>
  <c r="G574" i="18"/>
  <c r="F126" i="25" s="1"/>
  <c r="E574" i="18"/>
  <c r="D126" i="25" s="1"/>
  <c r="C574" i="18"/>
  <c r="A574" i="18"/>
  <c r="L573" i="18"/>
  <c r="K125" i="25" s="1"/>
  <c r="J573" i="18"/>
  <c r="I125" i="25" s="1"/>
  <c r="I573" i="18"/>
  <c r="G573" i="18"/>
  <c r="F125" i="25" s="1"/>
  <c r="E573" i="18"/>
  <c r="D125" i="25" s="1"/>
  <c r="C573" i="18"/>
  <c r="A573" i="18"/>
  <c r="L570" i="18"/>
  <c r="K436" i="25" s="1"/>
  <c r="J570" i="18"/>
  <c r="I436" i="25" s="1"/>
  <c r="I570" i="18"/>
  <c r="H436" i="25" s="1"/>
  <c r="G570" i="18"/>
  <c r="F436" i="25" s="1"/>
  <c r="L569" i="18"/>
  <c r="K435" i="25" s="1"/>
  <c r="J569" i="18"/>
  <c r="I435" i="25" s="1"/>
  <c r="I569" i="18"/>
  <c r="H435" i="25" s="1"/>
  <c r="G569" i="18"/>
  <c r="F435" i="25" s="1"/>
  <c r="L568" i="18"/>
  <c r="K434" i="25" s="1"/>
  <c r="J568" i="18"/>
  <c r="I434" i="25" s="1"/>
  <c r="I568" i="18"/>
  <c r="H434" i="25" s="1"/>
  <c r="G568" i="18"/>
  <c r="F434" i="25" s="1"/>
  <c r="E568" i="18"/>
  <c r="D434" i="25" s="1"/>
  <c r="L567" i="18"/>
  <c r="K433" i="25" s="1"/>
  <c r="J567" i="18"/>
  <c r="I433" i="25" s="1"/>
  <c r="I567" i="18"/>
  <c r="H433" i="25" s="1"/>
  <c r="G567" i="18"/>
  <c r="F433" i="25" s="1"/>
  <c r="E567" i="18"/>
  <c r="D433" i="25" s="1"/>
  <c r="L566" i="18"/>
  <c r="K432" i="25" s="1"/>
  <c r="J566" i="18"/>
  <c r="I432" i="25" s="1"/>
  <c r="I566" i="18"/>
  <c r="H432" i="25" s="1"/>
  <c r="G566" i="18"/>
  <c r="F432" i="25" s="1"/>
  <c r="E566" i="18"/>
  <c r="D432" i="25" s="1"/>
  <c r="L565" i="18"/>
  <c r="K431" i="25" s="1"/>
  <c r="J565" i="18"/>
  <c r="I431" i="25" s="1"/>
  <c r="I565" i="18"/>
  <c r="H431" i="25" s="1"/>
  <c r="G565" i="18"/>
  <c r="F431" i="25" s="1"/>
  <c r="E565" i="18"/>
  <c r="D431" i="25" s="1"/>
  <c r="C565" i="18"/>
  <c r="A565" i="18"/>
  <c r="L564" i="18"/>
  <c r="K430" i="25" s="1"/>
  <c r="J564" i="18"/>
  <c r="I430" i="25" s="1"/>
  <c r="I564" i="18"/>
  <c r="H430" i="25" s="1"/>
  <c r="G564" i="18"/>
  <c r="F430" i="25" s="1"/>
  <c r="E564" i="18"/>
  <c r="D430" i="25" s="1"/>
  <c r="C564" i="18"/>
  <c r="A564" i="18"/>
  <c r="L563" i="18"/>
  <c r="K429" i="25" s="1"/>
  <c r="J563" i="18"/>
  <c r="I429" i="25" s="1"/>
  <c r="I563" i="18"/>
  <c r="H429" i="25" s="1"/>
  <c r="G563" i="18"/>
  <c r="F429" i="25" s="1"/>
  <c r="E563" i="18"/>
  <c r="D429" i="25" s="1"/>
  <c r="C563" i="18"/>
  <c r="A563" i="18"/>
  <c r="L562" i="18"/>
  <c r="K428" i="25" s="1"/>
  <c r="J562" i="18"/>
  <c r="I428" i="25" s="1"/>
  <c r="I562" i="18"/>
  <c r="H428" i="25" s="1"/>
  <c r="G562" i="18"/>
  <c r="F428" i="25" s="1"/>
  <c r="E562" i="18"/>
  <c r="D428" i="25" s="1"/>
  <c r="C562" i="18"/>
  <c r="A562" i="18"/>
  <c r="L561" i="18"/>
  <c r="K427" i="25" s="1"/>
  <c r="J561" i="18"/>
  <c r="I427" i="25" s="1"/>
  <c r="I561" i="18"/>
  <c r="H427" i="25" s="1"/>
  <c r="G561" i="18"/>
  <c r="F427" i="25" s="1"/>
  <c r="E561" i="18"/>
  <c r="D427" i="25" s="1"/>
  <c r="C561" i="18"/>
  <c r="A561" i="18"/>
  <c r="L560" i="18"/>
  <c r="K426" i="25" s="1"/>
  <c r="J560" i="18"/>
  <c r="I426" i="25" s="1"/>
  <c r="I560" i="18"/>
  <c r="H426" i="25" s="1"/>
  <c r="G560" i="18"/>
  <c r="F426" i="25" s="1"/>
  <c r="E560" i="18"/>
  <c r="D426" i="25" s="1"/>
  <c r="C560" i="18"/>
  <c r="A560" i="18"/>
  <c r="L559" i="18"/>
  <c r="K425" i="25" s="1"/>
  <c r="J559" i="18"/>
  <c r="I425" i="25" s="1"/>
  <c r="I559" i="18"/>
  <c r="H425" i="25" s="1"/>
  <c r="G559" i="18"/>
  <c r="F425" i="25" s="1"/>
  <c r="E559" i="18"/>
  <c r="D425" i="25" s="1"/>
  <c r="C559" i="18"/>
  <c r="A559" i="18"/>
  <c r="L558" i="18"/>
  <c r="K424" i="25" s="1"/>
  <c r="J558" i="18"/>
  <c r="I424" i="25" s="1"/>
  <c r="I558" i="18"/>
  <c r="H424" i="25" s="1"/>
  <c r="G558" i="18"/>
  <c r="F424" i="25" s="1"/>
  <c r="E558" i="18"/>
  <c r="D424" i="25" s="1"/>
  <c r="C558" i="18"/>
  <c r="A558" i="18"/>
  <c r="L554" i="18"/>
  <c r="J554" i="18"/>
  <c r="I554" i="18"/>
  <c r="G554" i="18"/>
  <c r="L553" i="18"/>
  <c r="J553" i="18"/>
  <c r="I553" i="18"/>
  <c r="G553" i="18"/>
  <c r="E553" i="18"/>
  <c r="L552" i="18"/>
  <c r="J552" i="18"/>
  <c r="I552" i="18"/>
  <c r="G552" i="18"/>
  <c r="E552" i="18"/>
  <c r="L551" i="18"/>
  <c r="J551" i="18"/>
  <c r="I551" i="18"/>
  <c r="G551" i="18"/>
  <c r="E551" i="18"/>
  <c r="L550" i="18"/>
  <c r="J550" i="18"/>
  <c r="I550" i="18"/>
  <c r="G550" i="18"/>
  <c r="E550" i="18"/>
  <c r="C550" i="18"/>
  <c r="A550" i="18"/>
  <c r="L549" i="18"/>
  <c r="J549" i="18"/>
  <c r="I549" i="18"/>
  <c r="G549" i="18"/>
  <c r="E549" i="18"/>
  <c r="C549" i="18"/>
  <c r="A549" i="18"/>
  <c r="L548" i="18"/>
  <c r="J548" i="18"/>
  <c r="I548" i="18"/>
  <c r="G548" i="18"/>
  <c r="E548" i="18"/>
  <c r="C548" i="18"/>
  <c r="A548" i="18"/>
  <c r="L547" i="18"/>
  <c r="J547" i="18"/>
  <c r="I547" i="18"/>
  <c r="G547" i="18"/>
  <c r="E547" i="18"/>
  <c r="C547" i="18"/>
  <c r="A547" i="18"/>
  <c r="L546" i="18"/>
  <c r="J546" i="18"/>
  <c r="I546" i="18"/>
  <c r="G546" i="18"/>
  <c r="E546" i="18"/>
  <c r="C546" i="18"/>
  <c r="A546" i="18"/>
  <c r="L545" i="18"/>
  <c r="J545" i="18"/>
  <c r="I545" i="18"/>
  <c r="G545" i="18"/>
  <c r="E545" i="18"/>
  <c r="C545" i="18"/>
  <c r="A545" i="18"/>
  <c r="L544" i="18"/>
  <c r="J544" i="18"/>
  <c r="I544" i="18"/>
  <c r="G544" i="18"/>
  <c r="E544" i="18"/>
  <c r="C544" i="18"/>
  <c r="A544" i="18"/>
  <c r="L543" i="18"/>
  <c r="J543" i="18"/>
  <c r="I543" i="18"/>
  <c r="G543" i="18"/>
  <c r="H543" i="18" s="1"/>
  <c r="E543" i="18"/>
  <c r="C543" i="18"/>
  <c r="A543" i="18"/>
  <c r="L539" i="18"/>
  <c r="I539" i="18"/>
  <c r="I538" i="18"/>
  <c r="G538" i="18"/>
  <c r="E538" i="18"/>
  <c r="L537" i="18"/>
  <c r="J537" i="18"/>
  <c r="E537" i="18"/>
  <c r="L536" i="18"/>
  <c r="J536" i="18"/>
  <c r="I536" i="18"/>
  <c r="G536" i="18"/>
  <c r="E536" i="18"/>
  <c r="L535" i="18"/>
  <c r="J535" i="18"/>
  <c r="I535" i="18"/>
  <c r="G535" i="18"/>
  <c r="E535" i="18"/>
  <c r="A535" i="18"/>
  <c r="L534" i="18"/>
  <c r="J534" i="18"/>
  <c r="I534" i="18"/>
  <c r="G534" i="18"/>
  <c r="E534" i="18"/>
  <c r="A534" i="18"/>
  <c r="L533" i="18"/>
  <c r="J533" i="18"/>
  <c r="I533" i="18"/>
  <c r="G533" i="18"/>
  <c r="E533" i="18"/>
  <c r="A533" i="18"/>
  <c r="L532" i="18"/>
  <c r="J532" i="18"/>
  <c r="I532" i="18"/>
  <c r="G532" i="18"/>
  <c r="E532" i="18"/>
  <c r="A532" i="18"/>
  <c r="L531" i="18"/>
  <c r="J531" i="18"/>
  <c r="I531" i="18"/>
  <c r="G531" i="18"/>
  <c r="E531" i="18"/>
  <c r="A531" i="18"/>
  <c r="L530" i="18"/>
  <c r="J530" i="18"/>
  <c r="I530" i="18"/>
  <c r="G530" i="18"/>
  <c r="E530" i="18"/>
  <c r="A530" i="18"/>
  <c r="L529" i="18"/>
  <c r="J529" i="18"/>
  <c r="I529" i="18"/>
  <c r="G529" i="18"/>
  <c r="E529" i="18"/>
  <c r="A529" i="18"/>
  <c r="L528" i="18"/>
  <c r="J528" i="18"/>
  <c r="I528" i="18"/>
  <c r="G528" i="18"/>
  <c r="H528" i="18" s="1"/>
  <c r="E528" i="18"/>
  <c r="A528" i="18"/>
  <c r="L525" i="18"/>
  <c r="K56" i="25" s="1"/>
  <c r="J525" i="18"/>
  <c r="I56" i="25" s="1"/>
  <c r="I525" i="18"/>
  <c r="H56" i="25" s="1"/>
  <c r="G525" i="18"/>
  <c r="F56" i="25" s="1"/>
  <c r="L524" i="18"/>
  <c r="K55" i="25" s="1"/>
  <c r="J524" i="18"/>
  <c r="I55" i="25" s="1"/>
  <c r="I524" i="18"/>
  <c r="H55" i="25" s="1"/>
  <c r="G524" i="18"/>
  <c r="F55" i="25" s="1"/>
  <c r="L523" i="18"/>
  <c r="K54" i="25" s="1"/>
  <c r="J523" i="18"/>
  <c r="I54" i="25" s="1"/>
  <c r="I523" i="18"/>
  <c r="H54" i="25" s="1"/>
  <c r="G523" i="18"/>
  <c r="F54" i="25" s="1"/>
  <c r="E523" i="18"/>
  <c r="D54" i="25" s="1"/>
  <c r="L522" i="18"/>
  <c r="K53" i="25" s="1"/>
  <c r="J522" i="18"/>
  <c r="I53" i="25" s="1"/>
  <c r="I522" i="18"/>
  <c r="H53" i="25" s="1"/>
  <c r="G522" i="18"/>
  <c r="F53" i="25" s="1"/>
  <c r="E522" i="18"/>
  <c r="D53" i="25" s="1"/>
  <c r="L521" i="18"/>
  <c r="K52" i="25" s="1"/>
  <c r="J521" i="18"/>
  <c r="I52" i="25" s="1"/>
  <c r="I521" i="18"/>
  <c r="H52" i="25" s="1"/>
  <c r="G521" i="18"/>
  <c r="F52" i="25" s="1"/>
  <c r="E521" i="18"/>
  <c r="D52" i="25" s="1"/>
  <c r="L520" i="18"/>
  <c r="K51" i="25" s="1"/>
  <c r="J520" i="18"/>
  <c r="I51" i="25" s="1"/>
  <c r="I520" i="18"/>
  <c r="H51" i="25" s="1"/>
  <c r="G520" i="18"/>
  <c r="F51" i="25" s="1"/>
  <c r="E520" i="18"/>
  <c r="D51" i="25" s="1"/>
  <c r="C520" i="18"/>
  <c r="C535" i="18" s="1"/>
  <c r="A520" i="18"/>
  <c r="L519" i="18"/>
  <c r="K50" i="25" s="1"/>
  <c r="J519" i="18"/>
  <c r="I50" i="25" s="1"/>
  <c r="I519" i="18"/>
  <c r="H50" i="25" s="1"/>
  <c r="G519" i="18"/>
  <c r="F50" i="25" s="1"/>
  <c r="E519" i="18"/>
  <c r="D50" i="25" s="1"/>
  <c r="C519" i="18"/>
  <c r="C534" i="18" s="1"/>
  <c r="A519" i="18"/>
  <c r="L518" i="18"/>
  <c r="K49" i="25" s="1"/>
  <c r="J518" i="18"/>
  <c r="I49" i="25" s="1"/>
  <c r="I518" i="18"/>
  <c r="H49" i="25" s="1"/>
  <c r="G518" i="18"/>
  <c r="F49" i="25" s="1"/>
  <c r="E518" i="18"/>
  <c r="D49" i="25" s="1"/>
  <c r="C518" i="18"/>
  <c r="C533" i="18" s="1"/>
  <c r="A518" i="18"/>
  <c r="L517" i="18"/>
  <c r="K48" i="25" s="1"/>
  <c r="J517" i="18"/>
  <c r="I48" i="25" s="1"/>
  <c r="I517" i="18"/>
  <c r="H48" i="25" s="1"/>
  <c r="G517" i="18"/>
  <c r="F48" i="25" s="1"/>
  <c r="E517" i="18"/>
  <c r="D48" i="25" s="1"/>
  <c r="C517" i="18"/>
  <c r="C532" i="18" s="1"/>
  <c r="A517" i="18"/>
  <c r="L516" i="18"/>
  <c r="K47" i="25" s="1"/>
  <c r="J516" i="18"/>
  <c r="I47" i="25" s="1"/>
  <c r="I516" i="18"/>
  <c r="H47" i="25" s="1"/>
  <c r="G516" i="18"/>
  <c r="F47" i="25" s="1"/>
  <c r="E516" i="18"/>
  <c r="D47" i="25" s="1"/>
  <c r="C516" i="18"/>
  <c r="C531" i="18" s="1"/>
  <c r="A516" i="18"/>
  <c r="L515" i="18"/>
  <c r="K46" i="25" s="1"/>
  <c r="J515" i="18"/>
  <c r="I46" i="25" s="1"/>
  <c r="I515" i="18"/>
  <c r="H46" i="25" s="1"/>
  <c r="G515" i="18"/>
  <c r="F46" i="25" s="1"/>
  <c r="E515" i="18"/>
  <c r="D46" i="25" s="1"/>
  <c r="C515" i="18"/>
  <c r="C530" i="18" s="1"/>
  <c r="A515" i="18"/>
  <c r="L514" i="18"/>
  <c r="K45" i="25" s="1"/>
  <c r="J514" i="18"/>
  <c r="I45" i="25" s="1"/>
  <c r="I514" i="18"/>
  <c r="H45" i="25" s="1"/>
  <c r="G514" i="18"/>
  <c r="F45" i="25" s="1"/>
  <c r="E514" i="18"/>
  <c r="D45" i="25" s="1"/>
  <c r="C514" i="18"/>
  <c r="C529" i="18" s="1"/>
  <c r="A514" i="18"/>
  <c r="L513" i="18"/>
  <c r="K44" i="25" s="1"/>
  <c r="J513" i="18"/>
  <c r="I44" i="25" s="1"/>
  <c r="I513" i="18"/>
  <c r="H44" i="25" s="1"/>
  <c r="G513" i="18"/>
  <c r="F44" i="25" s="1"/>
  <c r="E513" i="18"/>
  <c r="D44" i="25" s="1"/>
  <c r="C513" i="18"/>
  <c r="C528" i="18" s="1"/>
  <c r="A513" i="18"/>
  <c r="L510" i="18"/>
  <c r="J510" i="18"/>
  <c r="I14" i="25" s="1"/>
  <c r="G510" i="18"/>
  <c r="F14" i="25" s="1"/>
  <c r="L509" i="18"/>
  <c r="J509" i="18"/>
  <c r="I13" i="25" s="1"/>
  <c r="G509" i="18"/>
  <c r="F13" i="25" s="1"/>
  <c r="J508" i="18"/>
  <c r="E508" i="18"/>
  <c r="E507" i="18"/>
  <c r="C505" i="18"/>
  <c r="A505" i="18"/>
  <c r="C504" i="18"/>
  <c r="A504" i="18"/>
  <c r="C503" i="18"/>
  <c r="A503" i="18"/>
  <c r="C502" i="18"/>
  <c r="A502" i="18"/>
  <c r="C501" i="18"/>
  <c r="A501" i="18"/>
  <c r="C500" i="18"/>
  <c r="A500" i="18"/>
  <c r="C499" i="18"/>
  <c r="A499" i="18"/>
  <c r="C498" i="18"/>
  <c r="A498" i="18"/>
  <c r="L494" i="18"/>
  <c r="K109" i="25" s="1"/>
  <c r="J494" i="18"/>
  <c r="I109" i="25" s="1"/>
  <c r="G494" i="18"/>
  <c r="F109" i="25" s="1"/>
  <c r="L493" i="18"/>
  <c r="K108" i="25" s="1"/>
  <c r="J493" i="18"/>
  <c r="G493" i="18"/>
  <c r="F108" i="25" s="1"/>
  <c r="E493" i="18"/>
  <c r="D108" i="25" s="1"/>
  <c r="L492" i="18"/>
  <c r="K107" i="25" s="1"/>
  <c r="J492" i="18"/>
  <c r="I492" i="18"/>
  <c r="H107" i="25" s="1"/>
  <c r="G492" i="18"/>
  <c r="F107" i="25" s="1"/>
  <c r="E492" i="18"/>
  <c r="D107" i="25" s="1"/>
  <c r="L491" i="18"/>
  <c r="K106" i="25" s="1"/>
  <c r="J491" i="18"/>
  <c r="I106" i="25" s="1"/>
  <c r="I491" i="18"/>
  <c r="H106" i="25" s="1"/>
  <c r="G491" i="18"/>
  <c r="F106" i="25" s="1"/>
  <c r="E491" i="18"/>
  <c r="D106" i="25" s="1"/>
  <c r="L490" i="18"/>
  <c r="K105" i="25" s="1"/>
  <c r="J490" i="18"/>
  <c r="I105" i="25" s="1"/>
  <c r="I490" i="18"/>
  <c r="H105" i="25" s="1"/>
  <c r="G490" i="18"/>
  <c r="F105" i="25" s="1"/>
  <c r="E490" i="18"/>
  <c r="D105" i="25" s="1"/>
  <c r="C490" i="18"/>
  <c r="A490" i="18"/>
  <c r="L489" i="18"/>
  <c r="K104" i="25" s="1"/>
  <c r="J489" i="18"/>
  <c r="I104" i="25" s="1"/>
  <c r="I489" i="18"/>
  <c r="H104" i="25" s="1"/>
  <c r="G489" i="18"/>
  <c r="F104" i="25" s="1"/>
  <c r="E489" i="18"/>
  <c r="D104" i="25" s="1"/>
  <c r="C489" i="18"/>
  <c r="A489" i="18"/>
  <c r="L488" i="18"/>
  <c r="K103" i="25" s="1"/>
  <c r="J488" i="18"/>
  <c r="I488" i="18"/>
  <c r="H103" i="25" s="1"/>
  <c r="G488" i="18"/>
  <c r="F103" i="25" s="1"/>
  <c r="E488" i="18"/>
  <c r="D103" i="25" s="1"/>
  <c r="C488" i="18"/>
  <c r="A488" i="18"/>
  <c r="L487" i="18"/>
  <c r="K102" i="25" s="1"/>
  <c r="J487" i="18"/>
  <c r="I102" i="25" s="1"/>
  <c r="I487" i="18"/>
  <c r="H102" i="25" s="1"/>
  <c r="G487" i="18"/>
  <c r="F102" i="25" s="1"/>
  <c r="E487" i="18"/>
  <c r="D102" i="25" s="1"/>
  <c r="C487" i="18"/>
  <c r="A487" i="18"/>
  <c r="L486" i="18"/>
  <c r="K101" i="25" s="1"/>
  <c r="J486" i="18"/>
  <c r="I101" i="25" s="1"/>
  <c r="I486" i="18"/>
  <c r="H101" i="25" s="1"/>
  <c r="G486" i="18"/>
  <c r="F101" i="25" s="1"/>
  <c r="E486" i="18"/>
  <c r="D101" i="25" s="1"/>
  <c r="C486" i="18"/>
  <c r="A486" i="18"/>
  <c r="L485" i="18"/>
  <c r="K100" i="25" s="1"/>
  <c r="J485" i="18"/>
  <c r="I100" i="25" s="1"/>
  <c r="I485" i="18"/>
  <c r="H100" i="25" s="1"/>
  <c r="G485" i="18"/>
  <c r="F100" i="25" s="1"/>
  <c r="E485" i="18"/>
  <c r="D100" i="25" s="1"/>
  <c r="C485" i="18"/>
  <c r="A485" i="18"/>
  <c r="L484" i="18"/>
  <c r="K99" i="25" s="1"/>
  <c r="J484" i="18"/>
  <c r="I484" i="18"/>
  <c r="H99" i="25" s="1"/>
  <c r="G484" i="18"/>
  <c r="F99" i="25" s="1"/>
  <c r="E484" i="18"/>
  <c r="D99" i="25" s="1"/>
  <c r="C484" i="18"/>
  <c r="A484" i="18"/>
  <c r="L483" i="18"/>
  <c r="K98" i="25" s="1"/>
  <c r="J483" i="18"/>
  <c r="I98" i="25" s="1"/>
  <c r="I483" i="18"/>
  <c r="H98" i="25" s="1"/>
  <c r="G483" i="18"/>
  <c r="E483" i="18"/>
  <c r="D98" i="25" s="1"/>
  <c r="C483" i="18"/>
  <c r="A483" i="18"/>
  <c r="L479" i="18"/>
  <c r="J479" i="18"/>
  <c r="I479" i="18"/>
  <c r="G479" i="18"/>
  <c r="L478" i="18"/>
  <c r="J478" i="18"/>
  <c r="I478" i="18"/>
  <c r="G478" i="18"/>
  <c r="E478" i="18"/>
  <c r="L477" i="18"/>
  <c r="J477" i="18"/>
  <c r="I477" i="18"/>
  <c r="G477" i="18"/>
  <c r="E477" i="18"/>
  <c r="L476" i="18"/>
  <c r="J476" i="18"/>
  <c r="I476" i="18"/>
  <c r="G476" i="18"/>
  <c r="E476" i="18"/>
  <c r="L475" i="18"/>
  <c r="J475" i="18"/>
  <c r="I475" i="18"/>
  <c r="G475" i="18"/>
  <c r="E475" i="18"/>
  <c r="C475" i="18"/>
  <c r="A475" i="18"/>
  <c r="L474" i="18"/>
  <c r="J474" i="18"/>
  <c r="I474" i="18"/>
  <c r="G474" i="18"/>
  <c r="E474" i="18"/>
  <c r="C474" i="18"/>
  <c r="A474" i="18"/>
  <c r="L473" i="18"/>
  <c r="J473" i="18"/>
  <c r="I473" i="18"/>
  <c r="G473" i="18"/>
  <c r="E473" i="18"/>
  <c r="C473" i="18"/>
  <c r="A473" i="18"/>
  <c r="L472" i="18"/>
  <c r="J472" i="18"/>
  <c r="I472" i="18"/>
  <c r="G472" i="18"/>
  <c r="E472" i="18"/>
  <c r="C472" i="18"/>
  <c r="A472" i="18"/>
  <c r="L471" i="18"/>
  <c r="J471" i="18"/>
  <c r="I471" i="18"/>
  <c r="G471" i="18"/>
  <c r="E471" i="18"/>
  <c r="C471" i="18"/>
  <c r="A471" i="18"/>
  <c r="L470" i="18"/>
  <c r="J470" i="18"/>
  <c r="I470" i="18"/>
  <c r="G470" i="18"/>
  <c r="E470" i="18"/>
  <c r="C470" i="18"/>
  <c r="A470" i="18"/>
  <c r="L469" i="18"/>
  <c r="J469" i="18"/>
  <c r="I469" i="18"/>
  <c r="G469" i="18"/>
  <c r="E469" i="18"/>
  <c r="C469" i="18"/>
  <c r="A469" i="18"/>
  <c r="L468" i="18"/>
  <c r="J468" i="18"/>
  <c r="I468" i="18"/>
  <c r="G468" i="18"/>
  <c r="H468" i="18" s="1"/>
  <c r="E468" i="18"/>
  <c r="C468" i="18"/>
  <c r="A468" i="18"/>
  <c r="L464" i="18"/>
  <c r="J464" i="18"/>
  <c r="I464" i="18"/>
  <c r="G464" i="18"/>
  <c r="L463" i="18"/>
  <c r="J463" i="18"/>
  <c r="I463" i="18"/>
  <c r="G463" i="18"/>
  <c r="E463" i="18"/>
  <c r="L462" i="18"/>
  <c r="J462" i="18"/>
  <c r="I462" i="18"/>
  <c r="G462" i="18"/>
  <c r="E462" i="18"/>
  <c r="L461" i="18"/>
  <c r="J461" i="18"/>
  <c r="I461" i="18"/>
  <c r="G461" i="18"/>
  <c r="E461" i="18"/>
  <c r="L460" i="18"/>
  <c r="J460" i="18"/>
  <c r="I460" i="18"/>
  <c r="G460" i="18"/>
  <c r="E460" i="18"/>
  <c r="C460" i="18"/>
  <c r="A460" i="18"/>
  <c r="L459" i="18"/>
  <c r="J459" i="18"/>
  <c r="I459" i="18"/>
  <c r="G459" i="18"/>
  <c r="E459" i="18"/>
  <c r="C459" i="18"/>
  <c r="A459" i="18"/>
  <c r="L458" i="18"/>
  <c r="J458" i="18"/>
  <c r="I458" i="18"/>
  <c r="G458" i="18"/>
  <c r="E458" i="18"/>
  <c r="C458" i="18"/>
  <c r="A458" i="18"/>
  <c r="L457" i="18"/>
  <c r="J457" i="18"/>
  <c r="I457" i="18"/>
  <c r="G457" i="18"/>
  <c r="E457" i="18"/>
  <c r="C457" i="18"/>
  <c r="A457" i="18"/>
  <c r="L456" i="18"/>
  <c r="J456" i="18"/>
  <c r="I456" i="18"/>
  <c r="G456" i="18"/>
  <c r="E456" i="18"/>
  <c r="C456" i="18"/>
  <c r="A456" i="18"/>
  <c r="L455" i="18"/>
  <c r="J455" i="18"/>
  <c r="I455" i="18"/>
  <c r="G455" i="18"/>
  <c r="E455" i="18"/>
  <c r="C455" i="18"/>
  <c r="A455" i="18"/>
  <c r="L454" i="18"/>
  <c r="J454" i="18"/>
  <c r="I454" i="18"/>
  <c r="G454" i="18"/>
  <c r="E454" i="18"/>
  <c r="C454" i="18"/>
  <c r="A454" i="18"/>
  <c r="L453" i="18"/>
  <c r="J453" i="18"/>
  <c r="I453" i="18"/>
  <c r="G453" i="18"/>
  <c r="H453" i="18" s="1"/>
  <c r="E453" i="18"/>
  <c r="C453" i="18"/>
  <c r="A453" i="18"/>
  <c r="L449" i="18"/>
  <c r="K70" i="25" s="1"/>
  <c r="J449" i="18"/>
  <c r="I449" i="18"/>
  <c r="H70" i="25" s="1"/>
  <c r="G449" i="18"/>
  <c r="F70" i="25" s="1"/>
  <c r="L448" i="18"/>
  <c r="K69" i="25" s="1"/>
  <c r="J448" i="18"/>
  <c r="I448" i="18"/>
  <c r="H69" i="25" s="1"/>
  <c r="G448" i="18"/>
  <c r="F69" i="25" s="1"/>
  <c r="E448" i="18"/>
  <c r="D69" i="25" s="1"/>
  <c r="L447" i="18"/>
  <c r="K68" i="25" s="1"/>
  <c r="J447" i="18"/>
  <c r="I68" i="25" s="1"/>
  <c r="I447" i="18"/>
  <c r="H68" i="25" s="1"/>
  <c r="G447" i="18"/>
  <c r="F68" i="25" s="1"/>
  <c r="E447" i="18"/>
  <c r="D68" i="25" s="1"/>
  <c r="L446" i="18"/>
  <c r="K67" i="25" s="1"/>
  <c r="J446" i="18"/>
  <c r="I67" i="25" s="1"/>
  <c r="I446" i="18"/>
  <c r="H67" i="25" s="1"/>
  <c r="G446" i="18"/>
  <c r="F67" i="25" s="1"/>
  <c r="E446" i="18"/>
  <c r="D67" i="25" s="1"/>
  <c r="L445" i="18"/>
  <c r="K66" i="25" s="1"/>
  <c r="J445" i="18"/>
  <c r="I66" i="25" s="1"/>
  <c r="I445" i="18"/>
  <c r="H66" i="25" s="1"/>
  <c r="G445" i="18"/>
  <c r="F66" i="25" s="1"/>
  <c r="E445" i="18"/>
  <c r="D66" i="25" s="1"/>
  <c r="C445" i="18"/>
  <c r="A445" i="18"/>
  <c r="L444" i="18"/>
  <c r="K65" i="25" s="1"/>
  <c r="J444" i="18"/>
  <c r="I65" i="25" s="1"/>
  <c r="I444" i="18"/>
  <c r="H65" i="25" s="1"/>
  <c r="G444" i="18"/>
  <c r="F65" i="25" s="1"/>
  <c r="E444" i="18"/>
  <c r="D65" i="25" s="1"/>
  <c r="C444" i="18"/>
  <c r="A444" i="18"/>
  <c r="L443" i="18"/>
  <c r="K64" i="25" s="1"/>
  <c r="J443" i="18"/>
  <c r="I64" i="25" s="1"/>
  <c r="I443" i="18"/>
  <c r="H64" i="25" s="1"/>
  <c r="G443" i="18"/>
  <c r="F64" i="25" s="1"/>
  <c r="E443" i="18"/>
  <c r="D64" i="25" s="1"/>
  <c r="C443" i="18"/>
  <c r="A443" i="18"/>
  <c r="L442" i="18"/>
  <c r="K63" i="25" s="1"/>
  <c r="J442" i="18"/>
  <c r="I442" i="18"/>
  <c r="H63" i="25" s="1"/>
  <c r="G442" i="18"/>
  <c r="F63" i="25" s="1"/>
  <c r="E442" i="18"/>
  <c r="D63" i="25" s="1"/>
  <c r="C442" i="18"/>
  <c r="A442" i="18"/>
  <c r="L441" i="18"/>
  <c r="K62" i="25" s="1"/>
  <c r="J441" i="18"/>
  <c r="I62" i="25" s="1"/>
  <c r="I441" i="18"/>
  <c r="H62" i="25" s="1"/>
  <c r="G441" i="18"/>
  <c r="F62" i="25" s="1"/>
  <c r="E441" i="18"/>
  <c r="D62" i="25" s="1"/>
  <c r="C441" i="18"/>
  <c r="A441" i="18"/>
  <c r="L440" i="18"/>
  <c r="K61" i="25" s="1"/>
  <c r="J440" i="18"/>
  <c r="I61" i="25" s="1"/>
  <c r="I440" i="18"/>
  <c r="H61" i="25" s="1"/>
  <c r="G440" i="18"/>
  <c r="F61" i="25" s="1"/>
  <c r="E440" i="18"/>
  <c r="D61" i="25" s="1"/>
  <c r="C440" i="18"/>
  <c r="A440" i="18"/>
  <c r="L439" i="18"/>
  <c r="K60" i="25" s="1"/>
  <c r="J439" i="18"/>
  <c r="I60" i="25" s="1"/>
  <c r="I439" i="18"/>
  <c r="H60" i="25" s="1"/>
  <c r="G439" i="18"/>
  <c r="F60" i="25" s="1"/>
  <c r="E439" i="18"/>
  <c r="D60" i="25" s="1"/>
  <c r="C439" i="18"/>
  <c r="A439" i="18"/>
  <c r="L438" i="18"/>
  <c r="K59" i="25" s="1"/>
  <c r="J438" i="18"/>
  <c r="I438" i="18"/>
  <c r="H59" i="25" s="1"/>
  <c r="G438" i="18"/>
  <c r="E438" i="18"/>
  <c r="D59" i="25" s="1"/>
  <c r="C438" i="18"/>
  <c r="A438" i="18"/>
  <c r="L434" i="18"/>
  <c r="J434" i="18"/>
  <c r="I434" i="18"/>
  <c r="G434" i="18"/>
  <c r="L433" i="18"/>
  <c r="J433" i="18"/>
  <c r="I433" i="18"/>
  <c r="G433" i="18"/>
  <c r="E433" i="18"/>
  <c r="L432" i="18"/>
  <c r="J432" i="18"/>
  <c r="I432" i="18"/>
  <c r="G432" i="18"/>
  <c r="E432" i="18"/>
  <c r="L431" i="18"/>
  <c r="J431" i="18"/>
  <c r="I431" i="18"/>
  <c r="G431" i="18"/>
  <c r="E431" i="18"/>
  <c r="L430" i="18"/>
  <c r="J430" i="18"/>
  <c r="I430" i="18"/>
  <c r="G430" i="18"/>
  <c r="E430" i="18"/>
  <c r="C430" i="18"/>
  <c r="A430" i="18"/>
  <c r="L429" i="18"/>
  <c r="J429" i="18"/>
  <c r="I429" i="18"/>
  <c r="G429" i="18"/>
  <c r="E429" i="18"/>
  <c r="C429" i="18"/>
  <c r="A429" i="18"/>
  <c r="L428" i="18"/>
  <c r="J428" i="18"/>
  <c r="I428" i="18"/>
  <c r="G428" i="18"/>
  <c r="E428" i="18"/>
  <c r="C428" i="18"/>
  <c r="A428" i="18"/>
  <c r="L427" i="18"/>
  <c r="J427" i="18"/>
  <c r="I427" i="18"/>
  <c r="G427" i="18"/>
  <c r="E427" i="18"/>
  <c r="C427" i="18"/>
  <c r="A427" i="18"/>
  <c r="L426" i="18"/>
  <c r="J426" i="18"/>
  <c r="I426" i="18"/>
  <c r="G426" i="18"/>
  <c r="E426" i="18"/>
  <c r="C426" i="18"/>
  <c r="A426" i="18"/>
  <c r="L425" i="18"/>
  <c r="J425" i="18"/>
  <c r="I425" i="18"/>
  <c r="G425" i="18"/>
  <c r="E425" i="18"/>
  <c r="C425" i="18"/>
  <c r="A425" i="18"/>
  <c r="L424" i="18"/>
  <c r="J424" i="18"/>
  <c r="I424" i="18"/>
  <c r="G424" i="18"/>
  <c r="E424" i="18"/>
  <c r="C424" i="18"/>
  <c r="A424" i="18"/>
  <c r="L423" i="18"/>
  <c r="J423" i="18"/>
  <c r="I423" i="18"/>
  <c r="G423" i="18"/>
  <c r="H423" i="18" s="1"/>
  <c r="E423" i="18"/>
  <c r="C423" i="18"/>
  <c r="A423" i="18"/>
  <c r="L420" i="18"/>
  <c r="K496" i="25" s="1"/>
  <c r="J420" i="18"/>
  <c r="I496" i="25" s="1"/>
  <c r="I420" i="18"/>
  <c r="H496" i="25" s="1"/>
  <c r="G420" i="18"/>
  <c r="F496" i="25" s="1"/>
  <c r="L419" i="18"/>
  <c r="K495" i="25" s="1"/>
  <c r="J419" i="18"/>
  <c r="I495" i="25" s="1"/>
  <c r="I419" i="18"/>
  <c r="H495" i="25" s="1"/>
  <c r="G419" i="18"/>
  <c r="F495" i="25" s="1"/>
  <c r="L418" i="18"/>
  <c r="K494" i="25" s="1"/>
  <c r="J418" i="18"/>
  <c r="I494" i="25" s="1"/>
  <c r="I418" i="18"/>
  <c r="H494" i="25" s="1"/>
  <c r="G418" i="18"/>
  <c r="F494" i="25" s="1"/>
  <c r="E418" i="18"/>
  <c r="D494" i="25" s="1"/>
  <c r="L417" i="18"/>
  <c r="K493" i="25" s="1"/>
  <c r="J417" i="18"/>
  <c r="I493" i="25" s="1"/>
  <c r="I417" i="18"/>
  <c r="H493" i="25" s="1"/>
  <c r="G417" i="18"/>
  <c r="F493" i="25" s="1"/>
  <c r="E417" i="18"/>
  <c r="D493" i="25" s="1"/>
  <c r="L416" i="18"/>
  <c r="K492" i="25" s="1"/>
  <c r="J416" i="18"/>
  <c r="I492" i="25" s="1"/>
  <c r="I416" i="18"/>
  <c r="H492" i="25" s="1"/>
  <c r="G416" i="18"/>
  <c r="F492" i="25" s="1"/>
  <c r="E416" i="18"/>
  <c r="D492" i="25" s="1"/>
  <c r="L415" i="18"/>
  <c r="K491" i="25" s="1"/>
  <c r="J415" i="18"/>
  <c r="I491" i="25" s="1"/>
  <c r="I415" i="18"/>
  <c r="H491" i="25" s="1"/>
  <c r="F491" i="25"/>
  <c r="E415" i="18"/>
  <c r="D491" i="25" s="1"/>
  <c r="C415" i="18"/>
  <c r="A415" i="18"/>
  <c r="L414" i="18"/>
  <c r="K490" i="25" s="1"/>
  <c r="J414" i="18"/>
  <c r="I490" i="25" s="1"/>
  <c r="I414" i="18"/>
  <c r="H490" i="25" s="1"/>
  <c r="G414" i="18"/>
  <c r="F490" i="25" s="1"/>
  <c r="E414" i="18"/>
  <c r="D490" i="25" s="1"/>
  <c r="C414" i="18"/>
  <c r="A414" i="18"/>
  <c r="L413" i="18"/>
  <c r="K489" i="25" s="1"/>
  <c r="J413" i="18"/>
  <c r="I489" i="25" s="1"/>
  <c r="I413" i="18"/>
  <c r="H489" i="25" s="1"/>
  <c r="G413" i="18"/>
  <c r="F489" i="25" s="1"/>
  <c r="E413" i="18"/>
  <c r="D489" i="25" s="1"/>
  <c r="C413" i="18"/>
  <c r="A413" i="18"/>
  <c r="L412" i="18"/>
  <c r="K488" i="25" s="1"/>
  <c r="J412" i="18"/>
  <c r="I488" i="25" s="1"/>
  <c r="I412" i="18"/>
  <c r="H488" i="25" s="1"/>
  <c r="G412" i="18"/>
  <c r="F488" i="25" s="1"/>
  <c r="E412" i="18"/>
  <c r="D488" i="25" s="1"/>
  <c r="C412" i="18"/>
  <c r="A412" i="18"/>
  <c r="L411" i="18"/>
  <c r="K487" i="25" s="1"/>
  <c r="J411" i="18"/>
  <c r="I487" i="25" s="1"/>
  <c r="I411" i="18"/>
  <c r="H487" i="25" s="1"/>
  <c r="G411" i="18"/>
  <c r="F487" i="25" s="1"/>
  <c r="E411" i="18"/>
  <c r="D487" i="25" s="1"/>
  <c r="C411" i="18"/>
  <c r="A411" i="18"/>
  <c r="L410" i="18"/>
  <c r="K486" i="25" s="1"/>
  <c r="J410" i="18"/>
  <c r="I486" i="25" s="1"/>
  <c r="I410" i="18"/>
  <c r="H486" i="25" s="1"/>
  <c r="G410" i="18"/>
  <c r="F486" i="25" s="1"/>
  <c r="E410" i="18"/>
  <c r="D486" i="25" s="1"/>
  <c r="C410" i="18"/>
  <c r="A410" i="18"/>
  <c r="L409" i="18"/>
  <c r="K485" i="25" s="1"/>
  <c r="J409" i="18"/>
  <c r="I485" i="25" s="1"/>
  <c r="I409" i="18"/>
  <c r="H485" i="25" s="1"/>
  <c r="G409" i="18"/>
  <c r="F485" i="25" s="1"/>
  <c r="E409" i="18"/>
  <c r="D485" i="25" s="1"/>
  <c r="C409" i="18"/>
  <c r="A409" i="18"/>
  <c r="L408" i="18"/>
  <c r="K484" i="25" s="1"/>
  <c r="J408" i="18"/>
  <c r="I484" i="25" s="1"/>
  <c r="I408" i="18"/>
  <c r="H484" i="25" s="1"/>
  <c r="G408" i="18"/>
  <c r="F484" i="25" s="1"/>
  <c r="E408" i="18"/>
  <c r="D484" i="25" s="1"/>
  <c r="C408" i="18"/>
  <c r="A408" i="18"/>
  <c r="L403" i="18"/>
  <c r="J403" i="18"/>
  <c r="G403" i="18"/>
  <c r="F12" i="25" s="1"/>
  <c r="E403" i="18"/>
  <c r="L402" i="18"/>
  <c r="J402" i="18"/>
  <c r="I11" i="25" s="1"/>
  <c r="G402" i="18"/>
  <c r="E402" i="18"/>
  <c r="L401" i="18"/>
  <c r="J401" i="18"/>
  <c r="I10" i="25" s="1"/>
  <c r="I401" i="18"/>
  <c r="G401" i="18"/>
  <c r="E401" i="18"/>
  <c r="L400" i="18"/>
  <c r="J400" i="18"/>
  <c r="I400" i="18"/>
  <c r="G400" i="18"/>
  <c r="E400" i="18"/>
  <c r="D9" i="25" s="1"/>
  <c r="C400" i="18"/>
  <c r="A400" i="18"/>
  <c r="L399" i="18"/>
  <c r="J399" i="18"/>
  <c r="I8" i="25" s="1"/>
  <c r="I399" i="18"/>
  <c r="G399" i="18"/>
  <c r="E399" i="18"/>
  <c r="D8" i="25" s="1"/>
  <c r="C399" i="18"/>
  <c r="A399" i="18"/>
  <c r="L398" i="18"/>
  <c r="J398" i="18"/>
  <c r="I7" i="25" s="1"/>
  <c r="I398" i="18"/>
  <c r="G398" i="18"/>
  <c r="E398" i="18"/>
  <c r="C398" i="18"/>
  <c r="A398" i="18"/>
  <c r="L397" i="18"/>
  <c r="J397" i="18"/>
  <c r="I397" i="18"/>
  <c r="G397" i="18"/>
  <c r="E397" i="18"/>
  <c r="C397" i="18"/>
  <c r="A397" i="18"/>
  <c r="L396" i="18"/>
  <c r="J396" i="18"/>
  <c r="I396" i="18"/>
  <c r="G396" i="18"/>
  <c r="E396" i="18"/>
  <c r="D5" i="25" s="1"/>
  <c r="C396" i="18"/>
  <c r="A396" i="18"/>
  <c r="L395" i="18"/>
  <c r="J395" i="18"/>
  <c r="I4" i="25" s="1"/>
  <c r="I395" i="18"/>
  <c r="G395" i="18"/>
  <c r="E395" i="18"/>
  <c r="D4" i="25" s="1"/>
  <c r="C395" i="18"/>
  <c r="A395" i="18"/>
  <c r="L394" i="18"/>
  <c r="J394" i="18"/>
  <c r="I3" i="25" s="1"/>
  <c r="I394" i="18"/>
  <c r="G394" i="18"/>
  <c r="E394" i="18"/>
  <c r="C394" i="18"/>
  <c r="A394" i="18"/>
  <c r="L393" i="18"/>
  <c r="J393" i="18"/>
  <c r="I393" i="18"/>
  <c r="G393" i="18"/>
  <c r="E393" i="18"/>
  <c r="C393" i="18"/>
  <c r="A393" i="18"/>
  <c r="L390" i="18"/>
  <c r="K242" i="25" s="1"/>
  <c r="J390" i="18"/>
  <c r="I242" i="25" s="1"/>
  <c r="I390" i="18"/>
  <c r="H242" i="25" s="1"/>
  <c r="G390" i="18"/>
  <c r="F242" i="25" s="1"/>
  <c r="L389" i="18"/>
  <c r="K241" i="25" s="1"/>
  <c r="J389" i="18"/>
  <c r="I241" i="25" s="1"/>
  <c r="I389" i="18"/>
  <c r="H241" i="25" s="1"/>
  <c r="G389" i="18"/>
  <c r="F241" i="25" s="1"/>
  <c r="L388" i="18"/>
  <c r="K240" i="25" s="1"/>
  <c r="J388" i="18"/>
  <c r="I240" i="25" s="1"/>
  <c r="I388" i="18"/>
  <c r="H240" i="25" s="1"/>
  <c r="G388" i="18"/>
  <c r="F240" i="25" s="1"/>
  <c r="E388" i="18"/>
  <c r="D240" i="25" s="1"/>
  <c r="L387" i="18"/>
  <c r="K239" i="25" s="1"/>
  <c r="J387" i="18"/>
  <c r="I239" i="25" s="1"/>
  <c r="I387" i="18"/>
  <c r="H239" i="25" s="1"/>
  <c r="G387" i="18"/>
  <c r="F239" i="25" s="1"/>
  <c r="E387" i="18"/>
  <c r="D239" i="25" s="1"/>
  <c r="L386" i="18"/>
  <c r="K238" i="25" s="1"/>
  <c r="J386" i="18"/>
  <c r="I238" i="25" s="1"/>
  <c r="I386" i="18"/>
  <c r="H238" i="25" s="1"/>
  <c r="G386" i="18"/>
  <c r="F238" i="25" s="1"/>
  <c r="E386" i="18"/>
  <c r="D238" i="25" s="1"/>
  <c r="L385" i="18"/>
  <c r="K237" i="25" s="1"/>
  <c r="J385" i="18"/>
  <c r="I237" i="25" s="1"/>
  <c r="I385" i="18"/>
  <c r="H237" i="25" s="1"/>
  <c r="G385" i="18"/>
  <c r="F237" i="25" s="1"/>
  <c r="E385" i="18"/>
  <c r="D237" i="25" s="1"/>
  <c r="C385" i="18"/>
  <c r="A385" i="18"/>
  <c r="L384" i="18"/>
  <c r="K236" i="25" s="1"/>
  <c r="J384" i="18"/>
  <c r="I236" i="25" s="1"/>
  <c r="I384" i="18"/>
  <c r="H236" i="25" s="1"/>
  <c r="G384" i="18"/>
  <c r="F236" i="25" s="1"/>
  <c r="E384" i="18"/>
  <c r="D236" i="25" s="1"/>
  <c r="C384" i="18"/>
  <c r="A384" i="18"/>
  <c r="L383" i="18"/>
  <c r="K235" i="25" s="1"/>
  <c r="J383" i="18"/>
  <c r="I235" i="25" s="1"/>
  <c r="I383" i="18"/>
  <c r="H235" i="25" s="1"/>
  <c r="G383" i="18"/>
  <c r="F235" i="25" s="1"/>
  <c r="E383" i="18"/>
  <c r="D235" i="25" s="1"/>
  <c r="C383" i="18"/>
  <c r="A383" i="18"/>
  <c r="L382" i="18"/>
  <c r="K234" i="25" s="1"/>
  <c r="J382" i="18"/>
  <c r="I234" i="25" s="1"/>
  <c r="I382" i="18"/>
  <c r="H234" i="25" s="1"/>
  <c r="G382" i="18"/>
  <c r="F234" i="25" s="1"/>
  <c r="E382" i="18"/>
  <c r="D234" i="25" s="1"/>
  <c r="C382" i="18"/>
  <c r="A382" i="18"/>
  <c r="L381" i="18"/>
  <c r="K233" i="25" s="1"/>
  <c r="J381" i="18"/>
  <c r="I233" i="25" s="1"/>
  <c r="I381" i="18"/>
  <c r="H233" i="25" s="1"/>
  <c r="G381" i="18"/>
  <c r="F233" i="25" s="1"/>
  <c r="E381" i="18"/>
  <c r="D233" i="25" s="1"/>
  <c r="C381" i="18"/>
  <c r="A381" i="18"/>
  <c r="L380" i="18"/>
  <c r="K232" i="25" s="1"/>
  <c r="J380" i="18"/>
  <c r="I232" i="25" s="1"/>
  <c r="I380" i="18"/>
  <c r="H232" i="25" s="1"/>
  <c r="G380" i="18"/>
  <c r="F232" i="25" s="1"/>
  <c r="E380" i="18"/>
  <c r="D232" i="25" s="1"/>
  <c r="C380" i="18"/>
  <c r="A380" i="18"/>
  <c r="L379" i="18"/>
  <c r="K231" i="25" s="1"/>
  <c r="J379" i="18"/>
  <c r="I231" i="25" s="1"/>
  <c r="I379" i="18"/>
  <c r="H231" i="25" s="1"/>
  <c r="G379" i="18"/>
  <c r="F231" i="25" s="1"/>
  <c r="E379" i="18"/>
  <c r="D231" i="25" s="1"/>
  <c r="C379" i="18"/>
  <c r="A379" i="18"/>
  <c r="L378" i="18"/>
  <c r="K230" i="25" s="1"/>
  <c r="J378" i="18"/>
  <c r="I230" i="25" s="1"/>
  <c r="I378" i="18"/>
  <c r="H230" i="25" s="1"/>
  <c r="G378" i="18"/>
  <c r="F230" i="25" s="1"/>
  <c r="E378" i="18"/>
  <c r="D230" i="25" s="1"/>
  <c r="C378" i="18"/>
  <c r="A378" i="18"/>
  <c r="L374" i="18"/>
  <c r="J374" i="18"/>
  <c r="I374" i="18"/>
  <c r="G374" i="18"/>
  <c r="L373" i="18"/>
  <c r="J373" i="18"/>
  <c r="I373" i="18"/>
  <c r="G373" i="18"/>
  <c r="E373" i="18"/>
  <c r="L372" i="18"/>
  <c r="J372" i="18"/>
  <c r="I372" i="18"/>
  <c r="G372" i="18"/>
  <c r="E372" i="18"/>
  <c r="L371" i="18"/>
  <c r="J371" i="18"/>
  <c r="I371" i="18"/>
  <c r="G371" i="18"/>
  <c r="E371" i="18"/>
  <c r="L370" i="18"/>
  <c r="J370" i="18"/>
  <c r="I370" i="18"/>
  <c r="G370" i="18"/>
  <c r="E370" i="18"/>
  <c r="C370" i="18"/>
  <c r="A370" i="18"/>
  <c r="L369" i="18"/>
  <c r="J369" i="18"/>
  <c r="I369" i="18"/>
  <c r="G369" i="18"/>
  <c r="E369" i="18"/>
  <c r="C369" i="18"/>
  <c r="A369" i="18"/>
  <c r="L368" i="18"/>
  <c r="J368" i="18"/>
  <c r="I368" i="18"/>
  <c r="G368" i="18"/>
  <c r="E368" i="18"/>
  <c r="C368" i="18"/>
  <c r="A368" i="18"/>
  <c r="L367" i="18"/>
  <c r="J367" i="18"/>
  <c r="I367" i="18"/>
  <c r="G367" i="18"/>
  <c r="E367" i="18"/>
  <c r="C367" i="18"/>
  <c r="A367" i="18"/>
  <c r="L366" i="18"/>
  <c r="J366" i="18"/>
  <c r="I366" i="18"/>
  <c r="G366" i="18"/>
  <c r="E366" i="18"/>
  <c r="C366" i="18"/>
  <c r="A366" i="18"/>
  <c r="L365" i="18"/>
  <c r="J365" i="18"/>
  <c r="I365" i="18"/>
  <c r="G365" i="18"/>
  <c r="E365" i="18"/>
  <c r="C365" i="18"/>
  <c r="A365" i="18"/>
  <c r="L364" i="18"/>
  <c r="J364" i="18"/>
  <c r="I364" i="18"/>
  <c r="G364" i="18"/>
  <c r="E364" i="18"/>
  <c r="C364" i="18"/>
  <c r="A364" i="18"/>
  <c r="L363" i="18"/>
  <c r="J363" i="18"/>
  <c r="I363" i="18"/>
  <c r="G363" i="18"/>
  <c r="H363" i="18" s="1"/>
  <c r="E363" i="18"/>
  <c r="C363" i="18"/>
  <c r="A363" i="18"/>
  <c r="L360" i="18"/>
  <c r="K286" i="25" s="1"/>
  <c r="J360" i="18"/>
  <c r="I286" i="25" s="1"/>
  <c r="I360" i="18"/>
  <c r="H286" i="25" s="1"/>
  <c r="G360" i="18"/>
  <c r="F286" i="25" s="1"/>
  <c r="L359" i="18"/>
  <c r="K285" i="25" s="1"/>
  <c r="J359" i="18"/>
  <c r="I285" i="25" s="1"/>
  <c r="I359" i="18"/>
  <c r="H285" i="25" s="1"/>
  <c r="G359" i="18"/>
  <c r="F285" i="25" s="1"/>
  <c r="L358" i="18"/>
  <c r="K284" i="25" s="1"/>
  <c r="J358" i="18"/>
  <c r="I284" i="25" s="1"/>
  <c r="I358" i="18"/>
  <c r="H284" i="25" s="1"/>
  <c r="G358" i="18"/>
  <c r="F284" i="25" s="1"/>
  <c r="E358" i="18"/>
  <c r="D284" i="25" s="1"/>
  <c r="L357" i="18"/>
  <c r="K283" i="25" s="1"/>
  <c r="J357" i="18"/>
  <c r="I283" i="25" s="1"/>
  <c r="I357" i="18"/>
  <c r="H283" i="25" s="1"/>
  <c r="G357" i="18"/>
  <c r="F283" i="25" s="1"/>
  <c r="E357" i="18"/>
  <c r="D283" i="25" s="1"/>
  <c r="L356" i="18"/>
  <c r="K282" i="25" s="1"/>
  <c r="J356" i="18"/>
  <c r="I282" i="25" s="1"/>
  <c r="I356" i="18"/>
  <c r="H282" i="25" s="1"/>
  <c r="G356" i="18"/>
  <c r="F282" i="25" s="1"/>
  <c r="E356" i="18"/>
  <c r="D282" i="25" s="1"/>
  <c r="L355" i="18"/>
  <c r="K281" i="25" s="1"/>
  <c r="J355" i="18"/>
  <c r="I281" i="25" s="1"/>
  <c r="I355" i="18"/>
  <c r="H281" i="25" s="1"/>
  <c r="G355" i="18"/>
  <c r="F281" i="25" s="1"/>
  <c r="E355" i="18"/>
  <c r="D281" i="25" s="1"/>
  <c r="C355" i="18"/>
  <c r="A355" i="18"/>
  <c r="L354" i="18"/>
  <c r="K280" i="25" s="1"/>
  <c r="J354" i="18"/>
  <c r="I280" i="25" s="1"/>
  <c r="I354" i="18"/>
  <c r="H280" i="25" s="1"/>
  <c r="G354" i="18"/>
  <c r="F280" i="25" s="1"/>
  <c r="E354" i="18"/>
  <c r="D280" i="25" s="1"/>
  <c r="C354" i="18"/>
  <c r="A354" i="18"/>
  <c r="L353" i="18"/>
  <c r="K279" i="25" s="1"/>
  <c r="J353" i="18"/>
  <c r="I279" i="25" s="1"/>
  <c r="I353" i="18"/>
  <c r="H279" i="25" s="1"/>
  <c r="G353" i="18"/>
  <c r="F279" i="25" s="1"/>
  <c r="E353" i="18"/>
  <c r="D279" i="25" s="1"/>
  <c r="C353" i="18"/>
  <c r="A353" i="18"/>
  <c r="L352" i="18"/>
  <c r="K278" i="25" s="1"/>
  <c r="J352" i="18"/>
  <c r="I278" i="25" s="1"/>
  <c r="I352" i="18"/>
  <c r="H278" i="25" s="1"/>
  <c r="G352" i="18"/>
  <c r="F278" i="25" s="1"/>
  <c r="E352" i="18"/>
  <c r="D278" i="25" s="1"/>
  <c r="C352" i="18"/>
  <c r="A352" i="18"/>
  <c r="L351" i="18"/>
  <c r="K277" i="25" s="1"/>
  <c r="J351" i="18"/>
  <c r="I277" i="25" s="1"/>
  <c r="I351" i="18"/>
  <c r="H277" i="25" s="1"/>
  <c r="G351" i="18"/>
  <c r="F277" i="25" s="1"/>
  <c r="E351" i="18"/>
  <c r="D277" i="25" s="1"/>
  <c r="C351" i="18"/>
  <c r="A351" i="18"/>
  <c r="L350" i="18"/>
  <c r="K276" i="25" s="1"/>
  <c r="J350" i="18"/>
  <c r="I276" i="25" s="1"/>
  <c r="I350" i="18"/>
  <c r="H276" i="25" s="1"/>
  <c r="G350" i="18"/>
  <c r="F276" i="25" s="1"/>
  <c r="E350" i="18"/>
  <c r="D276" i="25" s="1"/>
  <c r="C350" i="18"/>
  <c r="A350" i="18"/>
  <c r="L349" i="18"/>
  <c r="K275" i="25" s="1"/>
  <c r="J349" i="18"/>
  <c r="I275" i="25" s="1"/>
  <c r="I349" i="18"/>
  <c r="H275" i="25" s="1"/>
  <c r="G349" i="18"/>
  <c r="F275" i="25" s="1"/>
  <c r="E349" i="18"/>
  <c r="D275" i="25" s="1"/>
  <c r="C349" i="18"/>
  <c r="A349" i="18"/>
  <c r="L348" i="18"/>
  <c r="K274" i="25" s="1"/>
  <c r="J348" i="18"/>
  <c r="I274" i="25" s="1"/>
  <c r="I348" i="18"/>
  <c r="H274" i="25" s="1"/>
  <c r="G348" i="18"/>
  <c r="F274" i="25" s="1"/>
  <c r="E348" i="18"/>
  <c r="D274" i="25" s="1"/>
  <c r="C348" i="18"/>
  <c r="A348" i="18"/>
  <c r="L344" i="18"/>
  <c r="J344" i="18"/>
  <c r="I344" i="18"/>
  <c r="G344" i="18"/>
  <c r="L343" i="18"/>
  <c r="J343" i="18"/>
  <c r="I343" i="18"/>
  <c r="G343" i="18"/>
  <c r="E343" i="18"/>
  <c r="L342" i="18"/>
  <c r="J342" i="18"/>
  <c r="I342" i="18"/>
  <c r="G342" i="18"/>
  <c r="E342" i="18"/>
  <c r="L341" i="18"/>
  <c r="J341" i="18"/>
  <c r="I341" i="18"/>
  <c r="G341" i="18"/>
  <c r="E341" i="18"/>
  <c r="L340" i="18"/>
  <c r="J340" i="18"/>
  <c r="I340" i="18"/>
  <c r="G340" i="18"/>
  <c r="E340" i="18"/>
  <c r="C340" i="18"/>
  <c r="A340" i="18"/>
  <c r="L339" i="18"/>
  <c r="J339" i="18"/>
  <c r="I339" i="18"/>
  <c r="G339" i="18"/>
  <c r="E339" i="18"/>
  <c r="C339" i="18"/>
  <c r="A339" i="18"/>
  <c r="L338" i="18"/>
  <c r="J338" i="18"/>
  <c r="I338" i="18"/>
  <c r="G338" i="18"/>
  <c r="E338" i="18"/>
  <c r="C338" i="18"/>
  <c r="A338" i="18"/>
  <c r="L337" i="18"/>
  <c r="J337" i="18"/>
  <c r="I337" i="18"/>
  <c r="G337" i="18"/>
  <c r="E337" i="18"/>
  <c r="C337" i="18"/>
  <c r="A337" i="18"/>
  <c r="L336" i="18"/>
  <c r="J336" i="18"/>
  <c r="I336" i="18"/>
  <c r="G336" i="18"/>
  <c r="E336" i="18"/>
  <c r="C336" i="18"/>
  <c r="A336" i="18"/>
  <c r="L335" i="18"/>
  <c r="J335" i="18"/>
  <c r="I335" i="18"/>
  <c r="G335" i="18"/>
  <c r="E335" i="18"/>
  <c r="C335" i="18"/>
  <c r="A335" i="18"/>
  <c r="L334" i="18"/>
  <c r="J334" i="18"/>
  <c r="I334" i="18"/>
  <c r="G334" i="18"/>
  <c r="E334" i="18"/>
  <c r="C334" i="18"/>
  <c r="A334" i="18"/>
  <c r="L333" i="18"/>
  <c r="J333" i="18"/>
  <c r="I333" i="18"/>
  <c r="G333" i="18"/>
  <c r="H333" i="18" s="1"/>
  <c r="E333" i="18"/>
  <c r="C333" i="18"/>
  <c r="A333" i="18"/>
  <c r="L330" i="18"/>
  <c r="K511" i="25" s="1"/>
  <c r="J330" i="18"/>
  <c r="I511" i="25" s="1"/>
  <c r="I330" i="18"/>
  <c r="H511" i="25" s="1"/>
  <c r="G330" i="18"/>
  <c r="F511" i="25" s="1"/>
  <c r="L329" i="18"/>
  <c r="K510" i="25" s="1"/>
  <c r="J329" i="18"/>
  <c r="I510" i="25" s="1"/>
  <c r="I329" i="18"/>
  <c r="H510" i="25" s="1"/>
  <c r="G329" i="18"/>
  <c r="F510" i="25" s="1"/>
  <c r="L328" i="18"/>
  <c r="K509" i="25" s="1"/>
  <c r="J328" i="18"/>
  <c r="I509" i="25" s="1"/>
  <c r="I328" i="18"/>
  <c r="H509" i="25" s="1"/>
  <c r="G328" i="18"/>
  <c r="F509" i="25" s="1"/>
  <c r="E328" i="18"/>
  <c r="D509" i="25" s="1"/>
  <c r="L327" i="18"/>
  <c r="K508" i="25" s="1"/>
  <c r="J327" i="18"/>
  <c r="I508" i="25" s="1"/>
  <c r="I327" i="18"/>
  <c r="H508" i="25" s="1"/>
  <c r="G327" i="18"/>
  <c r="F508" i="25" s="1"/>
  <c r="E327" i="18"/>
  <c r="D508" i="25" s="1"/>
  <c r="L326" i="18"/>
  <c r="K507" i="25" s="1"/>
  <c r="J326" i="18"/>
  <c r="I507" i="25" s="1"/>
  <c r="I326" i="18"/>
  <c r="H507" i="25" s="1"/>
  <c r="G326" i="18"/>
  <c r="F507" i="25" s="1"/>
  <c r="E326" i="18"/>
  <c r="D507" i="25" s="1"/>
  <c r="L325" i="18"/>
  <c r="K506" i="25" s="1"/>
  <c r="J325" i="18"/>
  <c r="I506" i="25" s="1"/>
  <c r="I325" i="18"/>
  <c r="H506" i="25" s="1"/>
  <c r="G325" i="18"/>
  <c r="F506" i="25" s="1"/>
  <c r="E325" i="18"/>
  <c r="D506" i="25" s="1"/>
  <c r="C325" i="18"/>
  <c r="A325" i="18"/>
  <c r="L324" i="18"/>
  <c r="K505" i="25" s="1"/>
  <c r="J324" i="18"/>
  <c r="I505" i="25" s="1"/>
  <c r="I324" i="18"/>
  <c r="H505" i="25" s="1"/>
  <c r="G324" i="18"/>
  <c r="F505" i="25" s="1"/>
  <c r="E324" i="18"/>
  <c r="D505" i="25" s="1"/>
  <c r="C324" i="18"/>
  <c r="A324" i="18"/>
  <c r="L323" i="18"/>
  <c r="K504" i="25" s="1"/>
  <c r="J323" i="18"/>
  <c r="I504" i="25" s="1"/>
  <c r="I323" i="18"/>
  <c r="H504" i="25" s="1"/>
  <c r="G323" i="18"/>
  <c r="F504" i="25" s="1"/>
  <c r="E323" i="18"/>
  <c r="D504" i="25" s="1"/>
  <c r="C323" i="18"/>
  <c r="A323" i="18"/>
  <c r="L322" i="18"/>
  <c r="K503" i="25" s="1"/>
  <c r="J322" i="18"/>
  <c r="I503" i="25" s="1"/>
  <c r="I322" i="18"/>
  <c r="H503" i="25" s="1"/>
  <c r="G322" i="18"/>
  <c r="F503" i="25" s="1"/>
  <c r="E322" i="18"/>
  <c r="D503" i="25" s="1"/>
  <c r="C322" i="18"/>
  <c r="A322" i="18"/>
  <c r="L321" i="18"/>
  <c r="K502" i="25" s="1"/>
  <c r="J321" i="18"/>
  <c r="I502" i="25" s="1"/>
  <c r="I321" i="18"/>
  <c r="H502" i="25" s="1"/>
  <c r="G321" i="18"/>
  <c r="F502" i="25" s="1"/>
  <c r="E321" i="18"/>
  <c r="D502" i="25" s="1"/>
  <c r="C321" i="18"/>
  <c r="A321" i="18"/>
  <c r="L320" i="18"/>
  <c r="K501" i="25" s="1"/>
  <c r="J320" i="18"/>
  <c r="I501" i="25" s="1"/>
  <c r="I320" i="18"/>
  <c r="H501" i="25" s="1"/>
  <c r="G320" i="18"/>
  <c r="F501" i="25" s="1"/>
  <c r="E320" i="18"/>
  <c r="D501" i="25" s="1"/>
  <c r="C320" i="18"/>
  <c r="A320" i="18"/>
  <c r="L319" i="18"/>
  <c r="K500" i="25" s="1"/>
  <c r="J319" i="18"/>
  <c r="I500" i="25" s="1"/>
  <c r="I319" i="18"/>
  <c r="H500" i="25" s="1"/>
  <c r="G319" i="18"/>
  <c r="F500" i="25" s="1"/>
  <c r="E319" i="18"/>
  <c r="D500" i="25" s="1"/>
  <c r="C319" i="18"/>
  <c r="A319" i="18"/>
  <c r="L318" i="18"/>
  <c r="K499" i="25" s="1"/>
  <c r="J318" i="18"/>
  <c r="I499" i="25" s="1"/>
  <c r="I318" i="18"/>
  <c r="H499" i="25" s="1"/>
  <c r="G318" i="18"/>
  <c r="F499" i="25" s="1"/>
  <c r="E318" i="18"/>
  <c r="D499" i="25" s="1"/>
  <c r="C318" i="18"/>
  <c r="A318" i="18"/>
  <c r="L315" i="18"/>
  <c r="K421" i="25" s="1"/>
  <c r="J315" i="18"/>
  <c r="I421" i="25" s="1"/>
  <c r="I315" i="18"/>
  <c r="H421" i="25" s="1"/>
  <c r="G315" i="18"/>
  <c r="F421" i="25" s="1"/>
  <c r="L314" i="18"/>
  <c r="K420" i="25" s="1"/>
  <c r="J314" i="18"/>
  <c r="I420" i="25" s="1"/>
  <c r="I314" i="18"/>
  <c r="H420" i="25" s="1"/>
  <c r="G314" i="18"/>
  <c r="F420" i="25" s="1"/>
  <c r="L313" i="18"/>
  <c r="K419" i="25" s="1"/>
  <c r="J313" i="18"/>
  <c r="I419" i="25" s="1"/>
  <c r="I313" i="18"/>
  <c r="H419" i="25" s="1"/>
  <c r="G313" i="18"/>
  <c r="F419" i="25" s="1"/>
  <c r="E313" i="18"/>
  <c r="D419" i="25" s="1"/>
  <c r="L312" i="18"/>
  <c r="K418" i="25" s="1"/>
  <c r="J312" i="18"/>
  <c r="I418" i="25" s="1"/>
  <c r="I312" i="18"/>
  <c r="H418" i="25" s="1"/>
  <c r="G312" i="18"/>
  <c r="F418" i="25" s="1"/>
  <c r="E312" i="18"/>
  <c r="D418" i="25" s="1"/>
  <c r="L311" i="18"/>
  <c r="K417" i="25" s="1"/>
  <c r="J311" i="18"/>
  <c r="I417" i="25" s="1"/>
  <c r="I311" i="18"/>
  <c r="H417" i="25" s="1"/>
  <c r="G311" i="18"/>
  <c r="F417" i="25" s="1"/>
  <c r="E311" i="18"/>
  <c r="D417" i="25" s="1"/>
  <c r="L310" i="18"/>
  <c r="K416" i="25" s="1"/>
  <c r="J310" i="18"/>
  <c r="I416" i="25" s="1"/>
  <c r="I310" i="18"/>
  <c r="H416" i="25" s="1"/>
  <c r="G310" i="18"/>
  <c r="F416" i="25" s="1"/>
  <c r="E310" i="18"/>
  <c r="D416" i="25" s="1"/>
  <c r="C310" i="18"/>
  <c r="A310" i="18"/>
  <c r="L309" i="18"/>
  <c r="K415" i="25" s="1"/>
  <c r="J309" i="18"/>
  <c r="I415" i="25" s="1"/>
  <c r="I309" i="18"/>
  <c r="H415" i="25" s="1"/>
  <c r="G309" i="18"/>
  <c r="F415" i="25" s="1"/>
  <c r="E309" i="18"/>
  <c r="D415" i="25" s="1"/>
  <c r="C309" i="18"/>
  <c r="A309" i="18"/>
  <c r="L308" i="18"/>
  <c r="K414" i="25" s="1"/>
  <c r="J308" i="18"/>
  <c r="I414" i="25" s="1"/>
  <c r="I308" i="18"/>
  <c r="H414" i="25" s="1"/>
  <c r="G308" i="18"/>
  <c r="F414" i="25" s="1"/>
  <c r="E308" i="18"/>
  <c r="D414" i="25" s="1"/>
  <c r="C308" i="18"/>
  <c r="A308" i="18"/>
  <c r="L307" i="18"/>
  <c r="K413" i="25" s="1"/>
  <c r="J307" i="18"/>
  <c r="I413" i="25" s="1"/>
  <c r="I307" i="18"/>
  <c r="H413" i="25" s="1"/>
  <c r="G307" i="18"/>
  <c r="F413" i="25" s="1"/>
  <c r="E307" i="18"/>
  <c r="D413" i="25" s="1"/>
  <c r="C307" i="18"/>
  <c r="A307" i="18"/>
  <c r="L306" i="18"/>
  <c r="K412" i="25" s="1"/>
  <c r="J306" i="18"/>
  <c r="I412" i="25" s="1"/>
  <c r="I306" i="18"/>
  <c r="H412" i="25" s="1"/>
  <c r="G306" i="18"/>
  <c r="F412" i="25" s="1"/>
  <c r="E306" i="18"/>
  <c r="D412" i="25" s="1"/>
  <c r="C306" i="18"/>
  <c r="A306" i="18"/>
  <c r="L305" i="18"/>
  <c r="K411" i="25" s="1"/>
  <c r="J305" i="18"/>
  <c r="I411" i="25" s="1"/>
  <c r="I305" i="18"/>
  <c r="H411" i="25" s="1"/>
  <c r="G305" i="18"/>
  <c r="F411" i="25" s="1"/>
  <c r="E305" i="18"/>
  <c r="D411" i="25" s="1"/>
  <c r="C305" i="18"/>
  <c r="A305" i="18"/>
  <c r="L304" i="18"/>
  <c r="K410" i="25" s="1"/>
  <c r="J304" i="18"/>
  <c r="I410" i="25" s="1"/>
  <c r="I304" i="18"/>
  <c r="H410" i="25" s="1"/>
  <c r="G304" i="18"/>
  <c r="F410" i="25" s="1"/>
  <c r="E304" i="18"/>
  <c r="D410" i="25" s="1"/>
  <c r="C304" i="18"/>
  <c r="A304" i="18"/>
  <c r="L303" i="18"/>
  <c r="K409" i="25" s="1"/>
  <c r="J303" i="18"/>
  <c r="I409" i="25" s="1"/>
  <c r="I303" i="18"/>
  <c r="H409" i="25" s="1"/>
  <c r="G303" i="18"/>
  <c r="F409" i="25" s="1"/>
  <c r="E303" i="18"/>
  <c r="D409" i="25" s="1"/>
  <c r="C303" i="18"/>
  <c r="A303" i="18"/>
  <c r="L299" i="18"/>
  <c r="J299" i="18"/>
  <c r="I299" i="18"/>
  <c r="G299" i="18"/>
  <c r="L298" i="18"/>
  <c r="J298" i="18"/>
  <c r="I298" i="18"/>
  <c r="G298" i="18"/>
  <c r="E298" i="18"/>
  <c r="L297" i="18"/>
  <c r="J297" i="18"/>
  <c r="I297" i="18"/>
  <c r="G297" i="18"/>
  <c r="E297" i="18"/>
  <c r="L296" i="18"/>
  <c r="J296" i="18"/>
  <c r="I296" i="18"/>
  <c r="G296" i="18"/>
  <c r="E296" i="18"/>
  <c r="L295" i="18"/>
  <c r="J295" i="18"/>
  <c r="I295" i="18"/>
  <c r="G295" i="18"/>
  <c r="E295" i="18"/>
  <c r="C295" i="18"/>
  <c r="A295" i="18"/>
  <c r="L294" i="18"/>
  <c r="J294" i="18"/>
  <c r="I294" i="18"/>
  <c r="G294" i="18"/>
  <c r="E294" i="18"/>
  <c r="C294" i="18"/>
  <c r="A294" i="18"/>
  <c r="L293" i="18"/>
  <c r="J293" i="18"/>
  <c r="I293" i="18"/>
  <c r="G293" i="18"/>
  <c r="E293" i="18"/>
  <c r="C293" i="18"/>
  <c r="A293" i="18"/>
  <c r="L292" i="18"/>
  <c r="J292" i="18"/>
  <c r="I292" i="18"/>
  <c r="G292" i="18"/>
  <c r="E292" i="18"/>
  <c r="C292" i="18"/>
  <c r="A292" i="18"/>
  <c r="L291" i="18"/>
  <c r="J291" i="18"/>
  <c r="I291" i="18"/>
  <c r="G291" i="18"/>
  <c r="E291" i="18"/>
  <c r="C291" i="18"/>
  <c r="A291" i="18"/>
  <c r="L290" i="18"/>
  <c r="J290" i="18"/>
  <c r="I290" i="18"/>
  <c r="G290" i="18"/>
  <c r="E290" i="18"/>
  <c r="C290" i="18"/>
  <c r="A290" i="18"/>
  <c r="L289" i="18"/>
  <c r="J289" i="18"/>
  <c r="I289" i="18"/>
  <c r="G289" i="18"/>
  <c r="E289" i="18"/>
  <c r="C289" i="18"/>
  <c r="A289" i="18"/>
  <c r="L288" i="18"/>
  <c r="J288" i="18"/>
  <c r="I288" i="18"/>
  <c r="G288" i="18"/>
  <c r="H288" i="18" s="1"/>
  <c r="E288" i="18"/>
  <c r="C288" i="18"/>
  <c r="A288" i="18"/>
  <c r="L284" i="18"/>
  <c r="J284" i="18"/>
  <c r="G284" i="18"/>
  <c r="L283" i="18"/>
  <c r="J283" i="18"/>
  <c r="G283" i="18"/>
  <c r="E283" i="18"/>
  <c r="L282" i="18"/>
  <c r="J282" i="18"/>
  <c r="G282" i="18"/>
  <c r="E282" i="18"/>
  <c r="L281" i="18"/>
  <c r="J281" i="18"/>
  <c r="I281" i="18"/>
  <c r="G281" i="18"/>
  <c r="E281" i="18"/>
  <c r="L280" i="18"/>
  <c r="J280" i="18"/>
  <c r="I280" i="18"/>
  <c r="G280" i="18"/>
  <c r="E280" i="18"/>
  <c r="C280" i="18"/>
  <c r="A280" i="18"/>
  <c r="L279" i="18"/>
  <c r="J279" i="18"/>
  <c r="I279" i="18"/>
  <c r="G279" i="18"/>
  <c r="E279" i="18"/>
  <c r="C279" i="18"/>
  <c r="A279" i="18"/>
  <c r="L278" i="18"/>
  <c r="J278" i="18"/>
  <c r="I278" i="18"/>
  <c r="G278" i="18"/>
  <c r="E278" i="18"/>
  <c r="C278" i="18"/>
  <c r="A278" i="18"/>
  <c r="L277" i="18"/>
  <c r="J277" i="18"/>
  <c r="I277" i="18"/>
  <c r="G277" i="18"/>
  <c r="E277" i="18"/>
  <c r="C277" i="18"/>
  <c r="A277" i="18"/>
  <c r="L276" i="18"/>
  <c r="J276" i="18"/>
  <c r="I276" i="18"/>
  <c r="G276" i="18"/>
  <c r="E276" i="18"/>
  <c r="C276" i="18"/>
  <c r="A276" i="18"/>
  <c r="L275" i="18"/>
  <c r="J275" i="18"/>
  <c r="I275" i="18"/>
  <c r="G275" i="18"/>
  <c r="E275" i="18"/>
  <c r="C275" i="18"/>
  <c r="A275" i="18"/>
  <c r="L274" i="18"/>
  <c r="J274" i="18"/>
  <c r="I274" i="18"/>
  <c r="G274" i="18"/>
  <c r="E274" i="18"/>
  <c r="C274" i="18"/>
  <c r="A274" i="18"/>
  <c r="L273" i="18"/>
  <c r="J273" i="18"/>
  <c r="I273" i="18"/>
  <c r="G273" i="18"/>
  <c r="H273" i="18" s="1"/>
  <c r="E273" i="18"/>
  <c r="C273" i="18"/>
  <c r="A273" i="18"/>
  <c r="L270" i="18"/>
  <c r="I270" i="18"/>
  <c r="H152" i="25" s="1"/>
  <c r="G270" i="18"/>
  <c r="F152" i="25" s="1"/>
  <c r="L269" i="18"/>
  <c r="K151" i="25" s="1"/>
  <c r="J269" i="18"/>
  <c r="I151" i="25" s="1"/>
  <c r="I269" i="18"/>
  <c r="H151" i="25" s="1"/>
  <c r="G269" i="18"/>
  <c r="F151" i="25" s="1"/>
  <c r="L268" i="18"/>
  <c r="K150" i="25" s="1"/>
  <c r="J268" i="18"/>
  <c r="I150" i="25" s="1"/>
  <c r="I268" i="18"/>
  <c r="H150" i="25" s="1"/>
  <c r="G268" i="18"/>
  <c r="F150" i="25" s="1"/>
  <c r="E268" i="18"/>
  <c r="D150" i="25" s="1"/>
  <c r="L267" i="18"/>
  <c r="K149" i="25" s="1"/>
  <c r="J267" i="18"/>
  <c r="I149" i="25" s="1"/>
  <c r="I267" i="18"/>
  <c r="H149" i="25" s="1"/>
  <c r="G267" i="18"/>
  <c r="F149" i="25" s="1"/>
  <c r="E267" i="18"/>
  <c r="D149" i="25" s="1"/>
  <c r="L266" i="18"/>
  <c r="K148" i="25" s="1"/>
  <c r="J266" i="18"/>
  <c r="I148" i="25" s="1"/>
  <c r="I266" i="18"/>
  <c r="H148" i="25" s="1"/>
  <c r="G266" i="18"/>
  <c r="F148" i="25" s="1"/>
  <c r="E266" i="18"/>
  <c r="D148" i="25" s="1"/>
  <c r="L265" i="18"/>
  <c r="K147" i="25" s="1"/>
  <c r="J265" i="18"/>
  <c r="I147" i="25" s="1"/>
  <c r="I265" i="18"/>
  <c r="H147" i="25" s="1"/>
  <c r="G265" i="18"/>
  <c r="F147" i="25" s="1"/>
  <c r="E265" i="18"/>
  <c r="D147" i="25" s="1"/>
  <c r="C265" i="18"/>
  <c r="A265" i="18"/>
  <c r="L264" i="18"/>
  <c r="K146" i="25" s="1"/>
  <c r="J264" i="18"/>
  <c r="I146" i="25" s="1"/>
  <c r="I264" i="18"/>
  <c r="H146" i="25" s="1"/>
  <c r="G264" i="18"/>
  <c r="F146" i="25" s="1"/>
  <c r="E264" i="18"/>
  <c r="D146" i="25" s="1"/>
  <c r="C264" i="18"/>
  <c r="A264" i="18"/>
  <c r="L263" i="18"/>
  <c r="K145" i="25" s="1"/>
  <c r="J263" i="18"/>
  <c r="I145" i="25" s="1"/>
  <c r="I263" i="18"/>
  <c r="H145" i="25" s="1"/>
  <c r="G263" i="18"/>
  <c r="F145" i="25" s="1"/>
  <c r="E263" i="18"/>
  <c r="D145" i="25" s="1"/>
  <c r="C263" i="18"/>
  <c r="A263" i="18"/>
  <c r="L262" i="18"/>
  <c r="K144" i="25" s="1"/>
  <c r="J262" i="18"/>
  <c r="I144" i="25" s="1"/>
  <c r="I262" i="18"/>
  <c r="H144" i="25" s="1"/>
  <c r="G262" i="18"/>
  <c r="F144" i="25" s="1"/>
  <c r="E262" i="18"/>
  <c r="D144" i="25" s="1"/>
  <c r="C262" i="18"/>
  <c r="A262" i="18"/>
  <c r="L261" i="18"/>
  <c r="K143" i="25" s="1"/>
  <c r="J261" i="18"/>
  <c r="I143" i="25" s="1"/>
  <c r="I261" i="18"/>
  <c r="H143" i="25" s="1"/>
  <c r="G261" i="18"/>
  <c r="F143" i="25" s="1"/>
  <c r="E261" i="18"/>
  <c r="D143" i="25" s="1"/>
  <c r="C261" i="18"/>
  <c r="A261" i="18"/>
  <c r="L260" i="18"/>
  <c r="K142" i="25" s="1"/>
  <c r="J260" i="18"/>
  <c r="I142" i="25" s="1"/>
  <c r="I260" i="18"/>
  <c r="H142" i="25" s="1"/>
  <c r="G260" i="18"/>
  <c r="F142" i="25" s="1"/>
  <c r="E260" i="18"/>
  <c r="D142" i="25" s="1"/>
  <c r="C260" i="18"/>
  <c r="A260" i="18"/>
  <c r="L259" i="18"/>
  <c r="K141" i="25" s="1"/>
  <c r="J259" i="18"/>
  <c r="I141" i="25" s="1"/>
  <c r="I259" i="18"/>
  <c r="H141" i="25" s="1"/>
  <c r="G259" i="18"/>
  <c r="F141" i="25" s="1"/>
  <c r="E259" i="18"/>
  <c r="D141" i="25" s="1"/>
  <c r="C259" i="18"/>
  <c r="A259" i="18"/>
  <c r="L258" i="18"/>
  <c r="K140" i="25" s="1"/>
  <c r="J258" i="18"/>
  <c r="I140" i="25" s="1"/>
  <c r="I258" i="18"/>
  <c r="H140" i="25" s="1"/>
  <c r="G258" i="18"/>
  <c r="F140" i="25" s="1"/>
  <c r="E258" i="18"/>
  <c r="D140" i="25" s="1"/>
  <c r="C258" i="18"/>
  <c r="A258" i="18"/>
  <c r="L255" i="18"/>
  <c r="J255" i="18"/>
  <c r="I301" i="25" s="1"/>
  <c r="G255" i="18"/>
  <c r="F301" i="25" s="1"/>
  <c r="L254" i="18"/>
  <c r="J254" i="18"/>
  <c r="I300" i="25" s="1"/>
  <c r="G254" i="18"/>
  <c r="L253" i="18"/>
  <c r="J253" i="18"/>
  <c r="I299" i="25" s="1"/>
  <c r="I253" i="18"/>
  <c r="G253" i="18"/>
  <c r="E253" i="18"/>
  <c r="D299" i="25" s="1"/>
  <c r="L252" i="18"/>
  <c r="J252" i="18"/>
  <c r="I252" i="18"/>
  <c r="G252" i="18"/>
  <c r="F298" i="25" s="1"/>
  <c r="E252" i="18"/>
  <c r="D298" i="25" s="1"/>
  <c r="L251" i="18"/>
  <c r="J251" i="18"/>
  <c r="I251" i="18"/>
  <c r="H297" i="25" s="1"/>
  <c r="G251" i="18"/>
  <c r="F297" i="25" s="1"/>
  <c r="L250" i="18"/>
  <c r="J250" i="18"/>
  <c r="I296" i="25" s="1"/>
  <c r="I250" i="18"/>
  <c r="H296" i="25" s="1"/>
  <c r="G250" i="18"/>
  <c r="E250" i="18"/>
  <c r="C250" i="18"/>
  <c r="A250" i="18"/>
  <c r="L249" i="18"/>
  <c r="J249" i="18"/>
  <c r="I249" i="18"/>
  <c r="H295" i="25" s="1"/>
  <c r="G249" i="18"/>
  <c r="F295" i="25" s="1"/>
  <c r="E249" i="18"/>
  <c r="C249" i="18"/>
  <c r="A249" i="18"/>
  <c r="L248" i="18"/>
  <c r="J248" i="18"/>
  <c r="I248" i="18"/>
  <c r="G248" i="18"/>
  <c r="F294" i="25" s="1"/>
  <c r="E248" i="18"/>
  <c r="D294" i="25" s="1"/>
  <c r="C248" i="18"/>
  <c r="A248" i="18"/>
  <c r="L247" i="18"/>
  <c r="J247" i="18"/>
  <c r="I293" i="25" s="1"/>
  <c r="I247" i="18"/>
  <c r="G247" i="18"/>
  <c r="E247" i="18"/>
  <c r="D293" i="25" s="1"/>
  <c r="C247" i="18"/>
  <c r="A247" i="18"/>
  <c r="L246" i="18"/>
  <c r="J246" i="18"/>
  <c r="I292" i="25" s="1"/>
  <c r="I246" i="18"/>
  <c r="H292" i="25" s="1"/>
  <c r="G246" i="18"/>
  <c r="E246" i="18"/>
  <c r="C246" i="18"/>
  <c r="A246" i="18"/>
  <c r="L245" i="18"/>
  <c r="J245" i="18"/>
  <c r="I245" i="18"/>
  <c r="H291" i="25" s="1"/>
  <c r="G245" i="18"/>
  <c r="F291" i="25" s="1"/>
  <c r="E245" i="18"/>
  <c r="C245" i="18"/>
  <c r="A245" i="18"/>
  <c r="L244" i="18"/>
  <c r="J244" i="18"/>
  <c r="I244" i="18"/>
  <c r="G244" i="18"/>
  <c r="F290" i="25" s="1"/>
  <c r="E244" i="18"/>
  <c r="D290" i="25" s="1"/>
  <c r="C244" i="18"/>
  <c r="A244" i="18"/>
  <c r="L243" i="18"/>
  <c r="J243" i="18"/>
  <c r="I289" i="25" s="1"/>
  <c r="I243" i="18"/>
  <c r="G243" i="18"/>
  <c r="E243" i="18"/>
  <c r="D289" i="25" s="1"/>
  <c r="C243" i="18"/>
  <c r="A243" i="18"/>
  <c r="J239" i="18"/>
  <c r="I82" i="25" s="1"/>
  <c r="I239" i="18"/>
  <c r="H82" i="25" s="1"/>
  <c r="G239" i="18"/>
  <c r="F82" i="25" s="1"/>
  <c r="J238" i="18"/>
  <c r="I81" i="25" s="1"/>
  <c r="I238" i="18"/>
  <c r="H81" i="25" s="1"/>
  <c r="G238" i="18"/>
  <c r="F81" i="25" s="1"/>
  <c r="E238" i="18"/>
  <c r="D81" i="25" s="1"/>
  <c r="J237" i="18"/>
  <c r="I80" i="25" s="1"/>
  <c r="I237" i="18"/>
  <c r="H80" i="25" s="1"/>
  <c r="G237" i="18"/>
  <c r="F80" i="25" s="1"/>
  <c r="E237" i="18"/>
  <c r="D80" i="25" s="1"/>
  <c r="J236" i="18"/>
  <c r="I79" i="25" s="1"/>
  <c r="I236" i="18"/>
  <c r="H79" i="25" s="1"/>
  <c r="G236" i="18"/>
  <c r="F79" i="25" s="1"/>
  <c r="E236" i="18"/>
  <c r="D79" i="25" s="1"/>
  <c r="J235" i="18"/>
  <c r="I78" i="25" s="1"/>
  <c r="I235" i="18"/>
  <c r="H78" i="25" s="1"/>
  <c r="G235" i="18"/>
  <c r="F78" i="25" s="1"/>
  <c r="E235" i="18"/>
  <c r="D78" i="25" s="1"/>
  <c r="C235" i="18"/>
  <c r="A235" i="18"/>
  <c r="J234" i="18"/>
  <c r="I77" i="25" s="1"/>
  <c r="I234" i="18"/>
  <c r="H77" i="25" s="1"/>
  <c r="G234" i="18"/>
  <c r="F77" i="25" s="1"/>
  <c r="E234" i="18"/>
  <c r="D77" i="25" s="1"/>
  <c r="C234" i="18"/>
  <c r="A234" i="18"/>
  <c r="J233" i="18"/>
  <c r="I76" i="25" s="1"/>
  <c r="I233" i="18"/>
  <c r="H76" i="25" s="1"/>
  <c r="G233" i="18"/>
  <c r="F76" i="25" s="1"/>
  <c r="E233" i="18"/>
  <c r="D76" i="25" s="1"/>
  <c r="C233" i="18"/>
  <c r="A233" i="18"/>
  <c r="J232" i="18"/>
  <c r="I75" i="25" s="1"/>
  <c r="I232" i="18"/>
  <c r="H75" i="25" s="1"/>
  <c r="G232" i="18"/>
  <c r="F75" i="25" s="1"/>
  <c r="E232" i="18"/>
  <c r="D75" i="25" s="1"/>
  <c r="C232" i="18"/>
  <c r="A232" i="18"/>
  <c r="J231" i="18"/>
  <c r="I74" i="25" s="1"/>
  <c r="I231" i="18"/>
  <c r="H74" i="25" s="1"/>
  <c r="G231" i="18"/>
  <c r="F74" i="25" s="1"/>
  <c r="E231" i="18"/>
  <c r="D74" i="25" s="1"/>
  <c r="C231" i="18"/>
  <c r="A231" i="18"/>
  <c r="J230" i="18"/>
  <c r="I73" i="25" s="1"/>
  <c r="I230" i="18"/>
  <c r="H73" i="25" s="1"/>
  <c r="G230" i="18"/>
  <c r="F73" i="25" s="1"/>
  <c r="E230" i="18"/>
  <c r="D73" i="25" s="1"/>
  <c r="C230" i="18"/>
  <c r="A230" i="18"/>
  <c r="J229" i="18"/>
  <c r="I72" i="25" s="1"/>
  <c r="I229" i="18"/>
  <c r="H72" i="25" s="1"/>
  <c r="G229" i="18"/>
  <c r="F72" i="25" s="1"/>
  <c r="E229" i="18"/>
  <c r="D72" i="25" s="1"/>
  <c r="C229" i="18"/>
  <c r="A229" i="18"/>
  <c r="J228" i="18"/>
  <c r="I71" i="25" s="1"/>
  <c r="I228" i="18"/>
  <c r="H71" i="25" s="1"/>
  <c r="G228" i="18"/>
  <c r="F71" i="25" s="1"/>
  <c r="E228" i="18"/>
  <c r="D71" i="25" s="1"/>
  <c r="C228" i="18"/>
  <c r="A228" i="18"/>
  <c r="C225" i="18"/>
  <c r="C224" i="18"/>
  <c r="C223" i="18"/>
  <c r="C222" i="18"/>
  <c r="C221" i="18"/>
  <c r="L209" i="18"/>
  <c r="J209" i="18"/>
  <c r="G209" i="18"/>
  <c r="L208" i="18"/>
  <c r="J208" i="18"/>
  <c r="G208" i="18"/>
  <c r="E208" i="18"/>
  <c r="L207" i="18"/>
  <c r="J207" i="18"/>
  <c r="I207" i="18"/>
  <c r="G207" i="18"/>
  <c r="E207" i="18"/>
  <c r="L206" i="18"/>
  <c r="J206" i="18"/>
  <c r="I206" i="18"/>
  <c r="G206" i="18"/>
  <c r="E206" i="18"/>
  <c r="L205" i="18"/>
  <c r="J205" i="18"/>
  <c r="I205" i="18"/>
  <c r="G205" i="18"/>
  <c r="E205" i="18"/>
  <c r="C205" i="18"/>
  <c r="C220" i="18" s="1"/>
  <c r="A205" i="18"/>
  <c r="L204" i="18"/>
  <c r="J204" i="18"/>
  <c r="I204" i="18"/>
  <c r="G204" i="18"/>
  <c r="E204" i="18"/>
  <c r="C204" i="18"/>
  <c r="C219" i="18" s="1"/>
  <c r="A204" i="18"/>
  <c r="L203" i="18"/>
  <c r="J203" i="18"/>
  <c r="I203" i="18"/>
  <c r="G203" i="18"/>
  <c r="E203" i="18"/>
  <c r="C203" i="18"/>
  <c r="C218" i="18" s="1"/>
  <c r="A203" i="18"/>
  <c r="L202" i="18"/>
  <c r="J202" i="18"/>
  <c r="I202" i="18"/>
  <c r="G202" i="18"/>
  <c r="E202" i="18"/>
  <c r="C202" i="18"/>
  <c r="C217" i="18" s="1"/>
  <c r="A202" i="18"/>
  <c r="L201" i="18"/>
  <c r="J201" i="18"/>
  <c r="I201" i="18"/>
  <c r="G201" i="18"/>
  <c r="E201" i="18"/>
  <c r="C201" i="18"/>
  <c r="C216" i="18" s="1"/>
  <c r="A201" i="18"/>
  <c r="L200" i="18"/>
  <c r="J200" i="18"/>
  <c r="I200" i="18"/>
  <c r="G200" i="18"/>
  <c r="E200" i="18"/>
  <c r="C200" i="18"/>
  <c r="C215" i="18" s="1"/>
  <c r="A200" i="18"/>
  <c r="L199" i="18"/>
  <c r="J199" i="18"/>
  <c r="I199" i="18"/>
  <c r="G199" i="18"/>
  <c r="E199" i="18"/>
  <c r="C199" i="18"/>
  <c r="C214" i="18" s="1"/>
  <c r="A199" i="18"/>
  <c r="L198" i="18"/>
  <c r="J198" i="18"/>
  <c r="I198" i="18"/>
  <c r="G198" i="18"/>
  <c r="H198" i="18" s="1"/>
  <c r="E198" i="18"/>
  <c r="C198" i="18"/>
  <c r="C213" i="18" s="1"/>
  <c r="A198" i="18"/>
  <c r="L194" i="18"/>
  <c r="J194" i="18"/>
  <c r="I194" i="18"/>
  <c r="G194" i="18"/>
  <c r="L193" i="18"/>
  <c r="J193" i="18"/>
  <c r="I193" i="18"/>
  <c r="G193" i="18"/>
  <c r="E193" i="18"/>
  <c r="L192" i="18"/>
  <c r="J192" i="18"/>
  <c r="I192" i="18"/>
  <c r="G192" i="18"/>
  <c r="E192" i="18"/>
  <c r="L191" i="18"/>
  <c r="J191" i="18"/>
  <c r="I191" i="18"/>
  <c r="G191" i="18"/>
  <c r="E191" i="18"/>
  <c r="L190" i="18"/>
  <c r="J190" i="18"/>
  <c r="I190" i="18"/>
  <c r="G190" i="18"/>
  <c r="E190" i="18"/>
  <c r="C190" i="18"/>
  <c r="A190" i="18"/>
  <c r="L189" i="18"/>
  <c r="J189" i="18"/>
  <c r="I189" i="18"/>
  <c r="G189" i="18"/>
  <c r="E189" i="18"/>
  <c r="C189" i="18"/>
  <c r="A189" i="18"/>
  <c r="L188" i="18"/>
  <c r="J188" i="18"/>
  <c r="I188" i="18"/>
  <c r="G188" i="18"/>
  <c r="E188" i="18"/>
  <c r="C188" i="18"/>
  <c r="A188" i="18"/>
  <c r="L187" i="18"/>
  <c r="J187" i="18"/>
  <c r="I187" i="18"/>
  <c r="G187" i="18"/>
  <c r="E187" i="18"/>
  <c r="C187" i="18"/>
  <c r="A187" i="18"/>
  <c r="L186" i="18"/>
  <c r="J186" i="18"/>
  <c r="I186" i="18"/>
  <c r="G186" i="18"/>
  <c r="E186" i="18"/>
  <c r="C186" i="18"/>
  <c r="A186" i="18"/>
  <c r="L185" i="18"/>
  <c r="J185" i="18"/>
  <c r="I185" i="18"/>
  <c r="G185" i="18"/>
  <c r="E185" i="18"/>
  <c r="C185" i="18"/>
  <c r="A185" i="18"/>
  <c r="L184" i="18"/>
  <c r="J184" i="18"/>
  <c r="I184" i="18"/>
  <c r="G184" i="18"/>
  <c r="E184" i="18"/>
  <c r="C184" i="18"/>
  <c r="A184" i="18"/>
  <c r="L183" i="18"/>
  <c r="J183" i="18"/>
  <c r="I183" i="18"/>
  <c r="G183" i="18"/>
  <c r="H183" i="18" s="1"/>
  <c r="E183" i="18"/>
  <c r="C183" i="18"/>
  <c r="A183" i="18"/>
  <c r="L179" i="18"/>
  <c r="J179" i="18"/>
  <c r="I179" i="18"/>
  <c r="G179" i="18"/>
  <c r="L178" i="18"/>
  <c r="J178" i="18"/>
  <c r="I178" i="18"/>
  <c r="G178" i="18"/>
  <c r="E178" i="18"/>
  <c r="L177" i="18"/>
  <c r="J177" i="18"/>
  <c r="I177" i="18"/>
  <c r="G177" i="18"/>
  <c r="E177" i="18"/>
  <c r="L176" i="18"/>
  <c r="J176" i="18"/>
  <c r="I176" i="18"/>
  <c r="G176" i="18"/>
  <c r="E176" i="18"/>
  <c r="L175" i="18"/>
  <c r="J175" i="18"/>
  <c r="I175" i="18"/>
  <c r="G175" i="18"/>
  <c r="E175" i="18"/>
  <c r="C175" i="18"/>
  <c r="A175" i="18"/>
  <c r="L174" i="18"/>
  <c r="J174" i="18"/>
  <c r="I174" i="18"/>
  <c r="G174" i="18"/>
  <c r="E174" i="18"/>
  <c r="C174" i="18"/>
  <c r="A174" i="18"/>
  <c r="L173" i="18"/>
  <c r="J173" i="18"/>
  <c r="I173" i="18"/>
  <c r="G173" i="18"/>
  <c r="E173" i="18"/>
  <c r="C173" i="18"/>
  <c r="A173" i="18"/>
  <c r="L172" i="18"/>
  <c r="J172" i="18"/>
  <c r="I172" i="18"/>
  <c r="G172" i="18"/>
  <c r="E172" i="18"/>
  <c r="C172" i="18"/>
  <c r="A172" i="18"/>
  <c r="L171" i="18"/>
  <c r="J171" i="18"/>
  <c r="I171" i="18"/>
  <c r="G171" i="18"/>
  <c r="E171" i="18"/>
  <c r="C171" i="18"/>
  <c r="A171" i="18"/>
  <c r="L170" i="18"/>
  <c r="J170" i="18"/>
  <c r="I170" i="18"/>
  <c r="G170" i="18"/>
  <c r="E170" i="18"/>
  <c r="C170" i="18"/>
  <c r="A170" i="18"/>
  <c r="L169" i="18"/>
  <c r="J169" i="18"/>
  <c r="I169" i="18"/>
  <c r="G169" i="18"/>
  <c r="E169" i="18"/>
  <c r="C169" i="18"/>
  <c r="A169" i="18"/>
  <c r="L168" i="18"/>
  <c r="J168" i="18"/>
  <c r="I168" i="18"/>
  <c r="G168" i="18"/>
  <c r="H168" i="18" s="1"/>
  <c r="E168" i="18"/>
  <c r="C168" i="18"/>
  <c r="A168" i="18"/>
  <c r="L164" i="18"/>
  <c r="J164" i="18"/>
  <c r="I164" i="18"/>
  <c r="G164" i="18"/>
  <c r="L163" i="18"/>
  <c r="J163" i="18"/>
  <c r="I163" i="18"/>
  <c r="G163" i="18"/>
  <c r="E163" i="18"/>
  <c r="L162" i="18"/>
  <c r="J162" i="18"/>
  <c r="I162" i="18"/>
  <c r="G162" i="18"/>
  <c r="E162" i="18"/>
  <c r="L161" i="18"/>
  <c r="J161" i="18"/>
  <c r="I161" i="18"/>
  <c r="G161" i="18"/>
  <c r="E161" i="18"/>
  <c r="L160" i="18"/>
  <c r="J160" i="18"/>
  <c r="I160" i="18"/>
  <c r="G160" i="18"/>
  <c r="E160" i="18"/>
  <c r="C160" i="18"/>
  <c r="A160" i="18"/>
  <c r="L159" i="18"/>
  <c r="J159" i="18"/>
  <c r="I159" i="18"/>
  <c r="G159" i="18"/>
  <c r="E159" i="18"/>
  <c r="C159" i="18"/>
  <c r="A159" i="18"/>
  <c r="L158" i="18"/>
  <c r="J158" i="18"/>
  <c r="I158" i="18"/>
  <c r="G158" i="18"/>
  <c r="E158" i="18"/>
  <c r="C158" i="18"/>
  <c r="A158" i="18"/>
  <c r="L157" i="18"/>
  <c r="J157" i="18"/>
  <c r="I157" i="18"/>
  <c r="G157" i="18"/>
  <c r="E157" i="18"/>
  <c r="C157" i="18"/>
  <c r="A157" i="18"/>
  <c r="L156" i="18"/>
  <c r="J156" i="18"/>
  <c r="I156" i="18"/>
  <c r="G156" i="18"/>
  <c r="E156" i="18"/>
  <c r="C156" i="18"/>
  <c r="A156" i="18"/>
  <c r="L155" i="18"/>
  <c r="J155" i="18"/>
  <c r="I155" i="18"/>
  <c r="G155" i="18"/>
  <c r="E155" i="18"/>
  <c r="C155" i="18"/>
  <c r="A155" i="18"/>
  <c r="L154" i="18"/>
  <c r="J154" i="18"/>
  <c r="I154" i="18"/>
  <c r="G154" i="18"/>
  <c r="E154" i="18"/>
  <c r="C154" i="18"/>
  <c r="A154" i="18"/>
  <c r="L153" i="18"/>
  <c r="J153" i="18"/>
  <c r="I153" i="18"/>
  <c r="G153" i="18"/>
  <c r="H153" i="18" s="1"/>
  <c r="E153" i="18"/>
  <c r="C153" i="18"/>
  <c r="A153" i="18"/>
  <c r="L149" i="18"/>
  <c r="J149" i="18"/>
  <c r="I149" i="18"/>
  <c r="G149" i="18"/>
  <c r="L148" i="18"/>
  <c r="J148" i="18"/>
  <c r="I148" i="18"/>
  <c r="E148" i="18"/>
  <c r="L147" i="18"/>
  <c r="J147" i="18"/>
  <c r="I147" i="18"/>
  <c r="G147" i="18"/>
  <c r="E147" i="18"/>
  <c r="L146" i="18"/>
  <c r="J146" i="18"/>
  <c r="I146" i="18"/>
  <c r="G146" i="18"/>
  <c r="E146" i="18"/>
  <c r="L145" i="18"/>
  <c r="J145" i="18"/>
  <c r="I145" i="18"/>
  <c r="G145" i="18"/>
  <c r="E145" i="18"/>
  <c r="C145" i="18"/>
  <c r="A145" i="18"/>
  <c r="L144" i="18"/>
  <c r="J144" i="18"/>
  <c r="I144" i="18"/>
  <c r="G144" i="18"/>
  <c r="E144" i="18"/>
  <c r="C144" i="18"/>
  <c r="A144" i="18"/>
  <c r="L143" i="18"/>
  <c r="J143" i="18"/>
  <c r="I143" i="18"/>
  <c r="G143" i="18"/>
  <c r="E143" i="18"/>
  <c r="C143" i="18"/>
  <c r="A143" i="18"/>
  <c r="L142" i="18"/>
  <c r="J142" i="18"/>
  <c r="I142" i="18"/>
  <c r="G142" i="18"/>
  <c r="E142" i="18"/>
  <c r="C142" i="18"/>
  <c r="A142" i="18"/>
  <c r="L141" i="18"/>
  <c r="J141" i="18"/>
  <c r="I141" i="18"/>
  <c r="G141" i="18"/>
  <c r="E141" i="18"/>
  <c r="C141" i="18"/>
  <c r="A141" i="18"/>
  <c r="L140" i="18"/>
  <c r="J140" i="18"/>
  <c r="I140" i="18"/>
  <c r="G140" i="18"/>
  <c r="E140" i="18"/>
  <c r="C140" i="18"/>
  <c r="A140" i="18"/>
  <c r="L139" i="18"/>
  <c r="J139" i="18"/>
  <c r="I139" i="18"/>
  <c r="G139" i="18"/>
  <c r="E139" i="18"/>
  <c r="C139" i="18"/>
  <c r="A139" i="18"/>
  <c r="L138" i="18"/>
  <c r="J138" i="18"/>
  <c r="I138" i="18"/>
  <c r="G138" i="18"/>
  <c r="H138" i="18" s="1"/>
  <c r="E138" i="18"/>
  <c r="C138" i="18"/>
  <c r="A138" i="18"/>
  <c r="L135" i="18"/>
  <c r="K406" i="25" s="1"/>
  <c r="J135" i="18"/>
  <c r="I406" i="25" s="1"/>
  <c r="G135" i="18"/>
  <c r="F406" i="25" s="1"/>
  <c r="L134" i="18"/>
  <c r="K405" i="25" s="1"/>
  <c r="J134" i="18"/>
  <c r="I405" i="25" s="1"/>
  <c r="I134" i="18"/>
  <c r="H405" i="25" s="1"/>
  <c r="G134" i="18"/>
  <c r="F405" i="25" s="1"/>
  <c r="L133" i="18"/>
  <c r="K404" i="25" s="1"/>
  <c r="J133" i="18"/>
  <c r="I404" i="25" s="1"/>
  <c r="I133" i="18"/>
  <c r="H404" i="25" s="1"/>
  <c r="G133" i="18"/>
  <c r="F404" i="25" s="1"/>
  <c r="E133" i="18"/>
  <c r="D404" i="25" s="1"/>
  <c r="L132" i="18"/>
  <c r="K403" i="25" s="1"/>
  <c r="J132" i="18"/>
  <c r="I403" i="25" s="1"/>
  <c r="I132" i="18"/>
  <c r="H403" i="25" s="1"/>
  <c r="G132" i="18"/>
  <c r="F403" i="25" s="1"/>
  <c r="E132" i="18"/>
  <c r="D403" i="25" s="1"/>
  <c r="L131" i="18"/>
  <c r="K402" i="25" s="1"/>
  <c r="J131" i="18"/>
  <c r="I402" i="25" s="1"/>
  <c r="I131" i="18"/>
  <c r="H402" i="25" s="1"/>
  <c r="G131" i="18"/>
  <c r="F402" i="25" s="1"/>
  <c r="E131" i="18"/>
  <c r="D402" i="25" s="1"/>
  <c r="L130" i="18"/>
  <c r="K401" i="25" s="1"/>
  <c r="J130" i="18"/>
  <c r="I401" i="25" s="1"/>
  <c r="I130" i="18"/>
  <c r="H401" i="25" s="1"/>
  <c r="G130" i="18"/>
  <c r="F401" i="25" s="1"/>
  <c r="E130" i="18"/>
  <c r="D401" i="25" s="1"/>
  <c r="C130" i="18"/>
  <c r="A130" i="18"/>
  <c r="L129" i="18"/>
  <c r="K400" i="25" s="1"/>
  <c r="J129" i="18"/>
  <c r="I400" i="25" s="1"/>
  <c r="I129" i="18"/>
  <c r="H400" i="25" s="1"/>
  <c r="G129" i="18"/>
  <c r="F400" i="25" s="1"/>
  <c r="E129" i="18"/>
  <c r="D400" i="25" s="1"/>
  <c r="C129" i="18"/>
  <c r="A129" i="18"/>
  <c r="L128" i="18"/>
  <c r="K399" i="25" s="1"/>
  <c r="J128" i="18"/>
  <c r="I399" i="25" s="1"/>
  <c r="I128" i="18"/>
  <c r="H399" i="25" s="1"/>
  <c r="G128" i="18"/>
  <c r="F399" i="25" s="1"/>
  <c r="E128" i="18"/>
  <c r="D399" i="25" s="1"/>
  <c r="C128" i="18"/>
  <c r="A128" i="18"/>
  <c r="L127" i="18"/>
  <c r="K398" i="25" s="1"/>
  <c r="J127" i="18"/>
  <c r="I398" i="25" s="1"/>
  <c r="I127" i="18"/>
  <c r="H398" i="25" s="1"/>
  <c r="G127" i="18"/>
  <c r="F398" i="25" s="1"/>
  <c r="E127" i="18"/>
  <c r="D398" i="25" s="1"/>
  <c r="C127" i="18"/>
  <c r="A127" i="18"/>
  <c r="L126" i="18"/>
  <c r="K397" i="25" s="1"/>
  <c r="J126" i="18"/>
  <c r="I397" i="25" s="1"/>
  <c r="I126" i="18"/>
  <c r="H397" i="25" s="1"/>
  <c r="G126" i="18"/>
  <c r="F397" i="25" s="1"/>
  <c r="E126" i="18"/>
  <c r="D397" i="25" s="1"/>
  <c r="C126" i="18"/>
  <c r="A126" i="18"/>
  <c r="L125" i="18"/>
  <c r="K396" i="25" s="1"/>
  <c r="J125" i="18"/>
  <c r="I396" i="25" s="1"/>
  <c r="I125" i="18"/>
  <c r="H396" i="25" s="1"/>
  <c r="G125" i="18"/>
  <c r="F396" i="25" s="1"/>
  <c r="E125" i="18"/>
  <c r="D396" i="25" s="1"/>
  <c r="C125" i="18"/>
  <c r="A125" i="18"/>
  <c r="L124" i="18"/>
  <c r="K395" i="25" s="1"/>
  <c r="J124" i="18"/>
  <c r="I395" i="25" s="1"/>
  <c r="I124" i="18"/>
  <c r="H395" i="25" s="1"/>
  <c r="G124" i="18"/>
  <c r="F395" i="25" s="1"/>
  <c r="E124" i="18"/>
  <c r="D395" i="25" s="1"/>
  <c r="C124" i="18"/>
  <c r="A124" i="18"/>
  <c r="L123" i="18"/>
  <c r="K394" i="25" s="1"/>
  <c r="J123" i="18"/>
  <c r="I394" i="25" s="1"/>
  <c r="I123" i="18"/>
  <c r="H394" i="25" s="1"/>
  <c r="G123" i="18"/>
  <c r="F394" i="25" s="1"/>
  <c r="E123" i="18"/>
  <c r="D394" i="25" s="1"/>
  <c r="C123" i="18"/>
  <c r="A123" i="18"/>
  <c r="L118" i="18"/>
  <c r="J118" i="18"/>
  <c r="G118" i="18"/>
  <c r="E118" i="18"/>
  <c r="L117" i="18"/>
  <c r="J117" i="18"/>
  <c r="G117" i="18"/>
  <c r="E117" i="18"/>
  <c r="L116" i="18"/>
  <c r="J116" i="18"/>
  <c r="I116" i="18"/>
  <c r="G116" i="18"/>
  <c r="E116" i="18"/>
  <c r="L115" i="18"/>
  <c r="J115" i="18"/>
  <c r="I115" i="18"/>
  <c r="G115" i="18"/>
  <c r="E115" i="18"/>
  <c r="C115" i="18"/>
  <c r="A115" i="18"/>
  <c r="L114" i="18"/>
  <c r="J114" i="18"/>
  <c r="I114" i="18"/>
  <c r="G114" i="18"/>
  <c r="E114" i="18"/>
  <c r="C114" i="18"/>
  <c r="A114" i="18"/>
  <c r="L113" i="18"/>
  <c r="J113" i="18"/>
  <c r="I113" i="18"/>
  <c r="G113" i="18"/>
  <c r="E113" i="18"/>
  <c r="C113" i="18"/>
  <c r="A113" i="18"/>
  <c r="L112" i="18"/>
  <c r="J112" i="18"/>
  <c r="I112" i="18"/>
  <c r="G112" i="18"/>
  <c r="E112" i="18"/>
  <c r="C112" i="18"/>
  <c r="A112" i="18"/>
  <c r="L111" i="18"/>
  <c r="J111" i="18"/>
  <c r="I111" i="18"/>
  <c r="G111" i="18"/>
  <c r="E111" i="18"/>
  <c r="C111" i="18"/>
  <c r="A111" i="18"/>
  <c r="L110" i="18"/>
  <c r="J110" i="18"/>
  <c r="I110" i="18"/>
  <c r="G110" i="18"/>
  <c r="E110" i="18"/>
  <c r="C110" i="18"/>
  <c r="A110" i="18"/>
  <c r="L109" i="18"/>
  <c r="J109" i="18"/>
  <c r="I109" i="18"/>
  <c r="G109" i="18"/>
  <c r="E109" i="18"/>
  <c r="C109" i="18"/>
  <c r="A109" i="18"/>
  <c r="L108" i="18"/>
  <c r="J108" i="18"/>
  <c r="I108" i="18"/>
  <c r="G108" i="18"/>
  <c r="H108" i="18" s="1"/>
  <c r="E108" i="18"/>
  <c r="C108" i="18"/>
  <c r="A108" i="18"/>
  <c r="L105" i="18"/>
  <c r="K167" i="25" s="1"/>
  <c r="J105" i="18"/>
  <c r="I167" i="25" s="1"/>
  <c r="I105" i="18"/>
  <c r="H167" i="25" s="1"/>
  <c r="G105" i="18"/>
  <c r="F167" i="25" s="1"/>
  <c r="L104" i="18"/>
  <c r="K166" i="25" s="1"/>
  <c r="J104" i="18"/>
  <c r="I166" i="25" s="1"/>
  <c r="I104" i="18"/>
  <c r="H166" i="25" s="1"/>
  <c r="G104" i="18"/>
  <c r="F166" i="25" s="1"/>
  <c r="L103" i="18"/>
  <c r="K165" i="25" s="1"/>
  <c r="J103" i="18"/>
  <c r="I165" i="25" s="1"/>
  <c r="I103" i="18"/>
  <c r="H165" i="25" s="1"/>
  <c r="E103" i="18"/>
  <c r="D165" i="25" s="1"/>
  <c r="L102" i="18"/>
  <c r="K164" i="25" s="1"/>
  <c r="J102" i="18"/>
  <c r="I164" i="25" s="1"/>
  <c r="I102" i="18"/>
  <c r="H164" i="25" s="1"/>
  <c r="G102" i="18"/>
  <c r="F164" i="25" s="1"/>
  <c r="E102" i="18"/>
  <c r="D164" i="25" s="1"/>
  <c r="L101" i="18"/>
  <c r="K163" i="25" s="1"/>
  <c r="J101" i="18"/>
  <c r="I163" i="25" s="1"/>
  <c r="I101" i="18"/>
  <c r="H163" i="25" s="1"/>
  <c r="G101" i="18"/>
  <c r="F163" i="25" s="1"/>
  <c r="E101" i="18"/>
  <c r="D163" i="25" s="1"/>
  <c r="L100" i="18"/>
  <c r="K162" i="25" s="1"/>
  <c r="J100" i="18"/>
  <c r="I162" i="25" s="1"/>
  <c r="I100" i="18"/>
  <c r="H162" i="25" s="1"/>
  <c r="G100" i="18"/>
  <c r="F162" i="25" s="1"/>
  <c r="E100" i="18"/>
  <c r="D162" i="25" s="1"/>
  <c r="C100" i="18"/>
  <c r="A100" i="18"/>
  <c r="L99" i="18"/>
  <c r="K161" i="25" s="1"/>
  <c r="J99" i="18"/>
  <c r="I161" i="25" s="1"/>
  <c r="I99" i="18"/>
  <c r="H161" i="25" s="1"/>
  <c r="G99" i="18"/>
  <c r="F161" i="25" s="1"/>
  <c r="E99" i="18"/>
  <c r="D161" i="25" s="1"/>
  <c r="C99" i="18"/>
  <c r="A99" i="18"/>
  <c r="L98" i="18"/>
  <c r="K160" i="25" s="1"/>
  <c r="J98" i="18"/>
  <c r="I160" i="25" s="1"/>
  <c r="I98" i="18"/>
  <c r="H160" i="25" s="1"/>
  <c r="G98" i="18"/>
  <c r="F160" i="25" s="1"/>
  <c r="E98" i="18"/>
  <c r="D160" i="25" s="1"/>
  <c r="C98" i="18"/>
  <c r="A98" i="18"/>
  <c r="L97" i="18"/>
  <c r="K159" i="25" s="1"/>
  <c r="J97" i="18"/>
  <c r="I159" i="25" s="1"/>
  <c r="I97" i="18"/>
  <c r="H159" i="25" s="1"/>
  <c r="G97" i="18"/>
  <c r="F159" i="25" s="1"/>
  <c r="E97" i="18"/>
  <c r="D159" i="25" s="1"/>
  <c r="C97" i="18"/>
  <c r="A97" i="18"/>
  <c r="L96" i="18"/>
  <c r="K158" i="25" s="1"/>
  <c r="J96" i="18"/>
  <c r="I158" i="25" s="1"/>
  <c r="I96" i="18"/>
  <c r="H158" i="25" s="1"/>
  <c r="G96" i="18"/>
  <c r="F158" i="25" s="1"/>
  <c r="E96" i="18"/>
  <c r="D158" i="25" s="1"/>
  <c r="C96" i="18"/>
  <c r="A96" i="18"/>
  <c r="L95" i="18"/>
  <c r="K157" i="25" s="1"/>
  <c r="J95" i="18"/>
  <c r="I157" i="25" s="1"/>
  <c r="I95" i="18"/>
  <c r="H157" i="25" s="1"/>
  <c r="G95" i="18"/>
  <c r="F157" i="25" s="1"/>
  <c r="E95" i="18"/>
  <c r="D157" i="25" s="1"/>
  <c r="C95" i="18"/>
  <c r="A95" i="18"/>
  <c r="L94" i="18"/>
  <c r="K156" i="25" s="1"/>
  <c r="J94" i="18"/>
  <c r="I156" i="25" s="1"/>
  <c r="I94" i="18"/>
  <c r="H156" i="25" s="1"/>
  <c r="G94" i="18"/>
  <c r="F156" i="25" s="1"/>
  <c r="E94" i="18"/>
  <c r="D156" i="25" s="1"/>
  <c r="C94" i="18"/>
  <c r="A94" i="18"/>
  <c r="L93" i="18"/>
  <c r="K155" i="25" s="1"/>
  <c r="J93" i="18"/>
  <c r="I155" i="25" s="1"/>
  <c r="I93" i="18"/>
  <c r="H155" i="25" s="1"/>
  <c r="G93" i="18"/>
  <c r="F155" i="25" s="1"/>
  <c r="E93" i="18"/>
  <c r="D155" i="25" s="1"/>
  <c r="C93" i="18"/>
  <c r="A93" i="18"/>
  <c r="L90" i="18"/>
  <c r="K316" i="25" s="1"/>
  <c r="J90" i="18"/>
  <c r="I316" i="25" s="1"/>
  <c r="G90" i="18"/>
  <c r="F316" i="25" s="1"/>
  <c r="L89" i="18"/>
  <c r="K315" i="25" s="1"/>
  <c r="J89" i="18"/>
  <c r="I315" i="25" s="1"/>
  <c r="G89" i="18"/>
  <c r="F315" i="25" s="1"/>
  <c r="L88" i="18"/>
  <c r="K314" i="25" s="1"/>
  <c r="J88" i="18"/>
  <c r="I314" i="25" s="1"/>
  <c r="G88" i="18"/>
  <c r="F314" i="25" s="1"/>
  <c r="E88" i="18"/>
  <c r="D314" i="25" s="1"/>
  <c r="L87" i="18"/>
  <c r="K313" i="25" s="1"/>
  <c r="J87" i="18"/>
  <c r="I313" i="25" s="1"/>
  <c r="G87" i="18"/>
  <c r="F313" i="25" s="1"/>
  <c r="E87" i="18"/>
  <c r="D313" i="25" s="1"/>
  <c r="L86" i="18"/>
  <c r="K312" i="25" s="1"/>
  <c r="J86" i="18"/>
  <c r="I312" i="25" s="1"/>
  <c r="I86" i="18"/>
  <c r="H312" i="25" s="1"/>
  <c r="G86" i="18"/>
  <c r="F312" i="25" s="1"/>
  <c r="E86" i="18"/>
  <c r="D312" i="25" s="1"/>
  <c r="L85" i="18"/>
  <c r="K311" i="25" s="1"/>
  <c r="J85" i="18"/>
  <c r="I311" i="25" s="1"/>
  <c r="I85" i="18"/>
  <c r="H311" i="25" s="1"/>
  <c r="G85" i="18"/>
  <c r="F311" i="25" s="1"/>
  <c r="E85" i="18"/>
  <c r="D311" i="25" s="1"/>
  <c r="C85" i="18"/>
  <c r="A85" i="18"/>
  <c r="L84" i="18"/>
  <c r="K310" i="25" s="1"/>
  <c r="J84" i="18"/>
  <c r="I310" i="25" s="1"/>
  <c r="I84" i="18"/>
  <c r="H310" i="25" s="1"/>
  <c r="G84" i="18"/>
  <c r="F310" i="25" s="1"/>
  <c r="E84" i="18"/>
  <c r="D310" i="25" s="1"/>
  <c r="C84" i="18"/>
  <c r="A84" i="18"/>
  <c r="L83" i="18"/>
  <c r="K309" i="25" s="1"/>
  <c r="J83" i="18"/>
  <c r="I309" i="25" s="1"/>
  <c r="I83" i="18"/>
  <c r="H309" i="25" s="1"/>
  <c r="G83" i="18"/>
  <c r="F309" i="25" s="1"/>
  <c r="E83" i="18"/>
  <c r="D309" i="25" s="1"/>
  <c r="C83" i="18"/>
  <c r="A83" i="18"/>
  <c r="L82" i="18"/>
  <c r="K308" i="25" s="1"/>
  <c r="J82" i="18"/>
  <c r="I308" i="25" s="1"/>
  <c r="I82" i="18"/>
  <c r="H308" i="25" s="1"/>
  <c r="G82" i="18"/>
  <c r="F308" i="25" s="1"/>
  <c r="E82" i="18"/>
  <c r="D308" i="25" s="1"/>
  <c r="C82" i="18"/>
  <c r="A82" i="18"/>
  <c r="L81" i="18"/>
  <c r="K307" i="25" s="1"/>
  <c r="J81" i="18"/>
  <c r="I307" i="25" s="1"/>
  <c r="I81" i="18"/>
  <c r="H307" i="25" s="1"/>
  <c r="G81" i="18"/>
  <c r="F307" i="25" s="1"/>
  <c r="E81" i="18"/>
  <c r="D307" i="25" s="1"/>
  <c r="C81" i="18"/>
  <c r="A81" i="18"/>
  <c r="L80" i="18"/>
  <c r="K306" i="25" s="1"/>
  <c r="J80" i="18"/>
  <c r="I306" i="25" s="1"/>
  <c r="I80" i="18"/>
  <c r="H306" i="25" s="1"/>
  <c r="G80" i="18"/>
  <c r="F306" i="25" s="1"/>
  <c r="E80" i="18"/>
  <c r="D306" i="25" s="1"/>
  <c r="C80" i="18"/>
  <c r="A80" i="18"/>
  <c r="L79" i="18"/>
  <c r="K305" i="25" s="1"/>
  <c r="J79" i="18"/>
  <c r="I305" i="25" s="1"/>
  <c r="I79" i="18"/>
  <c r="H305" i="25" s="1"/>
  <c r="G79" i="18"/>
  <c r="F305" i="25" s="1"/>
  <c r="E79" i="18"/>
  <c r="D305" i="25" s="1"/>
  <c r="C79" i="18"/>
  <c r="A79" i="18"/>
  <c r="L78" i="18"/>
  <c r="K304" i="25" s="1"/>
  <c r="J78" i="18"/>
  <c r="I304" i="25" s="1"/>
  <c r="I78" i="18"/>
  <c r="H304" i="25" s="1"/>
  <c r="G78" i="18"/>
  <c r="F304" i="25" s="1"/>
  <c r="E78" i="18"/>
  <c r="D304" i="25" s="1"/>
  <c r="C78" i="18"/>
  <c r="A78" i="18"/>
  <c r="L60" i="18"/>
  <c r="K331" i="25" s="1"/>
  <c r="J60" i="18"/>
  <c r="I331" i="25" s="1"/>
  <c r="I60" i="18"/>
  <c r="H331" i="25" s="1"/>
  <c r="G60" i="18"/>
  <c r="F331" i="25" s="1"/>
  <c r="L59" i="18"/>
  <c r="K330" i="25" s="1"/>
  <c r="J59" i="18"/>
  <c r="I330" i="25" s="1"/>
  <c r="I59" i="18"/>
  <c r="H330" i="25" s="1"/>
  <c r="G59" i="18"/>
  <c r="F330" i="25" s="1"/>
  <c r="L58" i="18"/>
  <c r="K329" i="25" s="1"/>
  <c r="J58" i="18"/>
  <c r="I329" i="25" s="1"/>
  <c r="I58" i="18"/>
  <c r="H329" i="25" s="1"/>
  <c r="G58" i="18"/>
  <c r="F329" i="25" s="1"/>
  <c r="L57" i="18"/>
  <c r="K328" i="25" s="1"/>
  <c r="J57" i="18"/>
  <c r="I328" i="25" s="1"/>
  <c r="I57" i="18"/>
  <c r="H328" i="25" s="1"/>
  <c r="G57" i="18"/>
  <c r="F328" i="25" s="1"/>
  <c r="E57" i="18"/>
  <c r="D328" i="25" s="1"/>
  <c r="L56" i="18"/>
  <c r="K327" i="25" s="1"/>
  <c r="J56" i="18"/>
  <c r="I327" i="25" s="1"/>
  <c r="I56" i="18"/>
  <c r="H327" i="25" s="1"/>
  <c r="G56" i="18"/>
  <c r="F327" i="25" s="1"/>
  <c r="E56" i="18"/>
  <c r="D327" i="25" s="1"/>
  <c r="L55" i="18"/>
  <c r="K326" i="25" s="1"/>
  <c r="J55" i="18"/>
  <c r="I326" i="25" s="1"/>
  <c r="I55" i="18"/>
  <c r="H326" i="25" s="1"/>
  <c r="G55" i="18"/>
  <c r="F326" i="25" s="1"/>
  <c r="E55" i="18"/>
  <c r="D326" i="25" s="1"/>
  <c r="C55" i="18"/>
  <c r="A55" i="18"/>
  <c r="L54" i="18"/>
  <c r="K325" i="25" s="1"/>
  <c r="J54" i="18"/>
  <c r="I325" i="25" s="1"/>
  <c r="I54" i="18"/>
  <c r="H325" i="25" s="1"/>
  <c r="G54" i="18"/>
  <c r="F325" i="25" s="1"/>
  <c r="E54" i="18"/>
  <c r="D325" i="25" s="1"/>
  <c r="C54" i="18"/>
  <c r="A54" i="18"/>
  <c r="L53" i="18"/>
  <c r="K324" i="25" s="1"/>
  <c r="J53" i="18"/>
  <c r="I324" i="25" s="1"/>
  <c r="I53" i="18"/>
  <c r="H324" i="25" s="1"/>
  <c r="G53" i="18"/>
  <c r="F324" i="25" s="1"/>
  <c r="E53" i="18"/>
  <c r="D324" i="25" s="1"/>
  <c r="C53" i="18"/>
  <c r="A53" i="18"/>
  <c r="L52" i="18"/>
  <c r="K323" i="25" s="1"/>
  <c r="J52" i="18"/>
  <c r="I323" i="25" s="1"/>
  <c r="I52" i="18"/>
  <c r="H323" i="25" s="1"/>
  <c r="G52" i="18"/>
  <c r="F323" i="25" s="1"/>
  <c r="E52" i="18"/>
  <c r="D323" i="25" s="1"/>
  <c r="C52" i="18"/>
  <c r="A52" i="18"/>
  <c r="L51" i="18"/>
  <c r="K322" i="25" s="1"/>
  <c r="J51" i="18"/>
  <c r="I322" i="25" s="1"/>
  <c r="I51" i="18"/>
  <c r="H322" i="25" s="1"/>
  <c r="G51" i="18"/>
  <c r="F322" i="25" s="1"/>
  <c r="E51" i="18"/>
  <c r="D322" i="25" s="1"/>
  <c r="C51" i="18"/>
  <c r="A51" i="18"/>
  <c r="L50" i="18"/>
  <c r="K321" i="25" s="1"/>
  <c r="J50" i="18"/>
  <c r="I321" i="25" s="1"/>
  <c r="I50" i="18"/>
  <c r="H321" i="25" s="1"/>
  <c r="G50" i="18"/>
  <c r="F321" i="25" s="1"/>
  <c r="E50" i="18"/>
  <c r="D321" i="25" s="1"/>
  <c r="C50" i="18"/>
  <c r="A50" i="18"/>
  <c r="L49" i="18"/>
  <c r="K320" i="25" s="1"/>
  <c r="J49" i="18"/>
  <c r="I320" i="25" s="1"/>
  <c r="I49" i="18"/>
  <c r="H320" i="25" s="1"/>
  <c r="G49" i="18"/>
  <c r="F320" i="25" s="1"/>
  <c r="E49" i="18"/>
  <c r="D320" i="25" s="1"/>
  <c r="C49" i="18"/>
  <c r="A49" i="18"/>
  <c r="L48" i="18"/>
  <c r="K319" i="25" s="1"/>
  <c r="J48" i="18"/>
  <c r="I319" i="25" s="1"/>
  <c r="I48" i="18"/>
  <c r="H319" i="25" s="1"/>
  <c r="G48" i="18"/>
  <c r="F319" i="25" s="1"/>
  <c r="E48" i="18"/>
  <c r="D319" i="25" s="1"/>
  <c r="C48" i="18"/>
  <c r="A48" i="18"/>
  <c r="L44" i="18"/>
  <c r="J44" i="18"/>
  <c r="I44" i="18"/>
  <c r="G44" i="18"/>
  <c r="L43" i="18"/>
  <c r="J43" i="18"/>
  <c r="I43" i="18"/>
  <c r="G43" i="18"/>
  <c r="E43" i="18"/>
  <c r="L42" i="18"/>
  <c r="J42" i="18"/>
  <c r="I42" i="18"/>
  <c r="G42" i="18"/>
  <c r="E42" i="18"/>
  <c r="L41" i="18"/>
  <c r="J41" i="18"/>
  <c r="I41" i="18"/>
  <c r="G41" i="18"/>
  <c r="E41" i="18"/>
  <c r="L40" i="18"/>
  <c r="J40" i="18"/>
  <c r="I40" i="18"/>
  <c r="G40" i="18"/>
  <c r="E40" i="18"/>
  <c r="C40" i="18"/>
  <c r="A40" i="18"/>
  <c r="L39" i="18"/>
  <c r="J39" i="18"/>
  <c r="I39" i="18"/>
  <c r="G39" i="18"/>
  <c r="E39" i="18"/>
  <c r="C39" i="18"/>
  <c r="A39" i="18"/>
  <c r="L38" i="18"/>
  <c r="J38" i="18"/>
  <c r="I38" i="18"/>
  <c r="G38" i="18"/>
  <c r="E38" i="18"/>
  <c r="C38" i="18"/>
  <c r="A38" i="18"/>
  <c r="L37" i="18"/>
  <c r="J37" i="18"/>
  <c r="I37" i="18"/>
  <c r="G37" i="18"/>
  <c r="E37" i="18"/>
  <c r="C37" i="18"/>
  <c r="A37" i="18"/>
  <c r="L36" i="18"/>
  <c r="J36" i="18"/>
  <c r="I36" i="18"/>
  <c r="G36" i="18"/>
  <c r="E36" i="18"/>
  <c r="C36" i="18"/>
  <c r="A36" i="18"/>
  <c r="L35" i="18"/>
  <c r="J35" i="18"/>
  <c r="I35" i="18"/>
  <c r="G35" i="18"/>
  <c r="E35" i="18"/>
  <c r="C35" i="18"/>
  <c r="A35" i="18"/>
  <c r="L34" i="18"/>
  <c r="J34" i="18"/>
  <c r="I34" i="18"/>
  <c r="G34" i="18"/>
  <c r="E34" i="18"/>
  <c r="C34" i="18"/>
  <c r="A34" i="18"/>
  <c r="L33" i="18"/>
  <c r="J33" i="18"/>
  <c r="I33" i="18"/>
  <c r="G33" i="18"/>
  <c r="H33" i="18" s="1"/>
  <c r="E33" i="18"/>
  <c r="C33" i="18"/>
  <c r="A33" i="18"/>
  <c r="F15" i="18"/>
  <c r="E514" i="25" s="1"/>
  <c r="L29" i="18"/>
  <c r="J29" i="18"/>
  <c r="I29" i="18"/>
  <c r="G29" i="18"/>
  <c r="L28" i="18"/>
  <c r="J28" i="18"/>
  <c r="I28" i="18"/>
  <c r="G28" i="18"/>
  <c r="E28" i="18"/>
  <c r="L27" i="18"/>
  <c r="J27" i="18"/>
  <c r="I27" i="18"/>
  <c r="G27" i="18"/>
  <c r="E27" i="18"/>
  <c r="L26" i="18"/>
  <c r="J26" i="18"/>
  <c r="I26" i="18"/>
  <c r="G26" i="18"/>
  <c r="E26" i="18"/>
  <c r="L25" i="18"/>
  <c r="J25" i="18"/>
  <c r="I25" i="18"/>
  <c r="G25" i="18"/>
  <c r="E25" i="18"/>
  <c r="C25" i="18"/>
  <c r="C10" i="18" s="1"/>
  <c r="A25" i="18"/>
  <c r="L24" i="18"/>
  <c r="J24" i="18"/>
  <c r="I24" i="18"/>
  <c r="G24" i="18"/>
  <c r="E24" i="18"/>
  <c r="C24" i="18"/>
  <c r="C9" i="18" s="1"/>
  <c r="A24" i="18"/>
  <c r="L23" i="18"/>
  <c r="J23" i="18"/>
  <c r="I23" i="18"/>
  <c r="G23" i="18"/>
  <c r="E23" i="18"/>
  <c r="C23" i="18"/>
  <c r="C8" i="18" s="1"/>
  <c r="A23" i="18"/>
  <c r="L22" i="18"/>
  <c r="J22" i="18"/>
  <c r="I22" i="18"/>
  <c r="G22" i="18"/>
  <c r="E22" i="18"/>
  <c r="C22" i="18"/>
  <c r="C7" i="18" s="1"/>
  <c r="A22" i="18"/>
  <c r="L21" i="18"/>
  <c r="J21" i="18"/>
  <c r="I21" i="18"/>
  <c r="G21" i="18"/>
  <c r="E21" i="18"/>
  <c r="C21" i="18"/>
  <c r="C6" i="18" s="1"/>
  <c r="A21" i="18"/>
  <c r="L20" i="18"/>
  <c r="J20" i="18"/>
  <c r="I20" i="18"/>
  <c r="G20" i="18"/>
  <c r="E20" i="18"/>
  <c r="C20" i="18"/>
  <c r="A20" i="18"/>
  <c r="L19" i="18"/>
  <c r="J19" i="18"/>
  <c r="I19" i="18"/>
  <c r="G19" i="18"/>
  <c r="E19" i="18"/>
  <c r="C19" i="18"/>
  <c r="C4" i="18" s="1"/>
  <c r="A19" i="18"/>
  <c r="L18" i="18"/>
  <c r="J18" i="18"/>
  <c r="I18" i="18"/>
  <c r="G18" i="18"/>
  <c r="H18" i="18" s="1"/>
  <c r="E18" i="18"/>
  <c r="C18" i="18"/>
  <c r="C3" i="18" s="1"/>
  <c r="A18" i="18"/>
  <c r="L15" i="18"/>
  <c r="K514" i="25" s="1"/>
  <c r="J15" i="18"/>
  <c r="I514" i="25" s="1"/>
  <c r="G15" i="18"/>
  <c r="F514" i="25" s="1"/>
  <c r="C15" i="18"/>
  <c r="C14" i="18"/>
  <c r="C13" i="18"/>
  <c r="C12" i="18"/>
  <c r="C11" i="18"/>
  <c r="C5" i="18"/>
  <c r="I2" i="25" l="1"/>
  <c r="D3" i="25"/>
  <c r="F4" i="25"/>
  <c r="H5" i="25"/>
  <c r="I6" i="25"/>
  <c r="D7" i="25"/>
  <c r="F8" i="25"/>
  <c r="H9" i="25"/>
  <c r="F10" i="25"/>
  <c r="D11" i="25"/>
  <c r="I297" i="25"/>
  <c r="H298" i="25"/>
  <c r="F299" i="25"/>
  <c r="F300" i="25"/>
  <c r="F289" i="25"/>
  <c r="G289" i="25" s="1"/>
  <c r="G290" i="25" s="1"/>
  <c r="G291" i="25" s="1"/>
  <c r="H290" i="25"/>
  <c r="I291" i="25"/>
  <c r="D292" i="25"/>
  <c r="F293" i="25"/>
  <c r="H294" i="25"/>
  <c r="I295" i="25"/>
  <c r="D296" i="25"/>
  <c r="H3" i="25"/>
  <c r="H7" i="25"/>
  <c r="I12" i="25"/>
  <c r="H499" i="18"/>
  <c r="H709" i="18"/>
  <c r="E338" i="25"/>
  <c r="H289" i="25"/>
  <c r="I290" i="25"/>
  <c r="D291" i="25"/>
  <c r="F292" i="25"/>
  <c r="H293" i="25"/>
  <c r="I294" i="25"/>
  <c r="D295" i="25"/>
  <c r="F296" i="25"/>
  <c r="I298" i="25"/>
  <c r="H299" i="25"/>
  <c r="E35" i="25"/>
  <c r="D349" i="25"/>
  <c r="H351" i="25"/>
  <c r="I352" i="25"/>
  <c r="F354" i="25"/>
  <c r="F358" i="25"/>
  <c r="F349" i="25"/>
  <c r="G349" i="25" s="1"/>
  <c r="H350" i="25"/>
  <c r="I351" i="25"/>
  <c r="D352" i="25"/>
  <c r="F353" i="25"/>
  <c r="H354" i="25"/>
  <c r="I355" i="25"/>
  <c r="D356" i="25"/>
  <c r="I357" i="25"/>
  <c r="H358" i="25"/>
  <c r="F359" i="25"/>
  <c r="F360" i="25"/>
  <c r="F350" i="25"/>
  <c r="I356" i="25"/>
  <c r="D359" i="25"/>
  <c r="I390" i="25"/>
  <c r="I391" i="25" s="1"/>
  <c r="I392" i="25" s="1"/>
  <c r="I393" i="25" s="1"/>
  <c r="H349" i="25"/>
  <c r="I350" i="25"/>
  <c r="D351" i="25"/>
  <c r="F352" i="25"/>
  <c r="H353" i="25"/>
  <c r="I354" i="25"/>
  <c r="D355" i="25"/>
  <c r="F356" i="25"/>
  <c r="D357" i="25"/>
  <c r="I358" i="25"/>
  <c r="H359" i="25"/>
  <c r="H360" i="25"/>
  <c r="J19" i="25"/>
  <c r="D297" i="25"/>
  <c r="F833" i="18"/>
  <c r="F848" i="18" s="1"/>
  <c r="E339" i="25" s="1"/>
  <c r="E220" i="25"/>
  <c r="D353" i="25"/>
  <c r="H355" i="25"/>
  <c r="H357" i="25"/>
  <c r="I349" i="25"/>
  <c r="D350" i="25"/>
  <c r="F351" i="25"/>
  <c r="H352" i="25"/>
  <c r="I353" i="25"/>
  <c r="D354" i="25"/>
  <c r="F355" i="25"/>
  <c r="H356" i="25"/>
  <c r="F357" i="25"/>
  <c r="D358" i="25"/>
  <c r="I359" i="25"/>
  <c r="I360" i="25"/>
  <c r="K20" i="18"/>
  <c r="K24" i="18"/>
  <c r="K26" i="18"/>
  <c r="K35" i="18"/>
  <c r="K39" i="18"/>
  <c r="K108" i="18"/>
  <c r="K112" i="18"/>
  <c r="K141" i="18"/>
  <c r="K145" i="18"/>
  <c r="K154" i="18"/>
  <c r="K158" i="18"/>
  <c r="K162" i="18"/>
  <c r="K168" i="18"/>
  <c r="K172" i="18"/>
  <c r="K178" i="18"/>
  <c r="K179" i="18"/>
  <c r="K186" i="18"/>
  <c r="K190" i="18"/>
  <c r="K200" i="18"/>
  <c r="K204" i="18"/>
  <c r="K209" i="18"/>
  <c r="D2" i="25"/>
  <c r="F3" i="25"/>
  <c r="H4" i="25"/>
  <c r="I5" i="25"/>
  <c r="D6" i="25"/>
  <c r="F7" i="25"/>
  <c r="H8" i="25"/>
  <c r="I9" i="25"/>
  <c r="H10" i="25"/>
  <c r="F11" i="25"/>
  <c r="K1114" i="18"/>
  <c r="K1118" i="18"/>
  <c r="K1122" i="18"/>
  <c r="F2" i="25"/>
  <c r="G2" i="25" s="1"/>
  <c r="F6" i="25"/>
  <c r="K508" i="18"/>
  <c r="H2" i="25"/>
  <c r="F5" i="25"/>
  <c r="H6" i="25"/>
  <c r="F9" i="25"/>
  <c r="D10" i="25"/>
  <c r="D222" i="25"/>
  <c r="D218" i="25"/>
  <c r="F222" i="25"/>
  <c r="F218" i="25"/>
  <c r="H222" i="25"/>
  <c r="H218" i="25"/>
  <c r="I222" i="25"/>
  <c r="I218" i="25"/>
  <c r="F224" i="25"/>
  <c r="F223" i="25"/>
  <c r="F225" i="25"/>
  <c r="H438" i="18"/>
  <c r="G59" i="25" s="1"/>
  <c r="F59" i="25"/>
  <c r="H334" i="18"/>
  <c r="H335" i="18" s="1"/>
  <c r="H336" i="18" s="1"/>
  <c r="H337" i="18" s="1"/>
  <c r="H338" i="18" s="1"/>
  <c r="H339" i="18" s="1"/>
  <c r="H340" i="18" s="1"/>
  <c r="H341" i="18" s="1"/>
  <c r="H342" i="18" s="1"/>
  <c r="H343" i="18" s="1"/>
  <c r="H344" i="18" s="1"/>
  <c r="H345" i="18" s="1"/>
  <c r="H346" i="18" s="1"/>
  <c r="H483" i="18"/>
  <c r="G98" i="25" s="1"/>
  <c r="F98" i="25"/>
  <c r="H739" i="18"/>
  <c r="H740" i="18" s="1"/>
  <c r="H741" i="18" s="1"/>
  <c r="H742" i="18" s="1"/>
  <c r="H743" i="18" s="1"/>
  <c r="H744" i="18" s="1"/>
  <c r="H745" i="18" s="1"/>
  <c r="H746" i="18" s="1"/>
  <c r="H747" i="18" s="1"/>
  <c r="H748" i="18" s="1"/>
  <c r="H749" i="18" s="1"/>
  <c r="H750" i="18" s="1"/>
  <c r="H751" i="18" s="1"/>
  <c r="I28" i="25"/>
  <c r="I29" i="25" s="1"/>
  <c r="I30" i="25" s="1"/>
  <c r="I31" i="25" s="1"/>
  <c r="D221" i="25"/>
  <c r="D217" i="25"/>
  <c r="F221" i="25"/>
  <c r="F217" i="25"/>
  <c r="H221" i="25"/>
  <c r="H217" i="25"/>
  <c r="I221" i="25"/>
  <c r="I217" i="25"/>
  <c r="H223" i="25"/>
  <c r="E359" i="25"/>
  <c r="F688" i="18"/>
  <c r="E447" i="25"/>
  <c r="F746" i="18"/>
  <c r="F761" i="18" s="1"/>
  <c r="E253" i="25"/>
  <c r="F702" i="18"/>
  <c r="F717" i="18" s="1"/>
  <c r="F732" i="18" s="1"/>
  <c r="E18" i="25"/>
  <c r="E3" i="25" s="1"/>
  <c r="F994" i="18"/>
  <c r="E206" i="25"/>
  <c r="F819" i="18"/>
  <c r="K273" i="18"/>
  <c r="K277" i="18"/>
  <c r="K288" i="18"/>
  <c r="K292" i="18"/>
  <c r="K298" i="18"/>
  <c r="K299" i="18"/>
  <c r="K334" i="18"/>
  <c r="K338" i="18"/>
  <c r="K342" i="18"/>
  <c r="K366" i="18"/>
  <c r="K370" i="18"/>
  <c r="K424" i="18"/>
  <c r="K428" i="18"/>
  <c r="K432" i="18"/>
  <c r="K438" i="18"/>
  <c r="J59" i="25" s="1"/>
  <c r="I59" i="25"/>
  <c r="K442" i="18"/>
  <c r="J63" i="25" s="1"/>
  <c r="I63" i="25"/>
  <c r="K448" i="18"/>
  <c r="J69" i="25" s="1"/>
  <c r="I69" i="25"/>
  <c r="K449" i="18"/>
  <c r="J70" i="25" s="1"/>
  <c r="I70" i="25"/>
  <c r="K456" i="18"/>
  <c r="K460" i="18"/>
  <c r="K470" i="18"/>
  <c r="K474" i="18"/>
  <c r="K476" i="18"/>
  <c r="K484" i="18"/>
  <c r="J99" i="25" s="1"/>
  <c r="I99" i="25"/>
  <c r="K488" i="18"/>
  <c r="J103" i="25" s="1"/>
  <c r="I103" i="25"/>
  <c r="K492" i="18"/>
  <c r="J107" i="25" s="1"/>
  <c r="I107" i="25"/>
  <c r="K493" i="18"/>
  <c r="J108" i="25" s="1"/>
  <c r="I108" i="25"/>
  <c r="K546" i="18"/>
  <c r="K550" i="18"/>
  <c r="K591" i="18"/>
  <c r="K595" i="18"/>
  <c r="K605" i="18"/>
  <c r="K609" i="18"/>
  <c r="K611" i="18"/>
  <c r="K613" i="18"/>
  <c r="K614" i="18"/>
  <c r="K635" i="18"/>
  <c r="K639" i="18"/>
  <c r="K641" i="18"/>
  <c r="I246" i="25"/>
  <c r="K696" i="18"/>
  <c r="K700" i="18"/>
  <c r="I200" i="25"/>
  <c r="I17" i="25"/>
  <c r="J17" i="25" s="1"/>
  <c r="J18" i="25"/>
  <c r="I475" i="25"/>
  <c r="D220" i="25"/>
  <c r="D216" i="25"/>
  <c r="F220" i="25"/>
  <c r="F216" i="25"/>
  <c r="H220" i="25"/>
  <c r="H216" i="25"/>
  <c r="I220" i="25"/>
  <c r="I216" i="25"/>
  <c r="L72" i="18"/>
  <c r="I224" i="25"/>
  <c r="L71" i="18"/>
  <c r="I223" i="25"/>
  <c r="L73" i="18"/>
  <c r="I225" i="25"/>
  <c r="E367" i="25"/>
  <c r="F891" i="18"/>
  <c r="F906" i="18" s="1"/>
  <c r="F921" i="18" s="1"/>
  <c r="F936" i="18" s="1"/>
  <c r="F951" i="18" s="1"/>
  <c r="E390" i="25"/>
  <c r="F674" i="18"/>
  <c r="I152" i="25"/>
  <c r="I153" i="25" s="1"/>
  <c r="I154" i="25" s="1"/>
  <c r="D12" i="25"/>
  <c r="K246" i="25"/>
  <c r="H858" i="18"/>
  <c r="G32" i="25" s="1"/>
  <c r="F32" i="25"/>
  <c r="K1116" i="18"/>
  <c r="K1120" i="18"/>
  <c r="D215" i="25"/>
  <c r="D219" i="25"/>
  <c r="F215" i="25"/>
  <c r="G215" i="25" s="1"/>
  <c r="F219" i="25"/>
  <c r="H215" i="25"/>
  <c r="H219" i="25"/>
  <c r="I215" i="25"/>
  <c r="I219" i="25"/>
  <c r="D224" i="25"/>
  <c r="D223" i="25"/>
  <c r="D225" i="25"/>
  <c r="E177" i="25"/>
  <c r="F775" i="18"/>
  <c r="F790" i="18" s="1"/>
  <c r="F805" i="18" s="1"/>
  <c r="F877" i="18"/>
  <c r="E36" i="25"/>
  <c r="E256" i="25"/>
  <c r="F705" i="18"/>
  <c r="F720" i="18" s="1"/>
  <c r="F735" i="18" s="1"/>
  <c r="E110" i="25"/>
  <c r="F1008" i="18"/>
  <c r="F1023" i="18" s="1"/>
  <c r="E261" i="25"/>
  <c r="F965" i="18"/>
  <c r="F980" i="18" s="1"/>
  <c r="K739" i="18"/>
  <c r="K743" i="18"/>
  <c r="K747" i="18"/>
  <c r="K771" i="18"/>
  <c r="K775" i="18"/>
  <c r="K785" i="18"/>
  <c r="K789" i="18"/>
  <c r="K791" i="18"/>
  <c r="K813" i="18"/>
  <c r="K817" i="18"/>
  <c r="H424" i="18"/>
  <c r="H425" i="18" s="1"/>
  <c r="H426" i="18" s="1"/>
  <c r="H427" i="18" s="1"/>
  <c r="H428" i="18" s="1"/>
  <c r="H429" i="18" s="1"/>
  <c r="H430" i="18" s="1"/>
  <c r="H431" i="18" s="1"/>
  <c r="H432" i="18" s="1"/>
  <c r="H433" i="18" s="1"/>
  <c r="H434" i="18" s="1"/>
  <c r="H435" i="18" s="1"/>
  <c r="H436" i="18" s="1"/>
  <c r="H109" i="18"/>
  <c r="H110" i="18" s="1"/>
  <c r="H111" i="18" s="1"/>
  <c r="H112" i="18" s="1"/>
  <c r="H113" i="18" s="1"/>
  <c r="H114" i="18" s="1"/>
  <c r="H115" i="18" s="1"/>
  <c r="H116" i="18" s="1"/>
  <c r="H117" i="18" s="1"/>
  <c r="H118" i="18" s="1"/>
  <c r="H169" i="18"/>
  <c r="H170" i="18" s="1"/>
  <c r="H171" i="18" s="1"/>
  <c r="H172" i="18" s="1"/>
  <c r="H173" i="18" s="1"/>
  <c r="H174" i="18" s="1"/>
  <c r="H175" i="18" s="1"/>
  <c r="H176" i="18" s="1"/>
  <c r="H177" i="18" s="1"/>
  <c r="H178" i="18" s="1"/>
  <c r="H179" i="18" s="1"/>
  <c r="H180" i="18" s="1"/>
  <c r="H181" i="18" s="1"/>
  <c r="H274" i="18"/>
  <c r="H275" i="18" s="1"/>
  <c r="H276" i="18" s="1"/>
  <c r="H277" i="18" s="1"/>
  <c r="H278" i="18" s="1"/>
  <c r="H279" i="18" s="1"/>
  <c r="H280" i="18" s="1"/>
  <c r="H281" i="18" s="1"/>
  <c r="H282" i="18" s="1"/>
  <c r="H283" i="18" s="1"/>
  <c r="H284" i="18" s="1"/>
  <c r="H285" i="18" s="1"/>
  <c r="H286" i="18" s="1"/>
  <c r="H289" i="18"/>
  <c r="H290" i="18" s="1"/>
  <c r="H291" i="18" s="1"/>
  <c r="H292" i="18" s="1"/>
  <c r="H293" i="18" s="1"/>
  <c r="H294" i="18" s="1"/>
  <c r="H295" i="18" s="1"/>
  <c r="H296" i="18" s="1"/>
  <c r="H297" i="18" s="1"/>
  <c r="H298" i="18" s="1"/>
  <c r="H299" i="18" s="1"/>
  <c r="H300" i="18" s="1"/>
  <c r="H301" i="18" s="1"/>
  <c r="K21" i="18"/>
  <c r="K25" i="18"/>
  <c r="H34" i="18"/>
  <c r="H35" i="18" s="1"/>
  <c r="H36" i="18" s="1"/>
  <c r="H37" i="18" s="1"/>
  <c r="H38" i="18" s="1"/>
  <c r="H39" i="18" s="1"/>
  <c r="H40" i="18" s="1"/>
  <c r="H41" i="18" s="1"/>
  <c r="H42" i="18" s="1"/>
  <c r="H43" i="18" s="1"/>
  <c r="H44" i="18" s="1"/>
  <c r="H45" i="18" s="1"/>
  <c r="H46" i="18" s="1"/>
  <c r="K36" i="18"/>
  <c r="K40" i="18"/>
  <c r="K109" i="18"/>
  <c r="K113" i="18"/>
  <c r="K138" i="18"/>
  <c r="K142" i="18"/>
  <c r="K155" i="18"/>
  <c r="K159" i="18"/>
  <c r="K161" i="18"/>
  <c r="K169" i="18"/>
  <c r="K173" i="18"/>
  <c r="K177" i="18"/>
  <c r="K183" i="18"/>
  <c r="K187" i="18"/>
  <c r="K193" i="18"/>
  <c r="K194" i="18"/>
  <c r="K201" i="18"/>
  <c r="K205" i="18"/>
  <c r="K274" i="18"/>
  <c r="K278" i="18"/>
  <c r="K289" i="18"/>
  <c r="H829" i="18"/>
  <c r="H830" i="18" s="1"/>
  <c r="H831" i="18" s="1"/>
  <c r="H832" i="18" s="1"/>
  <c r="H833" i="18" s="1"/>
  <c r="H834" i="18" s="1"/>
  <c r="H835" i="18" s="1"/>
  <c r="H836" i="18" s="1"/>
  <c r="H919" i="18"/>
  <c r="H920" i="18" s="1"/>
  <c r="H921" i="18" s="1"/>
  <c r="H922" i="18" s="1"/>
  <c r="H923" i="18" s="1"/>
  <c r="H924" i="18" s="1"/>
  <c r="H925" i="18" s="1"/>
  <c r="H926" i="18" s="1"/>
  <c r="H927" i="18" s="1"/>
  <c r="H928" i="18" s="1"/>
  <c r="H929" i="18" s="1"/>
  <c r="H930" i="18" s="1"/>
  <c r="H931" i="18" s="1"/>
  <c r="H814" i="18"/>
  <c r="H815" i="18" s="1"/>
  <c r="H816" i="18" s="1"/>
  <c r="H817" i="18" s="1"/>
  <c r="H818" i="18" s="1"/>
  <c r="H819" i="18" s="1"/>
  <c r="H820" i="18" s="1"/>
  <c r="H821" i="18" s="1"/>
  <c r="H822" i="18" s="1"/>
  <c r="H823" i="18" s="1"/>
  <c r="H824" i="18" s="1"/>
  <c r="H825" i="18" s="1"/>
  <c r="H826" i="18" s="1"/>
  <c r="K829" i="18"/>
  <c r="K833" i="18"/>
  <c r="K859" i="18"/>
  <c r="J33" i="25" s="1"/>
  <c r="K863" i="18"/>
  <c r="J37" i="25" s="1"/>
  <c r="K891" i="18"/>
  <c r="K895" i="18"/>
  <c r="H904" i="18"/>
  <c r="H905" i="18" s="1"/>
  <c r="H906" i="18" s="1"/>
  <c r="H907" i="18" s="1"/>
  <c r="H908" i="18" s="1"/>
  <c r="H909" i="18" s="1"/>
  <c r="H910" i="18" s="1"/>
  <c r="H911" i="18" s="1"/>
  <c r="H912" i="18" s="1"/>
  <c r="H913" i="18" s="1"/>
  <c r="H914" i="18" s="1"/>
  <c r="H915" i="18" s="1"/>
  <c r="H916" i="18" s="1"/>
  <c r="K905" i="18"/>
  <c r="K909" i="18"/>
  <c r="K919" i="18"/>
  <c r="K923" i="18"/>
  <c r="K933" i="18"/>
  <c r="K937" i="18"/>
  <c r="K963" i="18"/>
  <c r="K967" i="18"/>
  <c r="H1009" i="18"/>
  <c r="H1010" i="18" s="1"/>
  <c r="H1011" i="18" s="1"/>
  <c r="H1012" i="18" s="1"/>
  <c r="H1013" i="18" s="1"/>
  <c r="H1014" i="18" s="1"/>
  <c r="H1015" i="18" s="1"/>
  <c r="H1016" i="18" s="1"/>
  <c r="H1017" i="18" s="1"/>
  <c r="H1018" i="18" s="1"/>
  <c r="H1019" i="18" s="1"/>
  <c r="H1020" i="18" s="1"/>
  <c r="H1021" i="18" s="1"/>
  <c r="K1010" i="18"/>
  <c r="K1014" i="18"/>
  <c r="K1056" i="18"/>
  <c r="K1060" i="18"/>
  <c r="H1069" i="18"/>
  <c r="H1070" i="18" s="1"/>
  <c r="H1071" i="18" s="1"/>
  <c r="H1072" i="18" s="1"/>
  <c r="H1073" i="18" s="1"/>
  <c r="H1074" i="18" s="1"/>
  <c r="H1075" i="18" s="1"/>
  <c r="H1076" i="18" s="1"/>
  <c r="H1077" i="18" s="1"/>
  <c r="H1078" i="18" s="1"/>
  <c r="H1079" i="18" s="1"/>
  <c r="H1080" i="18" s="1"/>
  <c r="H1081" i="18" s="1"/>
  <c r="K1070" i="18"/>
  <c r="K1074" i="18"/>
  <c r="K293" i="18"/>
  <c r="K297" i="18"/>
  <c r="K335" i="18"/>
  <c r="K339" i="18"/>
  <c r="K363" i="18"/>
  <c r="K367" i="18"/>
  <c r="K373" i="18"/>
  <c r="K374" i="18"/>
  <c r="K425" i="18"/>
  <c r="K429" i="18"/>
  <c r="K439" i="18"/>
  <c r="J60" i="25" s="1"/>
  <c r="K443" i="18"/>
  <c r="J64" i="25" s="1"/>
  <c r="K447" i="18"/>
  <c r="J68" i="25" s="1"/>
  <c r="K453" i="18"/>
  <c r="K457" i="18"/>
  <c r="K463" i="18"/>
  <c r="K464" i="18"/>
  <c r="K471" i="18"/>
  <c r="K475" i="18"/>
  <c r="K485" i="18"/>
  <c r="J100" i="25" s="1"/>
  <c r="K489" i="18"/>
  <c r="J104" i="25" s="1"/>
  <c r="K491" i="18"/>
  <c r="J106" i="25" s="1"/>
  <c r="K494" i="18"/>
  <c r="J109" i="25" s="1"/>
  <c r="H529" i="18"/>
  <c r="H530" i="18" s="1"/>
  <c r="H531" i="18" s="1"/>
  <c r="H532" i="18" s="1"/>
  <c r="H533" i="18" s="1"/>
  <c r="H534" i="18" s="1"/>
  <c r="H535" i="18" s="1"/>
  <c r="H1175" i="18" s="1"/>
  <c r="K529" i="18"/>
  <c r="K531" i="18"/>
  <c r="K533" i="18"/>
  <c r="K535" i="18"/>
  <c r="K537" i="18"/>
  <c r="K543" i="18"/>
  <c r="K547" i="18"/>
  <c r="K553" i="18"/>
  <c r="K554" i="18"/>
  <c r="K588" i="18"/>
  <c r="K592" i="18"/>
  <c r="K598" i="18"/>
  <c r="K599" i="18"/>
  <c r="K606" i="18"/>
  <c r="K610" i="18"/>
  <c r="K636" i="18"/>
  <c r="K640" i="18"/>
  <c r="K693" i="18"/>
  <c r="K697" i="18"/>
  <c r="K703" i="18"/>
  <c r="K704" i="18"/>
  <c r="K740" i="18"/>
  <c r="K744" i="18"/>
  <c r="K746" i="18"/>
  <c r="K768" i="18"/>
  <c r="K772" i="18"/>
  <c r="K778" i="18"/>
  <c r="K779" i="18"/>
  <c r="K786" i="18"/>
  <c r="K790" i="18"/>
  <c r="K814" i="18"/>
  <c r="K818" i="18"/>
  <c r="K822" i="18"/>
  <c r="K828" i="18"/>
  <c r="K832" i="18"/>
  <c r="K858" i="18"/>
  <c r="J32" i="25" s="1"/>
  <c r="K862" i="18"/>
  <c r="J36" i="25" s="1"/>
  <c r="K868" i="18"/>
  <c r="J42" i="25" s="1"/>
  <c r="K869" i="18"/>
  <c r="J43" i="25" s="1"/>
  <c r="K896" i="18"/>
  <c r="K904" i="18"/>
  <c r="K908" i="18"/>
  <c r="K912" i="18"/>
  <c r="K918" i="18"/>
  <c r="K922" i="18"/>
  <c r="K928" i="18"/>
  <c r="K929" i="18"/>
  <c r="K936" i="18"/>
  <c r="K940" i="18"/>
  <c r="K966" i="18"/>
  <c r="K970" i="18"/>
  <c r="K1009" i="18"/>
  <c r="K1013" i="18"/>
  <c r="K1017" i="18"/>
  <c r="K1069" i="18"/>
  <c r="K1073" i="18"/>
  <c r="K1077" i="18"/>
  <c r="K50" i="18"/>
  <c r="J321" i="25" s="1"/>
  <c r="K54" i="18"/>
  <c r="J325" i="25" s="1"/>
  <c r="H123" i="18"/>
  <c r="G394" i="25" s="1"/>
  <c r="H243" i="18"/>
  <c r="K245" i="18"/>
  <c r="K260" i="18"/>
  <c r="J142" i="25" s="1"/>
  <c r="K307" i="18"/>
  <c r="J413" i="25" s="1"/>
  <c r="K325" i="18"/>
  <c r="J506" i="25" s="1"/>
  <c r="K395" i="18"/>
  <c r="K411" i="18"/>
  <c r="J487" i="25" s="1"/>
  <c r="K525" i="18"/>
  <c r="J56" i="25" s="1"/>
  <c r="H228" i="18"/>
  <c r="K244" i="18"/>
  <c r="K248" i="18"/>
  <c r="K259" i="18"/>
  <c r="J141" i="25" s="1"/>
  <c r="K306" i="18"/>
  <c r="J412" i="25" s="1"/>
  <c r="K310" i="18"/>
  <c r="J416" i="25" s="1"/>
  <c r="H318" i="18"/>
  <c r="G499" i="25" s="1"/>
  <c r="K320" i="18"/>
  <c r="J501" i="25" s="1"/>
  <c r="K324" i="18"/>
  <c r="J505" i="25" s="1"/>
  <c r="K348" i="18"/>
  <c r="J274" i="25" s="1"/>
  <c r="K352" i="18"/>
  <c r="J278" i="25" s="1"/>
  <c r="K360" i="18"/>
  <c r="J286" i="25" s="1"/>
  <c r="H469" i="18"/>
  <c r="H470" i="18" s="1"/>
  <c r="H471" i="18" s="1"/>
  <c r="H472" i="18" s="1"/>
  <c r="H473" i="18" s="1"/>
  <c r="H474" i="18" s="1"/>
  <c r="H475" i="18" s="1"/>
  <c r="H476" i="18" s="1"/>
  <c r="H477" i="18" s="1"/>
  <c r="H478" i="18" s="1"/>
  <c r="H479" i="18" s="1"/>
  <c r="H480" i="18" s="1"/>
  <c r="H481" i="18" s="1"/>
  <c r="K516" i="18"/>
  <c r="J47" i="25" s="1"/>
  <c r="K560" i="18"/>
  <c r="J426" i="25" s="1"/>
  <c r="K585" i="18"/>
  <c r="J137" i="25" s="1"/>
  <c r="H604" i="18"/>
  <c r="H605" i="18" s="1"/>
  <c r="H606" i="18" s="1"/>
  <c r="H607" i="18" s="1"/>
  <c r="H608" i="18" s="1"/>
  <c r="H609" i="18" s="1"/>
  <c r="H610" i="18" s="1"/>
  <c r="H611" i="18" s="1"/>
  <c r="H612" i="18" s="1"/>
  <c r="H613" i="18" s="1"/>
  <c r="H614" i="18" s="1"/>
  <c r="H615" i="18" s="1"/>
  <c r="H616" i="18" s="1"/>
  <c r="K621" i="18"/>
  <c r="J86" i="25" s="1"/>
  <c r="H634" i="18"/>
  <c r="H635" i="18" s="1"/>
  <c r="H636" i="18" s="1"/>
  <c r="H637" i="18" s="1"/>
  <c r="H638" i="18" s="1"/>
  <c r="H639" i="18" s="1"/>
  <c r="H640" i="18" s="1"/>
  <c r="H641" i="18" s="1"/>
  <c r="H642" i="18" s="1"/>
  <c r="H643" i="18" s="1"/>
  <c r="H644" i="18" s="1"/>
  <c r="H645" i="18" s="1"/>
  <c r="H663" i="18"/>
  <c r="K665" i="18"/>
  <c r="K690" i="18"/>
  <c r="J256" i="25" s="1"/>
  <c r="K78" i="18"/>
  <c r="J304" i="25" s="1"/>
  <c r="K90" i="18"/>
  <c r="J316" i="25" s="1"/>
  <c r="K100" i="18"/>
  <c r="J162" i="25" s="1"/>
  <c r="K129" i="18"/>
  <c r="J400" i="25" s="1"/>
  <c r="H258" i="18"/>
  <c r="G140" i="25" s="1"/>
  <c r="K264" i="18"/>
  <c r="J146" i="25" s="1"/>
  <c r="K303" i="18"/>
  <c r="J409" i="25" s="1"/>
  <c r="K321" i="18"/>
  <c r="J502" i="25" s="1"/>
  <c r="K381" i="18"/>
  <c r="J233" i="25" s="1"/>
  <c r="K385" i="18"/>
  <c r="J237" i="25" s="1"/>
  <c r="H393" i="18"/>
  <c r="H394" i="18" s="1"/>
  <c r="H395" i="18" s="1"/>
  <c r="H396" i="18" s="1"/>
  <c r="H397" i="18" s="1"/>
  <c r="H398" i="18" s="1"/>
  <c r="H399" i="18" s="1"/>
  <c r="H400" i="18" s="1"/>
  <c r="H401" i="18" s="1"/>
  <c r="H402" i="18" s="1"/>
  <c r="H403" i="18" s="1"/>
  <c r="K399" i="18"/>
  <c r="K561" i="18"/>
  <c r="J427" i="25" s="1"/>
  <c r="K565" i="18"/>
  <c r="J431" i="25" s="1"/>
  <c r="H573" i="18"/>
  <c r="G125" i="25" s="1"/>
  <c r="K579" i="18"/>
  <c r="J131" i="25" s="1"/>
  <c r="K618" i="18"/>
  <c r="J83" i="25" s="1"/>
  <c r="K622" i="18"/>
  <c r="J87" i="25" s="1"/>
  <c r="K630" i="18"/>
  <c r="J95" i="25" s="1"/>
  <c r="H648" i="18"/>
  <c r="G379" i="25" s="1"/>
  <c r="K660" i="18"/>
  <c r="K666" i="18"/>
  <c r="J352" i="25" s="1"/>
  <c r="H678" i="18"/>
  <c r="G244" i="25" s="1"/>
  <c r="K683" i="18"/>
  <c r="J249" i="25" s="1"/>
  <c r="K754" i="18"/>
  <c r="J171" i="25" s="1"/>
  <c r="H798" i="18"/>
  <c r="G200" i="25" s="1"/>
  <c r="K800" i="18"/>
  <c r="J202" i="25" s="1"/>
  <c r="K804" i="18"/>
  <c r="J206" i="25" s="1"/>
  <c r="K53" i="18"/>
  <c r="J324" i="25" s="1"/>
  <c r="K81" i="18"/>
  <c r="J307" i="25" s="1"/>
  <c r="H93" i="18"/>
  <c r="G155" i="25" s="1"/>
  <c r="K95" i="18"/>
  <c r="J157" i="25" s="1"/>
  <c r="K99" i="18"/>
  <c r="J161" i="25" s="1"/>
  <c r="K124" i="18"/>
  <c r="J395" i="25" s="1"/>
  <c r="K128" i="18"/>
  <c r="J399" i="25" s="1"/>
  <c r="K135" i="18"/>
  <c r="J406" i="25" s="1"/>
  <c r="H199" i="18"/>
  <c r="H200" i="18" s="1"/>
  <c r="H201" i="18" s="1"/>
  <c r="H202" i="18" s="1"/>
  <c r="H203" i="18" s="1"/>
  <c r="H204" i="18" s="1"/>
  <c r="H205" i="18" s="1"/>
  <c r="H206" i="18" s="1"/>
  <c r="H207" i="18" s="1"/>
  <c r="H208" i="18" s="1"/>
  <c r="H209" i="18" s="1"/>
  <c r="H210" i="18" s="1"/>
  <c r="H211" i="18" s="1"/>
  <c r="K263" i="18"/>
  <c r="J145" i="25" s="1"/>
  <c r="H378" i="18"/>
  <c r="G230" i="25" s="1"/>
  <c r="K380" i="18"/>
  <c r="J232" i="25" s="1"/>
  <c r="K384" i="18"/>
  <c r="J236" i="25" s="1"/>
  <c r="K394" i="18"/>
  <c r="J3" i="25" s="1"/>
  <c r="K3" i="25" s="1"/>
  <c r="K398" i="18"/>
  <c r="H408" i="18"/>
  <c r="G484" i="25" s="1"/>
  <c r="K410" i="18"/>
  <c r="J486" i="25" s="1"/>
  <c r="K414" i="18"/>
  <c r="J490" i="25" s="1"/>
  <c r="K510" i="18"/>
  <c r="J14" i="25" s="1"/>
  <c r="K14" i="25" s="1"/>
  <c r="K520" i="18"/>
  <c r="J51" i="25" s="1"/>
  <c r="H558" i="18"/>
  <c r="G424" i="25" s="1"/>
  <c r="K564" i="18"/>
  <c r="J430" i="25" s="1"/>
  <c r="K574" i="18"/>
  <c r="J126" i="25" s="1"/>
  <c r="K578" i="18"/>
  <c r="J130" i="25" s="1"/>
  <c r="K625" i="18"/>
  <c r="J90" i="25" s="1"/>
  <c r="K649" i="18"/>
  <c r="J380" i="25" s="1"/>
  <c r="K653" i="18"/>
  <c r="J384" i="25" s="1"/>
  <c r="K669" i="18"/>
  <c r="K679" i="18"/>
  <c r="J245" i="25" s="1"/>
  <c r="K682" i="18"/>
  <c r="J248" i="25" s="1"/>
  <c r="H723" i="18"/>
  <c r="G439" i="25" s="1"/>
  <c r="K725" i="18"/>
  <c r="J441" i="25" s="1"/>
  <c r="K729" i="18"/>
  <c r="J445" i="25" s="1"/>
  <c r="K19" i="18"/>
  <c r="K23" i="18"/>
  <c r="K34" i="18"/>
  <c r="K38" i="18"/>
  <c r="K48" i="18"/>
  <c r="J319" i="25" s="1"/>
  <c r="K52" i="18"/>
  <c r="J323" i="25" s="1"/>
  <c r="H78" i="18"/>
  <c r="G304" i="25" s="1"/>
  <c r="K80" i="18"/>
  <c r="J306" i="25" s="1"/>
  <c r="K84" i="18"/>
  <c r="J310" i="25" s="1"/>
  <c r="K94" i="18"/>
  <c r="J156" i="25" s="1"/>
  <c r="K98" i="18"/>
  <c r="J160" i="25" s="1"/>
  <c r="K105" i="18"/>
  <c r="J167" i="25" s="1"/>
  <c r="K111" i="18"/>
  <c r="K15" i="18"/>
  <c r="J514" i="25" s="1"/>
  <c r="H48" i="18"/>
  <c r="G319" i="25" s="1"/>
  <c r="K82" i="18"/>
  <c r="J308" i="25" s="1"/>
  <c r="K96" i="18"/>
  <c r="J158" i="25" s="1"/>
  <c r="K125" i="18"/>
  <c r="J396" i="25" s="1"/>
  <c r="K249" i="18"/>
  <c r="K315" i="18"/>
  <c r="J421" i="25" s="1"/>
  <c r="K349" i="18"/>
  <c r="J275" i="25" s="1"/>
  <c r="K353" i="18"/>
  <c r="J279" i="25" s="1"/>
  <c r="K415" i="18"/>
  <c r="J491" i="25" s="1"/>
  <c r="K513" i="18"/>
  <c r="J44" i="25" s="1"/>
  <c r="K517" i="18"/>
  <c r="J48" i="25" s="1"/>
  <c r="K575" i="18"/>
  <c r="J127" i="25" s="1"/>
  <c r="K650" i="18"/>
  <c r="J381" i="25" s="1"/>
  <c r="K654" i="18"/>
  <c r="J385" i="25" s="1"/>
  <c r="K670" i="18"/>
  <c r="K726" i="18"/>
  <c r="J442" i="25" s="1"/>
  <c r="K730" i="18"/>
  <c r="J446" i="25" s="1"/>
  <c r="K758" i="18"/>
  <c r="J175" i="25" s="1"/>
  <c r="H19" i="18"/>
  <c r="H20" i="18" s="1"/>
  <c r="H21" i="18" s="1"/>
  <c r="H22" i="18" s="1"/>
  <c r="H23" i="18" s="1"/>
  <c r="H24" i="18" s="1"/>
  <c r="H25" i="18" s="1"/>
  <c r="H26" i="18" s="1"/>
  <c r="H27" i="18" s="1"/>
  <c r="H28" i="18" s="1"/>
  <c r="H29" i="18" s="1"/>
  <c r="H30" i="18" s="1"/>
  <c r="H31" i="18" s="1"/>
  <c r="K49" i="18"/>
  <c r="J320" i="25" s="1"/>
  <c r="K60" i="18"/>
  <c r="J331" i="25" s="1"/>
  <c r="K85" i="18"/>
  <c r="J311" i="25" s="1"/>
  <c r="K18" i="18"/>
  <c r="K22" i="18"/>
  <c r="K33" i="18"/>
  <c r="K37" i="18"/>
  <c r="K51" i="18"/>
  <c r="J322" i="25" s="1"/>
  <c r="K55" i="18"/>
  <c r="J326" i="25" s="1"/>
  <c r="K79" i="18"/>
  <c r="J305" i="25" s="1"/>
  <c r="K83" i="18"/>
  <c r="J309" i="25" s="1"/>
  <c r="K93" i="18"/>
  <c r="J155" i="25" s="1"/>
  <c r="K97" i="18"/>
  <c r="J159" i="25" s="1"/>
  <c r="K110" i="18"/>
  <c r="K114" i="18"/>
  <c r="K126" i="18"/>
  <c r="J397" i="25" s="1"/>
  <c r="K130" i="18"/>
  <c r="J401" i="25" s="1"/>
  <c r="K139" i="18"/>
  <c r="K143" i="18"/>
  <c r="H154" i="18"/>
  <c r="H155" i="18" s="1"/>
  <c r="H156" i="18" s="1"/>
  <c r="H157" i="18" s="1"/>
  <c r="H158" i="18" s="1"/>
  <c r="H159" i="18" s="1"/>
  <c r="H160" i="18" s="1"/>
  <c r="H161" i="18" s="1"/>
  <c r="H162" i="18" s="1"/>
  <c r="H163" i="18" s="1"/>
  <c r="H164" i="18" s="1"/>
  <c r="H165" i="18" s="1"/>
  <c r="H166" i="18" s="1"/>
  <c r="K156" i="18"/>
  <c r="K160" i="18"/>
  <c r="K170" i="18"/>
  <c r="K174" i="18"/>
  <c r="K184" i="18"/>
  <c r="K188" i="18"/>
  <c r="K198" i="18"/>
  <c r="K202" i="18"/>
  <c r="K246" i="18"/>
  <c r="K250" i="18"/>
  <c r="K255" i="18"/>
  <c r="J301" i="25" s="1"/>
  <c r="K301" i="25" s="1"/>
  <c r="K261" i="18"/>
  <c r="J143" i="25" s="1"/>
  <c r="K265" i="18"/>
  <c r="J147" i="25" s="1"/>
  <c r="K275" i="18"/>
  <c r="K279" i="18"/>
  <c r="K290" i="18"/>
  <c r="K294" i="18"/>
  <c r="K304" i="18"/>
  <c r="J410" i="25" s="1"/>
  <c r="K308" i="18"/>
  <c r="J414" i="25" s="1"/>
  <c r="K318" i="18"/>
  <c r="J499" i="25" s="1"/>
  <c r="K322" i="18"/>
  <c r="J503" i="25" s="1"/>
  <c r="K330" i="18"/>
  <c r="J511" i="25" s="1"/>
  <c r="K336" i="18"/>
  <c r="K340" i="18"/>
  <c r="H348" i="18"/>
  <c r="G274" i="25" s="1"/>
  <c r="K350" i="18"/>
  <c r="J276" i="25" s="1"/>
  <c r="K354" i="18"/>
  <c r="J280" i="25" s="1"/>
  <c r="K364" i="18"/>
  <c r="K368" i="18"/>
  <c r="K378" i="18"/>
  <c r="J230" i="25" s="1"/>
  <c r="K382" i="18"/>
  <c r="J234" i="25" s="1"/>
  <c r="K390" i="18"/>
  <c r="J242" i="25" s="1"/>
  <c r="K396" i="18"/>
  <c r="K400" i="18"/>
  <c r="K408" i="18"/>
  <c r="J484" i="25" s="1"/>
  <c r="K412" i="18"/>
  <c r="J488" i="25" s="1"/>
  <c r="K420" i="18"/>
  <c r="J496" i="25" s="1"/>
  <c r="K426" i="18"/>
  <c r="K430" i="18"/>
  <c r="K440" i="18"/>
  <c r="J61" i="25" s="1"/>
  <c r="K444" i="18"/>
  <c r="J65" i="25" s="1"/>
  <c r="K454" i="18"/>
  <c r="K458" i="18"/>
  <c r="K468" i="18"/>
  <c r="K472" i="18"/>
  <c r="K486" i="18"/>
  <c r="J101" i="25" s="1"/>
  <c r="K490" i="18"/>
  <c r="J105" i="25" s="1"/>
  <c r="K514" i="18"/>
  <c r="J45" i="25" s="1"/>
  <c r="K518" i="18"/>
  <c r="J49" i="25" s="1"/>
  <c r="K544" i="18"/>
  <c r="K548" i="18"/>
  <c r="K558" i="18"/>
  <c r="J424" i="25" s="1"/>
  <c r="K562" i="18"/>
  <c r="J428" i="25" s="1"/>
  <c r="K844" i="18"/>
  <c r="J335" i="25" s="1"/>
  <c r="K848" i="18"/>
  <c r="J339" i="25" s="1"/>
  <c r="K876" i="18"/>
  <c r="J367" i="25" s="1"/>
  <c r="K880" i="18"/>
  <c r="J371" i="25" s="1"/>
  <c r="H889" i="18"/>
  <c r="H890" i="18" s="1"/>
  <c r="H891" i="18" s="1"/>
  <c r="H892" i="18" s="1"/>
  <c r="H893" i="18" s="1"/>
  <c r="H894" i="18" s="1"/>
  <c r="H895" i="18" s="1"/>
  <c r="H896" i="18" s="1"/>
  <c r="H897" i="18" s="1"/>
  <c r="H898" i="18" s="1"/>
  <c r="H899" i="18" s="1"/>
  <c r="H900" i="18" s="1"/>
  <c r="H901" i="18" s="1"/>
  <c r="K890" i="18"/>
  <c r="K894" i="18"/>
  <c r="H948" i="18"/>
  <c r="K950" i="18"/>
  <c r="K954" i="18"/>
  <c r="K960" i="18"/>
  <c r="H978" i="18"/>
  <c r="G17" i="25" s="1"/>
  <c r="K983" i="18"/>
  <c r="J22" i="25" s="1"/>
  <c r="H993" i="18"/>
  <c r="K995" i="18"/>
  <c r="K999" i="18"/>
  <c r="K1023" i="18"/>
  <c r="J185" i="25" s="1"/>
  <c r="K1027" i="18"/>
  <c r="J189" i="25" s="1"/>
  <c r="K1035" i="18"/>
  <c r="J197" i="25" s="1"/>
  <c r="K1041" i="18"/>
  <c r="J472" i="25" s="1"/>
  <c r="K1045" i="18"/>
  <c r="J476" i="25" s="1"/>
  <c r="H1054" i="18"/>
  <c r="H1055" i="18" s="1"/>
  <c r="H1056" i="18" s="1"/>
  <c r="H1057" i="18" s="1"/>
  <c r="H1058" i="18" s="1"/>
  <c r="H1059" i="18" s="1"/>
  <c r="H1060" i="18" s="1"/>
  <c r="H1061" i="18" s="1"/>
  <c r="H1062" i="18" s="1"/>
  <c r="H1063" i="18" s="1"/>
  <c r="H1064" i="18" s="1"/>
  <c r="H1065" i="18" s="1"/>
  <c r="H1066" i="18" s="1"/>
  <c r="K1055" i="18"/>
  <c r="K1059" i="18"/>
  <c r="K1083" i="18"/>
  <c r="J454" i="25" s="1"/>
  <c r="K1087" i="18"/>
  <c r="J458" i="25" s="1"/>
  <c r="K1095" i="18"/>
  <c r="J466" i="25" s="1"/>
  <c r="K1101" i="18"/>
  <c r="K1105" i="18"/>
  <c r="H1114" i="18"/>
  <c r="H1115" i="18" s="1"/>
  <c r="H1116" i="18" s="1"/>
  <c r="H1117" i="18" s="1"/>
  <c r="H1118" i="18" s="1"/>
  <c r="H1119" i="18" s="1"/>
  <c r="H1120" i="18" s="1"/>
  <c r="H1121" i="18" s="1"/>
  <c r="H1122" i="18" s="1"/>
  <c r="H1123" i="18" s="1"/>
  <c r="K1115" i="18"/>
  <c r="K1119" i="18"/>
  <c r="K539" i="18"/>
  <c r="K69" i="18"/>
  <c r="K65" i="18"/>
  <c r="K753" i="18"/>
  <c r="J170" i="25" s="1"/>
  <c r="K757" i="18"/>
  <c r="J174" i="25" s="1"/>
  <c r="K765" i="18"/>
  <c r="J182" i="25" s="1"/>
  <c r="H784" i="18"/>
  <c r="H785" i="18" s="1"/>
  <c r="H786" i="18" s="1"/>
  <c r="H787" i="18" s="1"/>
  <c r="H788" i="18" s="1"/>
  <c r="H789" i="18" s="1"/>
  <c r="H790" i="18" s="1"/>
  <c r="H791" i="18" s="1"/>
  <c r="H792" i="18" s="1"/>
  <c r="H793" i="18" s="1"/>
  <c r="H794" i="18" s="1"/>
  <c r="H795" i="18" s="1"/>
  <c r="H796" i="18" s="1"/>
  <c r="K799" i="18"/>
  <c r="J201" i="25" s="1"/>
  <c r="K803" i="18"/>
  <c r="J205" i="25" s="1"/>
  <c r="K823" i="18"/>
  <c r="K824" i="18"/>
  <c r="K831" i="18"/>
  <c r="K835" i="18"/>
  <c r="K843" i="18"/>
  <c r="J334" i="25" s="1"/>
  <c r="K847" i="18"/>
  <c r="J338" i="25" s="1"/>
  <c r="K855" i="18"/>
  <c r="J346" i="25" s="1"/>
  <c r="K861" i="18"/>
  <c r="J35" i="25" s="1"/>
  <c r="K865" i="18"/>
  <c r="J39" i="25" s="1"/>
  <c r="H873" i="18"/>
  <c r="G364" i="25" s="1"/>
  <c r="K875" i="18"/>
  <c r="J366" i="25" s="1"/>
  <c r="K879" i="18"/>
  <c r="J370" i="25" s="1"/>
  <c r="K889" i="18"/>
  <c r="K893" i="18"/>
  <c r="K897" i="18"/>
  <c r="K903" i="18"/>
  <c r="K907" i="18"/>
  <c r="K913" i="18"/>
  <c r="K914" i="18"/>
  <c r="K921" i="18"/>
  <c r="K925" i="18"/>
  <c r="H934" i="18"/>
  <c r="H935" i="18" s="1"/>
  <c r="H936" i="18" s="1"/>
  <c r="H937" i="18" s="1"/>
  <c r="H938" i="18" s="1"/>
  <c r="H939" i="18" s="1"/>
  <c r="H940" i="18" s="1"/>
  <c r="H941" i="18" s="1"/>
  <c r="H942" i="18" s="1"/>
  <c r="H943" i="18" s="1"/>
  <c r="H944" i="18" s="1"/>
  <c r="H945" i="18" s="1"/>
  <c r="K935" i="18"/>
  <c r="K939" i="18"/>
  <c r="K941" i="18"/>
  <c r="K949" i="18"/>
  <c r="K953" i="18"/>
  <c r="H964" i="18"/>
  <c r="H965" i="18" s="1"/>
  <c r="H966" i="18" s="1"/>
  <c r="H967" i="18" s="1"/>
  <c r="H968" i="18" s="1"/>
  <c r="H969" i="18" s="1"/>
  <c r="H970" i="18" s="1"/>
  <c r="H971" i="18" s="1"/>
  <c r="H972" i="18" s="1"/>
  <c r="H973" i="18" s="1"/>
  <c r="H974" i="18" s="1"/>
  <c r="H975" i="18" s="1"/>
  <c r="H976" i="18" s="1"/>
  <c r="K965" i="18"/>
  <c r="K969" i="18"/>
  <c r="K971" i="18"/>
  <c r="K982" i="18"/>
  <c r="J21" i="25" s="1"/>
  <c r="K994" i="18"/>
  <c r="K998" i="18"/>
  <c r="K1008" i="18"/>
  <c r="K1012" i="18"/>
  <c r="K1018" i="18"/>
  <c r="K1019" i="18"/>
  <c r="K1026" i="18"/>
  <c r="J188" i="25" s="1"/>
  <c r="K1030" i="18"/>
  <c r="J192" i="25" s="1"/>
  <c r="H1038" i="18"/>
  <c r="G469" i="25" s="1"/>
  <c r="K1040" i="18"/>
  <c r="J471" i="25" s="1"/>
  <c r="K1044" i="18"/>
  <c r="K1054" i="18"/>
  <c r="K1058" i="18"/>
  <c r="K1062" i="18"/>
  <c r="K1068" i="18"/>
  <c r="K1072" i="18"/>
  <c r="K1078" i="18"/>
  <c r="K1079" i="18"/>
  <c r="K1086" i="18"/>
  <c r="J457" i="25" s="1"/>
  <c r="K1090" i="18"/>
  <c r="J461" i="25" s="1"/>
  <c r="H1098" i="18"/>
  <c r="K1100" i="18"/>
  <c r="K1104" i="18"/>
  <c r="K68" i="18"/>
  <c r="K64" i="18"/>
  <c r="K115" i="18"/>
  <c r="K123" i="18"/>
  <c r="J394" i="25" s="1"/>
  <c r="K127" i="18"/>
  <c r="J398" i="25" s="1"/>
  <c r="H139" i="18"/>
  <c r="H140" i="18" s="1"/>
  <c r="H141" i="18" s="1"/>
  <c r="H142" i="18" s="1"/>
  <c r="H143" i="18" s="1"/>
  <c r="H144" i="18" s="1"/>
  <c r="H145" i="18" s="1"/>
  <c r="H146" i="18" s="1"/>
  <c r="H147" i="18" s="1"/>
  <c r="H148" i="18" s="1"/>
  <c r="H149" i="18" s="1"/>
  <c r="H150" i="18" s="1"/>
  <c r="H151" i="18" s="1"/>
  <c r="K140" i="18"/>
  <c r="K144" i="18"/>
  <c r="K153" i="18"/>
  <c r="K157" i="18"/>
  <c r="K171" i="18"/>
  <c r="K175" i="18"/>
  <c r="H184" i="18"/>
  <c r="H185" i="18" s="1"/>
  <c r="H186" i="18" s="1"/>
  <c r="H187" i="18" s="1"/>
  <c r="H188" i="18" s="1"/>
  <c r="H189" i="18" s="1"/>
  <c r="H190" i="18" s="1"/>
  <c r="H191" i="18" s="1"/>
  <c r="H192" i="18" s="1"/>
  <c r="H193" i="18" s="1"/>
  <c r="H194" i="18" s="1"/>
  <c r="H195" i="18" s="1"/>
  <c r="H196" i="18" s="1"/>
  <c r="K185" i="18"/>
  <c r="K189" i="18"/>
  <c r="K199" i="18"/>
  <c r="K203" i="18"/>
  <c r="K207" i="18"/>
  <c r="K208" i="18"/>
  <c r="K243" i="18"/>
  <c r="J289" i="25" s="1"/>
  <c r="K289" i="25" s="1"/>
  <c r="K247" i="18"/>
  <c r="J293" i="25" s="1"/>
  <c r="K293" i="25" s="1"/>
  <c r="K258" i="18"/>
  <c r="J140" i="25" s="1"/>
  <c r="K262" i="18"/>
  <c r="J144" i="25" s="1"/>
  <c r="K276" i="18"/>
  <c r="K280" i="18"/>
  <c r="K291" i="18"/>
  <c r="K295" i="18"/>
  <c r="H303" i="18"/>
  <c r="G409" i="25" s="1"/>
  <c r="K305" i="18"/>
  <c r="J411" i="25" s="1"/>
  <c r="K309" i="18"/>
  <c r="J415" i="25" s="1"/>
  <c r="K319" i="18"/>
  <c r="J500" i="25" s="1"/>
  <c r="K323" i="18"/>
  <c r="J504" i="25" s="1"/>
  <c r="K333" i="18"/>
  <c r="K337" i="18"/>
  <c r="K343" i="18"/>
  <c r="K351" i="18"/>
  <c r="J277" i="25" s="1"/>
  <c r="K355" i="18"/>
  <c r="J281" i="25" s="1"/>
  <c r="H364" i="18"/>
  <c r="H365" i="18" s="1"/>
  <c r="H366" i="18" s="1"/>
  <c r="H367" i="18" s="1"/>
  <c r="H368" i="18" s="1"/>
  <c r="H369" i="18" s="1"/>
  <c r="H370" i="18" s="1"/>
  <c r="H371" i="18" s="1"/>
  <c r="H372" i="18" s="1"/>
  <c r="H373" i="18" s="1"/>
  <c r="H374" i="18" s="1"/>
  <c r="H375" i="18" s="1"/>
  <c r="H376" i="18" s="1"/>
  <c r="K365" i="18"/>
  <c r="K369" i="18"/>
  <c r="K379" i="18"/>
  <c r="J231" i="25" s="1"/>
  <c r="K383" i="18"/>
  <c r="J235" i="25" s="1"/>
  <c r="K393" i="18"/>
  <c r="K397" i="18"/>
  <c r="K409" i="18"/>
  <c r="J485" i="25" s="1"/>
  <c r="K413" i="18"/>
  <c r="J489" i="25" s="1"/>
  <c r="K423" i="18"/>
  <c r="K427" i="18"/>
  <c r="K433" i="18"/>
  <c r="K434" i="18"/>
  <c r="K441" i="18"/>
  <c r="J62" i="25" s="1"/>
  <c r="K445" i="18"/>
  <c r="J66" i="25" s="1"/>
  <c r="H454" i="18"/>
  <c r="H455" i="18" s="1"/>
  <c r="H456" i="18" s="1"/>
  <c r="H457" i="18" s="1"/>
  <c r="H458" i="18" s="1"/>
  <c r="H459" i="18" s="1"/>
  <c r="H460" i="18" s="1"/>
  <c r="H461" i="18" s="1"/>
  <c r="H462" i="18" s="1"/>
  <c r="H463" i="18" s="1"/>
  <c r="H464" i="18" s="1"/>
  <c r="H465" i="18" s="1"/>
  <c r="H466" i="18" s="1"/>
  <c r="K455" i="18"/>
  <c r="K459" i="18"/>
  <c r="K461" i="18"/>
  <c r="K469" i="18"/>
  <c r="K473" i="18"/>
  <c r="K477" i="18"/>
  <c r="K483" i="18"/>
  <c r="J98" i="25" s="1"/>
  <c r="K487" i="18"/>
  <c r="J102" i="25" s="1"/>
  <c r="H513" i="18"/>
  <c r="G44" i="25" s="1"/>
  <c r="K515" i="18"/>
  <c r="J46" i="25" s="1"/>
  <c r="K519" i="18"/>
  <c r="J50" i="25" s="1"/>
  <c r="K528" i="18"/>
  <c r="K530" i="18"/>
  <c r="K532" i="18"/>
  <c r="K534" i="18"/>
  <c r="H544" i="18"/>
  <c r="H545" i="18" s="1"/>
  <c r="H546" i="18" s="1"/>
  <c r="H547" i="18" s="1"/>
  <c r="H548" i="18" s="1"/>
  <c r="H549" i="18" s="1"/>
  <c r="H550" i="18" s="1"/>
  <c r="H551" i="18" s="1"/>
  <c r="H552" i="18" s="1"/>
  <c r="H553" i="18" s="1"/>
  <c r="H554" i="18" s="1"/>
  <c r="H555" i="18" s="1"/>
  <c r="H556" i="18" s="1"/>
  <c r="K545" i="18"/>
  <c r="K549" i="18"/>
  <c r="K551" i="18"/>
  <c r="K559" i="18"/>
  <c r="J425" i="25" s="1"/>
  <c r="K563" i="18"/>
  <c r="J429" i="25" s="1"/>
  <c r="K573" i="18"/>
  <c r="J125" i="25" s="1"/>
  <c r="K577" i="18"/>
  <c r="J129" i="25" s="1"/>
  <c r="H589" i="18"/>
  <c r="H590" i="18" s="1"/>
  <c r="H591" i="18" s="1"/>
  <c r="H592" i="18" s="1"/>
  <c r="H593" i="18" s="1"/>
  <c r="H594" i="18" s="1"/>
  <c r="H595" i="18" s="1"/>
  <c r="H596" i="18" s="1"/>
  <c r="H597" i="18" s="1"/>
  <c r="H598" i="18" s="1"/>
  <c r="H599" i="18" s="1"/>
  <c r="H600" i="18" s="1"/>
  <c r="H601" i="18" s="1"/>
  <c r="K590" i="18"/>
  <c r="K594" i="18"/>
  <c r="K596" i="18"/>
  <c r="K604" i="18"/>
  <c r="K608" i="18"/>
  <c r="H618" i="18"/>
  <c r="G83" i="25" s="1"/>
  <c r="K620" i="18"/>
  <c r="J85" i="25" s="1"/>
  <c r="K624" i="18"/>
  <c r="J89" i="25" s="1"/>
  <c r="K634" i="18"/>
  <c r="K638" i="18"/>
  <c r="K642" i="18"/>
  <c r="K648" i="18"/>
  <c r="J379" i="25" s="1"/>
  <c r="K652" i="18"/>
  <c r="J383" i="25" s="1"/>
  <c r="K664" i="18"/>
  <c r="K668" i="18"/>
  <c r="K678" i="18"/>
  <c r="J244" i="25" s="1"/>
  <c r="K681" i="18"/>
  <c r="J247" i="25" s="1"/>
  <c r="K685" i="18"/>
  <c r="J251" i="25" s="1"/>
  <c r="H694" i="18"/>
  <c r="H695" i="18" s="1"/>
  <c r="H696" i="18" s="1"/>
  <c r="H697" i="18" s="1"/>
  <c r="H698" i="18" s="1"/>
  <c r="H699" i="18" s="1"/>
  <c r="H700" i="18" s="1"/>
  <c r="H701" i="18" s="1"/>
  <c r="H702" i="18" s="1"/>
  <c r="H703" i="18" s="1"/>
  <c r="H704" i="18" s="1"/>
  <c r="H705" i="18" s="1"/>
  <c r="H706" i="18" s="1"/>
  <c r="K695" i="18"/>
  <c r="K699" i="18"/>
  <c r="K701" i="18"/>
  <c r="K724" i="18"/>
  <c r="J440" i="25" s="1"/>
  <c r="K728" i="18"/>
  <c r="J444" i="25" s="1"/>
  <c r="K738" i="18"/>
  <c r="K742" i="18"/>
  <c r="K748" i="18"/>
  <c r="K749" i="18"/>
  <c r="K756" i="18"/>
  <c r="J173" i="25" s="1"/>
  <c r="K760" i="18"/>
  <c r="J177" i="25" s="1"/>
  <c r="H769" i="18"/>
  <c r="H770" i="18" s="1"/>
  <c r="H771" i="18" s="1"/>
  <c r="H772" i="18" s="1"/>
  <c r="H773" i="18" s="1"/>
  <c r="H774" i="18" s="1"/>
  <c r="H775" i="18" s="1"/>
  <c r="H776" i="18" s="1"/>
  <c r="H777" i="18" s="1"/>
  <c r="H778" i="18" s="1"/>
  <c r="H779" i="18" s="1"/>
  <c r="H780" i="18" s="1"/>
  <c r="H781" i="18" s="1"/>
  <c r="K770" i="18"/>
  <c r="K774" i="18"/>
  <c r="K776" i="18"/>
  <c r="K784" i="18"/>
  <c r="K788" i="18"/>
  <c r="K792" i="18"/>
  <c r="K798" i="18"/>
  <c r="K802" i="18"/>
  <c r="J204" i="25" s="1"/>
  <c r="K810" i="18"/>
  <c r="J212" i="25" s="1"/>
  <c r="K816" i="18"/>
  <c r="K820" i="18"/>
  <c r="K830" i="18"/>
  <c r="K834" i="18"/>
  <c r="K836" i="18"/>
  <c r="K846" i="18"/>
  <c r="J337" i="25" s="1"/>
  <c r="K850" i="18"/>
  <c r="J341" i="25" s="1"/>
  <c r="K860" i="18"/>
  <c r="J34" i="25" s="1"/>
  <c r="K864" i="18"/>
  <c r="J38" i="25" s="1"/>
  <c r="K866" i="18"/>
  <c r="J40" i="25" s="1"/>
  <c r="K874" i="18"/>
  <c r="J365" i="25" s="1"/>
  <c r="K878" i="18"/>
  <c r="J369" i="25" s="1"/>
  <c r="K888" i="18"/>
  <c r="K892" i="18"/>
  <c r="K898" i="18"/>
  <c r="K899" i="18"/>
  <c r="K906" i="18"/>
  <c r="K910" i="18"/>
  <c r="K920" i="18"/>
  <c r="K924" i="18"/>
  <c r="K926" i="18"/>
  <c r="K934" i="18"/>
  <c r="K938" i="18"/>
  <c r="K942" i="18"/>
  <c r="K948" i="18"/>
  <c r="K952" i="18"/>
  <c r="K964" i="18"/>
  <c r="K968" i="18"/>
  <c r="K972" i="18"/>
  <c r="K981" i="18"/>
  <c r="J20" i="25" s="1"/>
  <c r="K985" i="18"/>
  <c r="J24" i="25" s="1"/>
  <c r="K993" i="18"/>
  <c r="K997" i="18"/>
  <c r="K1005" i="18"/>
  <c r="K1011" i="18"/>
  <c r="K1015" i="18"/>
  <c r="H1023" i="18"/>
  <c r="G185" i="25" s="1"/>
  <c r="K1025" i="18"/>
  <c r="J187" i="25" s="1"/>
  <c r="K1029" i="18"/>
  <c r="J191" i="25" s="1"/>
  <c r="K1039" i="18"/>
  <c r="J470" i="25" s="1"/>
  <c r="K1043" i="18"/>
  <c r="J474" i="25" s="1"/>
  <c r="K1053" i="18"/>
  <c r="K1057" i="18"/>
  <c r="K1063" i="18"/>
  <c r="K1064" i="18"/>
  <c r="K1071" i="18"/>
  <c r="K1075" i="18"/>
  <c r="H1083" i="18"/>
  <c r="G454" i="25" s="1"/>
  <c r="K1085" i="18"/>
  <c r="J456" i="25" s="1"/>
  <c r="K1089" i="18"/>
  <c r="J460" i="25" s="1"/>
  <c r="K1099" i="18"/>
  <c r="K1103" i="18"/>
  <c r="K1113" i="18"/>
  <c r="K1117" i="18"/>
  <c r="K1123" i="18"/>
  <c r="H63" i="18"/>
  <c r="H64" i="18" s="1"/>
  <c r="H65" i="18" s="1"/>
  <c r="H66" i="18" s="1"/>
  <c r="H67" i="18" s="1"/>
  <c r="H68" i="18" s="1"/>
  <c r="H69" i="18" s="1"/>
  <c r="H70" i="18" s="1"/>
  <c r="H71" i="18" s="1"/>
  <c r="H72" i="18" s="1"/>
  <c r="H73" i="18" s="1"/>
  <c r="K63" i="18"/>
  <c r="K67" i="18"/>
  <c r="H500" i="18"/>
  <c r="H501" i="18" s="1"/>
  <c r="H502" i="18" s="1"/>
  <c r="H503" i="18" s="1"/>
  <c r="H504" i="18" s="1"/>
  <c r="H505" i="18" s="1"/>
  <c r="H506" i="18" s="1"/>
  <c r="H710" i="18"/>
  <c r="H711" i="18" s="1"/>
  <c r="H712" i="18" s="1"/>
  <c r="H713" i="18" s="1"/>
  <c r="H714" i="18" s="1"/>
  <c r="H715" i="18" s="1"/>
  <c r="H716" i="18" s="1"/>
  <c r="H717" i="18" s="1"/>
  <c r="K570" i="18"/>
  <c r="J436" i="25" s="1"/>
  <c r="K576" i="18"/>
  <c r="J128" i="25" s="1"/>
  <c r="K580" i="18"/>
  <c r="J132" i="25" s="1"/>
  <c r="K589" i="18"/>
  <c r="K593" i="18"/>
  <c r="K603" i="18"/>
  <c r="K607" i="18"/>
  <c r="K619" i="18"/>
  <c r="J84" i="25" s="1"/>
  <c r="K623" i="18"/>
  <c r="J88" i="25" s="1"/>
  <c r="K633" i="18"/>
  <c r="K637" i="18"/>
  <c r="K651" i="18"/>
  <c r="J382" i="25" s="1"/>
  <c r="K655" i="18"/>
  <c r="J386" i="25" s="1"/>
  <c r="K663" i="18"/>
  <c r="K667" i="18"/>
  <c r="J353" i="25" s="1"/>
  <c r="K675" i="18"/>
  <c r="J361" i="25" s="1"/>
  <c r="K361" i="25" s="1"/>
  <c r="K684" i="18"/>
  <c r="J250" i="25" s="1"/>
  <c r="K694" i="18"/>
  <c r="K698" i="18"/>
  <c r="K723" i="18"/>
  <c r="J439" i="25" s="1"/>
  <c r="K727" i="18"/>
  <c r="J443" i="25" s="1"/>
  <c r="K735" i="18"/>
  <c r="J451" i="25" s="1"/>
  <c r="K741" i="18"/>
  <c r="K745" i="18"/>
  <c r="H753" i="18"/>
  <c r="G170" i="25" s="1"/>
  <c r="K755" i="18"/>
  <c r="J172" i="25" s="1"/>
  <c r="K759" i="18"/>
  <c r="J176" i="25" s="1"/>
  <c r="K769" i="18"/>
  <c r="K773" i="18"/>
  <c r="K783" i="18"/>
  <c r="K787" i="18"/>
  <c r="K801" i="18"/>
  <c r="J203" i="25" s="1"/>
  <c r="K805" i="18"/>
  <c r="J207" i="25" s="1"/>
  <c r="K815" i="18"/>
  <c r="K819" i="18"/>
  <c r="H843" i="18"/>
  <c r="G334" i="25" s="1"/>
  <c r="K845" i="18"/>
  <c r="J336" i="25" s="1"/>
  <c r="K849" i="18"/>
  <c r="J340" i="25" s="1"/>
  <c r="K873" i="18"/>
  <c r="J364" i="25" s="1"/>
  <c r="K877" i="18"/>
  <c r="J368" i="25" s="1"/>
  <c r="K885" i="18"/>
  <c r="J376" i="25" s="1"/>
  <c r="K951" i="18"/>
  <c r="K955" i="18"/>
  <c r="K984" i="18"/>
  <c r="J23" i="25" s="1"/>
  <c r="K990" i="18"/>
  <c r="K996" i="18"/>
  <c r="K1000" i="18"/>
  <c r="K1024" i="18"/>
  <c r="J186" i="25" s="1"/>
  <c r="K1028" i="18"/>
  <c r="J190" i="25" s="1"/>
  <c r="K1038" i="18"/>
  <c r="J469" i="25" s="1"/>
  <c r="K1042" i="18"/>
  <c r="J473" i="25" s="1"/>
  <c r="K1050" i="18"/>
  <c r="J481" i="25" s="1"/>
  <c r="K1084" i="18"/>
  <c r="J455" i="25" s="1"/>
  <c r="K1088" i="18"/>
  <c r="J459" i="25" s="1"/>
  <c r="K1098" i="18"/>
  <c r="K1102" i="18"/>
  <c r="K1110" i="18"/>
  <c r="K538" i="18"/>
  <c r="K70" i="18"/>
  <c r="K66" i="18"/>
  <c r="K252" i="18"/>
  <c r="K313" i="18"/>
  <c r="J419" i="25" s="1"/>
  <c r="K583" i="18"/>
  <c r="J135" i="25" s="1"/>
  <c r="K687" i="18"/>
  <c r="J253" i="25" s="1"/>
  <c r="K1094" i="18"/>
  <c r="J465" i="25" s="1"/>
  <c r="K58" i="18"/>
  <c r="J329" i="25" s="1"/>
  <c r="K657" i="18"/>
  <c r="J388" i="25" s="1"/>
  <c r="K688" i="18"/>
  <c r="J254" i="25" s="1"/>
  <c r="K689" i="18"/>
  <c r="J255" i="25" s="1"/>
  <c r="K807" i="18"/>
  <c r="J209" i="25" s="1"/>
  <c r="K853" i="18"/>
  <c r="J344" i="25" s="1"/>
  <c r="K854" i="18"/>
  <c r="J345" i="25" s="1"/>
  <c r="K988" i="18"/>
  <c r="J27" i="25" s="1"/>
  <c r="K1002" i="18"/>
  <c r="K1034" i="18"/>
  <c r="J196" i="25" s="1"/>
  <c r="K254" i="18"/>
  <c r="K314" i="18"/>
  <c r="J420" i="25" s="1"/>
  <c r="K402" i="18"/>
  <c r="K523" i="18"/>
  <c r="J54" i="25" s="1"/>
  <c r="K628" i="18"/>
  <c r="J93" i="25" s="1"/>
  <c r="K958" i="18"/>
  <c r="K59" i="18"/>
  <c r="J330" i="25" s="1"/>
  <c r="K132" i="18"/>
  <c r="J403" i="25" s="1"/>
  <c r="K253" i="18"/>
  <c r="K359" i="18"/>
  <c r="J285" i="25" s="1"/>
  <c r="K27" i="18"/>
  <c r="K42" i="18"/>
  <c r="K87" i="18"/>
  <c r="J313" i="25" s="1"/>
  <c r="K88" i="18"/>
  <c r="J314" i="25" s="1"/>
  <c r="K102" i="18"/>
  <c r="J164" i="25" s="1"/>
  <c r="K103" i="18"/>
  <c r="J165" i="25" s="1"/>
  <c r="K104" i="18"/>
  <c r="J166" i="25" s="1"/>
  <c r="K133" i="18"/>
  <c r="J404" i="25" s="1"/>
  <c r="K134" i="18"/>
  <c r="J405" i="25" s="1"/>
  <c r="K163" i="18"/>
  <c r="K164" i="18"/>
  <c r="K268" i="18"/>
  <c r="J150" i="25" s="1"/>
  <c r="K269" i="18"/>
  <c r="J151" i="25" s="1"/>
  <c r="K284" i="18"/>
  <c r="K327" i="18"/>
  <c r="J508" i="25" s="1"/>
  <c r="K344" i="18"/>
  <c r="K371" i="18"/>
  <c r="K387" i="18"/>
  <c r="J239" i="25" s="1"/>
  <c r="K417" i="18"/>
  <c r="J493" i="25" s="1"/>
  <c r="K509" i="18"/>
  <c r="J13" i="25" s="1"/>
  <c r="K13" i="25" s="1"/>
  <c r="K567" i="18"/>
  <c r="J433" i="25" s="1"/>
  <c r="K658" i="18"/>
  <c r="J389" i="25" s="1"/>
  <c r="K672" i="18"/>
  <c r="K732" i="18"/>
  <c r="J448" i="25" s="1"/>
  <c r="K764" i="18"/>
  <c r="J181" i="25" s="1"/>
  <c r="K808" i="18"/>
  <c r="J210" i="25" s="1"/>
  <c r="K809" i="18"/>
  <c r="J211" i="25" s="1"/>
  <c r="K882" i="18"/>
  <c r="J373" i="25" s="1"/>
  <c r="K1003" i="18"/>
  <c r="K1004" i="18"/>
  <c r="K1032" i="18"/>
  <c r="J194" i="25" s="1"/>
  <c r="K1033" i="18"/>
  <c r="J195" i="25" s="1"/>
  <c r="K1047" i="18"/>
  <c r="J478" i="25" s="1"/>
  <c r="K1107" i="18"/>
  <c r="K357" i="18"/>
  <c r="J283" i="25" s="1"/>
  <c r="K403" i="18"/>
  <c r="K524" i="18"/>
  <c r="J55" i="25" s="1"/>
  <c r="K582" i="18"/>
  <c r="J134" i="25" s="1"/>
  <c r="K629" i="18"/>
  <c r="J94" i="25" s="1"/>
  <c r="K852" i="18"/>
  <c r="J343" i="25" s="1"/>
  <c r="K959" i="18"/>
  <c r="K987" i="18"/>
  <c r="J26" i="25" s="1"/>
  <c r="K1093" i="18"/>
  <c r="J464" i="25" s="1"/>
  <c r="K57" i="18"/>
  <c r="J328" i="25" s="1"/>
  <c r="K89" i="18"/>
  <c r="J315" i="25" s="1"/>
  <c r="K267" i="18"/>
  <c r="J149" i="25" s="1"/>
  <c r="K358" i="18"/>
  <c r="J284" i="25" s="1"/>
  <c r="K28" i="18"/>
  <c r="K29" i="18"/>
  <c r="K43" i="18"/>
  <c r="K44" i="18"/>
  <c r="K117" i="18"/>
  <c r="J224" i="25" s="1"/>
  <c r="K118" i="18"/>
  <c r="J225" i="25" s="1"/>
  <c r="K147" i="18"/>
  <c r="K148" i="18"/>
  <c r="K149" i="18"/>
  <c r="K176" i="18"/>
  <c r="K192" i="18"/>
  <c r="K282" i="18"/>
  <c r="K283" i="18"/>
  <c r="K312" i="18"/>
  <c r="J418" i="25" s="1"/>
  <c r="K328" i="18"/>
  <c r="J509" i="25" s="1"/>
  <c r="K329" i="18"/>
  <c r="J510" i="25" s="1"/>
  <c r="K372" i="18"/>
  <c r="K388" i="18"/>
  <c r="J240" i="25" s="1"/>
  <c r="K389" i="18"/>
  <c r="J241" i="25" s="1"/>
  <c r="K418" i="18"/>
  <c r="J494" i="25" s="1"/>
  <c r="K419" i="18"/>
  <c r="J495" i="25" s="1"/>
  <c r="K462" i="18"/>
  <c r="K478" i="18"/>
  <c r="K479" i="18"/>
  <c r="K522" i="18"/>
  <c r="J53" i="25" s="1"/>
  <c r="K552" i="18"/>
  <c r="K568" i="18"/>
  <c r="J434" i="25" s="1"/>
  <c r="K569" i="18"/>
  <c r="J435" i="25" s="1"/>
  <c r="K584" i="18"/>
  <c r="J136" i="25" s="1"/>
  <c r="K597" i="18"/>
  <c r="K627" i="18"/>
  <c r="J92" i="25" s="1"/>
  <c r="K643" i="18"/>
  <c r="K644" i="18"/>
  <c r="K673" i="18"/>
  <c r="K674" i="18"/>
  <c r="K702" i="18"/>
  <c r="K733" i="18"/>
  <c r="J449" i="25" s="1"/>
  <c r="K734" i="18"/>
  <c r="J450" i="25" s="1"/>
  <c r="K762" i="18"/>
  <c r="J179" i="25" s="1"/>
  <c r="K763" i="18"/>
  <c r="J180" i="25" s="1"/>
  <c r="K777" i="18"/>
  <c r="K793" i="18"/>
  <c r="K794" i="18"/>
  <c r="K867" i="18"/>
  <c r="J41" i="25" s="1"/>
  <c r="K883" i="18"/>
  <c r="J374" i="25" s="1"/>
  <c r="K884" i="18"/>
  <c r="J375" i="25" s="1"/>
  <c r="K927" i="18"/>
  <c r="K943" i="18"/>
  <c r="K944" i="18"/>
  <c r="K957" i="18"/>
  <c r="K973" i="18"/>
  <c r="K974" i="18"/>
  <c r="K1048" i="18"/>
  <c r="J479" i="25" s="1"/>
  <c r="K1049" i="18"/>
  <c r="J480" i="25" s="1"/>
  <c r="K1092" i="18"/>
  <c r="J463" i="25" s="1"/>
  <c r="K1108" i="18"/>
  <c r="K1109" i="18"/>
  <c r="K86" i="18"/>
  <c r="J312" i="25" s="1"/>
  <c r="K146" i="18"/>
  <c r="K191" i="18"/>
  <c r="K266" i="18"/>
  <c r="J148" i="25" s="1"/>
  <c r="K341" i="18"/>
  <c r="K401" i="18"/>
  <c r="K431" i="18"/>
  <c r="K581" i="18"/>
  <c r="J133" i="25" s="1"/>
  <c r="K656" i="18"/>
  <c r="J387" i="25" s="1"/>
  <c r="K806" i="18"/>
  <c r="J208" i="25" s="1"/>
  <c r="K1001" i="18"/>
  <c r="K1061" i="18"/>
  <c r="K1121" i="18"/>
  <c r="K116" i="18"/>
  <c r="J223" i="25" s="1"/>
  <c r="K326" i="18"/>
  <c r="J507" i="25" s="1"/>
  <c r="K386" i="18"/>
  <c r="J238" i="25" s="1"/>
  <c r="K416" i="18"/>
  <c r="J492" i="25" s="1"/>
  <c r="K536" i="18"/>
  <c r="K566" i="18"/>
  <c r="J432" i="25" s="1"/>
  <c r="K671" i="18"/>
  <c r="J357" i="25" s="1"/>
  <c r="K731" i="18"/>
  <c r="J447" i="25" s="1"/>
  <c r="K881" i="18"/>
  <c r="J372" i="25" s="1"/>
  <c r="K1046" i="18"/>
  <c r="J477" i="25" s="1"/>
  <c r="K1106" i="18"/>
  <c r="K131" i="18"/>
  <c r="J402" i="25" s="1"/>
  <c r="K311" i="18"/>
  <c r="J417" i="25" s="1"/>
  <c r="K521" i="18"/>
  <c r="J52" i="25" s="1"/>
  <c r="K626" i="18"/>
  <c r="J91" i="25" s="1"/>
  <c r="K1031" i="18"/>
  <c r="J193" i="25" s="1"/>
  <c r="K1091" i="18"/>
  <c r="J462" i="25" s="1"/>
  <c r="K56" i="18"/>
  <c r="J327" i="25" s="1"/>
  <c r="K41" i="18"/>
  <c r="K101" i="18"/>
  <c r="J163" i="25" s="1"/>
  <c r="K206" i="18"/>
  <c r="K251" i="18"/>
  <c r="J297" i="25" s="1"/>
  <c r="K281" i="18"/>
  <c r="K296" i="18"/>
  <c r="K356" i="18"/>
  <c r="J282" i="25" s="1"/>
  <c r="K446" i="18"/>
  <c r="J67" i="25" s="1"/>
  <c r="H536" i="18"/>
  <c r="K686" i="18"/>
  <c r="J252" i="25" s="1"/>
  <c r="K761" i="18"/>
  <c r="J178" i="25" s="1"/>
  <c r="K821" i="18"/>
  <c r="K851" i="18"/>
  <c r="J342" i="25" s="1"/>
  <c r="K911" i="18"/>
  <c r="K956" i="18"/>
  <c r="K986" i="18"/>
  <c r="J25" i="25" s="1"/>
  <c r="K1016" i="18"/>
  <c r="K1076" i="18"/>
  <c r="H15" i="18"/>
  <c r="K297" i="25" l="1"/>
  <c r="K352" i="25"/>
  <c r="G292" i="25"/>
  <c r="G293" i="25" s="1"/>
  <c r="G294" i="25" s="1"/>
  <c r="G295" i="25" s="1"/>
  <c r="G296" i="25" s="1"/>
  <c r="G297" i="25" s="1"/>
  <c r="G298" i="25" s="1"/>
  <c r="G299" i="25" s="1"/>
  <c r="G300" i="25" s="1"/>
  <c r="G301" i="25" s="1"/>
  <c r="G302" i="25" s="1"/>
  <c r="G303" i="25" s="1"/>
  <c r="K353" i="25"/>
  <c r="J351" i="25"/>
  <c r="K351" i="25" s="1"/>
  <c r="J349" i="25"/>
  <c r="K349" i="25" s="1"/>
  <c r="K357" i="25"/>
  <c r="J356" i="25"/>
  <c r="K356" i="25" s="1"/>
  <c r="J296" i="25"/>
  <c r="K296" i="25" s="1"/>
  <c r="J355" i="25"/>
  <c r="K355" i="25" s="1"/>
  <c r="H484" i="18"/>
  <c r="G99" i="25" s="1"/>
  <c r="J298" i="25"/>
  <c r="K298" i="25" s="1"/>
  <c r="J354" i="25"/>
  <c r="K354" i="25" s="1"/>
  <c r="J290" i="25"/>
  <c r="K290" i="25" s="1"/>
  <c r="J291" i="25"/>
  <c r="K291" i="25" s="1"/>
  <c r="F834" i="18"/>
  <c r="F849" i="18" s="1"/>
  <c r="E340" i="25" s="1"/>
  <c r="E221" i="25"/>
  <c r="J358" i="25"/>
  <c r="K358" i="25" s="1"/>
  <c r="J299" i="25"/>
  <c r="K299" i="25" s="1"/>
  <c r="J300" i="25"/>
  <c r="K300" i="25" s="1"/>
  <c r="J294" i="25"/>
  <c r="K294" i="25" s="1"/>
  <c r="J360" i="25"/>
  <c r="K360" i="25" s="1"/>
  <c r="F863" i="18"/>
  <c r="F878" i="18" s="1"/>
  <c r="G350" i="25"/>
  <c r="G351" i="25" s="1"/>
  <c r="G352" i="25" s="1"/>
  <c r="G353" i="25" s="1"/>
  <c r="G354" i="25" s="1"/>
  <c r="G355" i="25" s="1"/>
  <c r="G356" i="25" s="1"/>
  <c r="G357" i="25" s="1"/>
  <c r="G358" i="25" s="1"/>
  <c r="G359" i="25" s="1"/>
  <c r="G360" i="25" s="1"/>
  <c r="G361" i="25" s="1"/>
  <c r="G362" i="25" s="1"/>
  <c r="G363" i="25" s="1"/>
  <c r="J295" i="25"/>
  <c r="K295" i="25" s="1"/>
  <c r="J359" i="25"/>
  <c r="K359" i="25" s="1"/>
  <c r="J350" i="25"/>
  <c r="K350" i="25" s="1"/>
  <c r="J292" i="25"/>
  <c r="K292" i="25" s="1"/>
  <c r="G514" i="25"/>
  <c r="H16" i="18"/>
  <c r="J7" i="25"/>
  <c r="K7" i="25" s="1"/>
  <c r="J5" i="25"/>
  <c r="K5" i="25" s="1"/>
  <c r="K223" i="25"/>
  <c r="J215" i="25"/>
  <c r="K215" i="25" s="1"/>
  <c r="J11" i="25"/>
  <c r="K11" i="25" s="1"/>
  <c r="G3" i="25"/>
  <c r="G4" i="25" s="1"/>
  <c r="G5" i="25" s="1"/>
  <c r="G6" i="25" s="1"/>
  <c r="G7" i="25" s="1"/>
  <c r="G8" i="25" s="1"/>
  <c r="G9" i="25" s="1"/>
  <c r="G10" i="25" s="1"/>
  <c r="G11" i="25" s="1"/>
  <c r="G12" i="25" s="1"/>
  <c r="G13" i="25" s="1"/>
  <c r="G14" i="25" s="1"/>
  <c r="G15" i="25" s="1"/>
  <c r="G16" i="25" s="1"/>
  <c r="J219" i="25"/>
  <c r="K219" i="25" s="1"/>
  <c r="J9" i="25"/>
  <c r="K9" i="25" s="1"/>
  <c r="H859" i="18"/>
  <c r="G33" i="25" s="1"/>
  <c r="H949" i="18"/>
  <c r="H994" i="18"/>
  <c r="J221" i="25"/>
  <c r="K221" i="25" s="1"/>
  <c r="K225" i="25"/>
  <c r="K224" i="25"/>
  <c r="H439" i="18"/>
  <c r="H440" i="18" s="1"/>
  <c r="J216" i="25"/>
  <c r="K216" i="25" s="1"/>
  <c r="J200" i="25"/>
  <c r="K200" i="25" s="1"/>
  <c r="J218" i="25"/>
  <c r="K218" i="25" s="1"/>
  <c r="J475" i="25"/>
  <c r="K475" i="25" s="1"/>
  <c r="J12" i="25"/>
  <c r="K12" i="25" s="1"/>
  <c r="J152" i="25"/>
  <c r="J222" i="25"/>
  <c r="K222" i="25" s="1"/>
  <c r="H649" i="18"/>
  <c r="G380" i="25" s="1"/>
  <c r="J220" i="25"/>
  <c r="K220" i="25" s="1"/>
  <c r="J217" i="25"/>
  <c r="K217" i="25" s="1"/>
  <c r="J10" i="25"/>
  <c r="K10" i="25" s="1"/>
  <c r="J390" i="25"/>
  <c r="H979" i="18"/>
  <c r="G18" i="25" s="1"/>
  <c r="J28" i="25"/>
  <c r="J29" i="25" s="1"/>
  <c r="J30" i="25" s="1"/>
  <c r="J6" i="25"/>
  <c r="K6" i="25" s="1"/>
  <c r="J4" i="25"/>
  <c r="K4" i="25" s="1"/>
  <c r="J2" i="25"/>
  <c r="K2" i="25" s="1"/>
  <c r="H229" i="18"/>
  <c r="G71" i="25"/>
  <c r="E19" i="25"/>
  <c r="E4" i="25" s="1"/>
  <c r="F995" i="18"/>
  <c r="E262" i="25"/>
  <c r="F966" i="18"/>
  <c r="F981" i="18" s="1"/>
  <c r="G216" i="25"/>
  <c r="G217" i="25" s="1"/>
  <c r="G218" i="25" s="1"/>
  <c r="G219" i="25" s="1"/>
  <c r="G220" i="25" s="1"/>
  <c r="G221" i="25" s="1"/>
  <c r="G222" i="25" s="1"/>
  <c r="G223" i="25" s="1"/>
  <c r="G224" i="25" s="1"/>
  <c r="G225" i="25" s="1"/>
  <c r="G226" i="25" s="1"/>
  <c r="G227" i="25" s="1"/>
  <c r="G228" i="25" s="1"/>
  <c r="G229" i="25" s="1"/>
  <c r="E111" i="25"/>
  <c r="F1009" i="18"/>
  <c r="F1024" i="18" s="1"/>
  <c r="E178" i="25"/>
  <c r="F776" i="18"/>
  <c r="F791" i="18" s="1"/>
  <c r="F806" i="18" s="1"/>
  <c r="J8" i="25"/>
  <c r="K8" i="25" s="1"/>
  <c r="E368" i="25"/>
  <c r="F892" i="18"/>
  <c r="F907" i="18" s="1"/>
  <c r="F922" i="18" s="1"/>
  <c r="F937" i="18" s="1"/>
  <c r="F952" i="18" s="1"/>
  <c r="E185" i="25"/>
  <c r="F1038" i="18"/>
  <c r="E451" i="25"/>
  <c r="F750" i="18"/>
  <c r="F765" i="18" s="1"/>
  <c r="E207" i="25"/>
  <c r="F820" i="18"/>
  <c r="E360" i="25"/>
  <c r="F689" i="18"/>
  <c r="J246" i="25"/>
  <c r="F864" i="18"/>
  <c r="E448" i="25"/>
  <c r="F747" i="18"/>
  <c r="F762" i="18" s="1"/>
  <c r="E254" i="25"/>
  <c r="F703" i="18"/>
  <c r="F718" i="18" s="1"/>
  <c r="F733" i="18" s="1"/>
  <c r="H799" i="18"/>
  <c r="G201" i="25" s="1"/>
  <c r="H679" i="18"/>
  <c r="G245" i="25" s="1"/>
  <c r="H49" i="18"/>
  <c r="G320" i="25" s="1"/>
  <c r="H379" i="18"/>
  <c r="G231" i="25" s="1"/>
  <c r="H1184" i="18"/>
  <c r="H1185" i="18" s="1"/>
  <c r="H1186" i="18" s="1"/>
  <c r="H1187" i="18" s="1"/>
  <c r="H537" i="18"/>
  <c r="H1176" i="18"/>
  <c r="H507" i="18"/>
  <c r="H1142" i="18"/>
  <c r="H1141" i="18"/>
  <c r="H409" i="18"/>
  <c r="G485" i="25" s="1"/>
  <c r="H619" i="18"/>
  <c r="G84" i="25" s="1"/>
  <c r="H94" i="18"/>
  <c r="G156" i="25" s="1"/>
  <c r="H559" i="18"/>
  <c r="G425" i="25" s="1"/>
  <c r="H724" i="18"/>
  <c r="G440" i="25" s="1"/>
  <c r="H1084" i="18"/>
  <c r="G455" i="25" s="1"/>
  <c r="H574" i="18"/>
  <c r="G126" i="25" s="1"/>
  <c r="H844" i="18"/>
  <c r="G335" i="25" s="1"/>
  <c r="H349" i="18"/>
  <c r="G275" i="25" s="1"/>
  <c r="H304" i="18"/>
  <c r="G410" i="25" s="1"/>
  <c r="H1099" i="18"/>
  <c r="H259" i="18"/>
  <c r="G141" i="25" s="1"/>
  <c r="H319" i="18"/>
  <c r="G500" i="25" s="1"/>
  <c r="H244" i="18"/>
  <c r="H754" i="18"/>
  <c r="G171" i="25" s="1"/>
  <c r="H1039" i="18"/>
  <c r="G470" i="25" s="1"/>
  <c r="H1024" i="18"/>
  <c r="G186" i="25" s="1"/>
  <c r="H874" i="18"/>
  <c r="G365" i="25" s="1"/>
  <c r="H664" i="18"/>
  <c r="H124" i="18"/>
  <c r="G395" i="25" s="1"/>
  <c r="H79" i="18"/>
  <c r="G305" i="25" s="1"/>
  <c r="H514" i="18"/>
  <c r="G45" i="25" s="1"/>
  <c r="K979" i="18"/>
  <c r="K680" i="18"/>
  <c r="K30" i="25" l="1"/>
  <c r="J31" i="25"/>
  <c r="K31" i="25" s="1"/>
  <c r="G515" i="25"/>
  <c r="H17" i="18"/>
  <c r="G516" i="25" s="1"/>
  <c r="E37" i="25"/>
  <c r="H485" i="18"/>
  <c r="H486" i="18" s="1"/>
  <c r="H487" i="18" s="1"/>
  <c r="K152" i="25"/>
  <c r="J153" i="25"/>
  <c r="J154" i="25" s="1"/>
  <c r="K154" i="25" s="1"/>
  <c r="F835" i="18"/>
  <c r="F850" i="18" s="1"/>
  <c r="E341" i="25" s="1"/>
  <c r="E222" i="25"/>
  <c r="J391" i="25"/>
  <c r="J392" i="25" s="1"/>
  <c r="H860" i="18"/>
  <c r="G34" i="25" s="1"/>
  <c r="H995" i="18"/>
  <c r="H950" i="18"/>
  <c r="H680" i="18"/>
  <c r="G246" i="25" s="1"/>
  <c r="H800" i="18"/>
  <c r="G202" i="25" s="1"/>
  <c r="H620" i="18"/>
  <c r="G85" i="25" s="1"/>
  <c r="H50" i="18"/>
  <c r="G321" i="25" s="1"/>
  <c r="H980" i="18"/>
  <c r="G19" i="25" s="1"/>
  <c r="K390" i="25"/>
  <c r="G60" i="25"/>
  <c r="H725" i="18"/>
  <c r="G441" i="25" s="1"/>
  <c r="H95" i="18"/>
  <c r="G157" i="25" s="1"/>
  <c r="H650" i="18"/>
  <c r="G381" i="25" s="1"/>
  <c r="E449" i="25"/>
  <c r="F748" i="18"/>
  <c r="F763" i="18" s="1"/>
  <c r="F879" i="18"/>
  <c r="E38" i="25"/>
  <c r="E469" i="25"/>
  <c r="F1053" i="18"/>
  <c r="F1068" i="18" s="1"/>
  <c r="F1083" i="18" s="1"/>
  <c r="E263" i="25"/>
  <c r="F967" i="18"/>
  <c r="F982" i="18" s="1"/>
  <c r="E208" i="25"/>
  <c r="F821" i="18"/>
  <c r="E369" i="25"/>
  <c r="F893" i="18"/>
  <c r="F908" i="18" s="1"/>
  <c r="F923" i="18" s="1"/>
  <c r="F938" i="18" s="1"/>
  <c r="F953" i="18" s="1"/>
  <c r="H441" i="18"/>
  <c r="G61" i="25"/>
  <c r="E179" i="25"/>
  <c r="F777" i="18"/>
  <c r="F792" i="18" s="1"/>
  <c r="F807" i="18" s="1"/>
  <c r="E20" i="25"/>
  <c r="E5" i="25" s="1"/>
  <c r="F996" i="18"/>
  <c r="E112" i="25"/>
  <c r="F1010" i="18"/>
  <c r="F1025" i="18" s="1"/>
  <c r="G101" i="25"/>
  <c r="E255" i="25"/>
  <c r="F704" i="18"/>
  <c r="F719" i="18" s="1"/>
  <c r="F734" i="18" s="1"/>
  <c r="E182" i="25"/>
  <c r="F780" i="18"/>
  <c r="F795" i="18" s="1"/>
  <c r="F810" i="18" s="1"/>
  <c r="E186" i="25"/>
  <c r="F1039" i="18"/>
  <c r="H230" i="18"/>
  <c r="G72" i="25"/>
  <c r="K28" i="25"/>
  <c r="K29" i="25"/>
  <c r="H380" i="18"/>
  <c r="G232" i="25" s="1"/>
  <c r="H508" i="18"/>
  <c r="H509" i="18" s="1"/>
  <c r="H510" i="18" s="1"/>
  <c r="H511" i="18" s="1"/>
  <c r="H1143" i="18"/>
  <c r="H1144" i="18" s="1"/>
  <c r="H538" i="18"/>
  <c r="H539" i="18" s="1"/>
  <c r="H540" i="18" s="1"/>
  <c r="H541" i="18" s="1"/>
  <c r="H1177" i="18"/>
  <c r="H1178" i="18" s="1"/>
  <c r="H560" i="18"/>
  <c r="G426" i="25" s="1"/>
  <c r="H410" i="18"/>
  <c r="G486" i="25" s="1"/>
  <c r="H125" i="18"/>
  <c r="G396" i="25" s="1"/>
  <c r="H665" i="18"/>
  <c r="H1025" i="18"/>
  <c r="G187" i="25" s="1"/>
  <c r="H320" i="18"/>
  <c r="G501" i="25" s="1"/>
  <c r="H260" i="18"/>
  <c r="G142" i="25" s="1"/>
  <c r="H575" i="18"/>
  <c r="G127" i="25" s="1"/>
  <c r="H515" i="18"/>
  <c r="G46" i="25" s="1"/>
  <c r="H875" i="18"/>
  <c r="G366" i="25" s="1"/>
  <c r="H755" i="18"/>
  <c r="G172" i="25" s="1"/>
  <c r="H1100" i="18"/>
  <c r="H305" i="18"/>
  <c r="G411" i="25" s="1"/>
  <c r="H845" i="18"/>
  <c r="G336" i="25" s="1"/>
  <c r="H80" i="18"/>
  <c r="G306" i="25" s="1"/>
  <c r="H1040" i="18"/>
  <c r="G471" i="25" s="1"/>
  <c r="H350" i="18"/>
  <c r="G276" i="25" s="1"/>
  <c r="H1085" i="18"/>
  <c r="G456" i="25" s="1"/>
  <c r="H245" i="18"/>
  <c r="K978" i="18"/>
  <c r="K980" i="18"/>
  <c r="K392" i="25" l="1"/>
  <c r="J393" i="25"/>
  <c r="K393" i="25" s="1"/>
  <c r="K153" i="25"/>
  <c r="G100" i="25"/>
  <c r="F865" i="18"/>
  <c r="F880" i="18" s="1"/>
  <c r="F836" i="18"/>
  <c r="F851" i="18" s="1"/>
  <c r="E342" i="25" s="1"/>
  <c r="E223" i="25"/>
  <c r="K391" i="25"/>
  <c r="H861" i="18"/>
  <c r="H862" i="18" s="1"/>
  <c r="H951" i="18"/>
  <c r="H996" i="18"/>
  <c r="H981" i="18"/>
  <c r="G20" i="25" s="1"/>
  <c r="H621" i="18"/>
  <c r="G86" i="25" s="1"/>
  <c r="H801" i="18"/>
  <c r="G203" i="25" s="1"/>
  <c r="H51" i="18"/>
  <c r="G322" i="25" s="1"/>
  <c r="H681" i="18"/>
  <c r="G247" i="25" s="1"/>
  <c r="H651" i="18"/>
  <c r="G382" i="25" s="1"/>
  <c r="H96" i="18"/>
  <c r="G158" i="25" s="1"/>
  <c r="H726" i="18"/>
  <c r="G442" i="25" s="1"/>
  <c r="E470" i="25"/>
  <c r="F1054" i="18"/>
  <c r="F1069" i="18" s="1"/>
  <c r="F1084" i="18" s="1"/>
  <c r="E450" i="25"/>
  <c r="F749" i="18"/>
  <c r="F764" i="18" s="1"/>
  <c r="E187" i="25"/>
  <c r="F1040" i="18"/>
  <c r="E209" i="25"/>
  <c r="F822" i="18"/>
  <c r="E264" i="25"/>
  <c r="F968" i="18"/>
  <c r="F983" i="18" s="1"/>
  <c r="E21" i="25"/>
  <c r="E6" i="25" s="1"/>
  <c r="F997" i="18"/>
  <c r="E370" i="25"/>
  <c r="F894" i="18"/>
  <c r="F909" i="18" s="1"/>
  <c r="F924" i="18" s="1"/>
  <c r="F939" i="18" s="1"/>
  <c r="F954" i="18" s="1"/>
  <c r="E212" i="25"/>
  <c r="F825" i="18"/>
  <c r="E113" i="25"/>
  <c r="F1011" i="18"/>
  <c r="F1026" i="18" s="1"/>
  <c r="F866" i="18"/>
  <c r="E454" i="25"/>
  <c r="F1098" i="18"/>
  <c r="E180" i="25"/>
  <c r="F778" i="18"/>
  <c r="F793" i="18" s="1"/>
  <c r="F808" i="18" s="1"/>
  <c r="H231" i="18"/>
  <c r="G73" i="25"/>
  <c r="H488" i="18"/>
  <c r="G102" i="25"/>
  <c r="H442" i="18"/>
  <c r="G62" i="25"/>
  <c r="H381" i="18"/>
  <c r="G233" i="25" s="1"/>
  <c r="H411" i="18"/>
  <c r="G487" i="25" s="1"/>
  <c r="H561" i="18"/>
  <c r="G427" i="25" s="1"/>
  <c r="H876" i="18"/>
  <c r="G367" i="25" s="1"/>
  <c r="H321" i="18"/>
  <c r="G502" i="25" s="1"/>
  <c r="H666" i="18"/>
  <c r="H306" i="18"/>
  <c r="G412" i="25" s="1"/>
  <c r="H246" i="18"/>
  <c r="H1086" i="18"/>
  <c r="G457" i="25" s="1"/>
  <c r="H351" i="18"/>
  <c r="G277" i="25" s="1"/>
  <c r="H1041" i="18"/>
  <c r="G472" i="25" s="1"/>
  <c r="H81" i="18"/>
  <c r="G307" i="25" s="1"/>
  <c r="H846" i="18"/>
  <c r="G337" i="25" s="1"/>
  <c r="H1101" i="18"/>
  <c r="H756" i="18"/>
  <c r="G173" i="25" s="1"/>
  <c r="H516" i="18"/>
  <c r="G47" i="25" s="1"/>
  <c r="H576" i="18"/>
  <c r="G128" i="25" s="1"/>
  <c r="H261" i="18"/>
  <c r="G143" i="25" s="1"/>
  <c r="H1026" i="18"/>
  <c r="G188" i="25" s="1"/>
  <c r="H126" i="18"/>
  <c r="G397" i="25" s="1"/>
  <c r="H952" i="18" l="1"/>
  <c r="E39" i="25"/>
  <c r="F840" i="18"/>
  <c r="F855" i="18" s="1"/>
  <c r="E346" i="25" s="1"/>
  <c r="E227" i="25"/>
  <c r="G35" i="25"/>
  <c r="F837" i="18"/>
  <c r="F852" i="18" s="1"/>
  <c r="E343" i="25" s="1"/>
  <c r="E224" i="25"/>
  <c r="H802" i="18"/>
  <c r="G204" i="25" s="1"/>
  <c r="H982" i="18"/>
  <c r="G21" i="25" s="1"/>
  <c r="H997" i="18"/>
  <c r="H52" i="18"/>
  <c r="G323" i="25" s="1"/>
  <c r="H622" i="18"/>
  <c r="G87" i="25" s="1"/>
  <c r="H682" i="18"/>
  <c r="G248" i="25" s="1"/>
  <c r="H652" i="18"/>
  <c r="G383" i="25" s="1"/>
  <c r="H97" i="18"/>
  <c r="G159" i="25" s="1"/>
  <c r="H727" i="18"/>
  <c r="G443" i="25" s="1"/>
  <c r="F1113" i="18"/>
  <c r="H489" i="18"/>
  <c r="G103" i="25"/>
  <c r="E210" i="25"/>
  <c r="F823" i="18"/>
  <c r="E188" i="25"/>
  <c r="F1041" i="18"/>
  <c r="E181" i="25"/>
  <c r="F779" i="18"/>
  <c r="F794" i="18" s="1"/>
  <c r="F809" i="18" s="1"/>
  <c r="F881" i="18"/>
  <c r="E40" i="25"/>
  <c r="E22" i="25"/>
  <c r="E7" i="25" s="1"/>
  <c r="F998" i="18"/>
  <c r="E471" i="25"/>
  <c r="F1055" i="18"/>
  <c r="F1070" i="18" s="1"/>
  <c r="F1085" i="18" s="1"/>
  <c r="E455" i="25"/>
  <c r="F1099" i="18"/>
  <c r="E265" i="25"/>
  <c r="F969" i="18"/>
  <c r="F984" i="18" s="1"/>
  <c r="E114" i="25"/>
  <c r="F1012" i="18"/>
  <c r="F1027" i="18" s="1"/>
  <c r="H443" i="18"/>
  <c r="G63" i="25"/>
  <c r="H232" i="18"/>
  <c r="G74" i="25"/>
  <c r="H863" i="18"/>
  <c r="G36" i="25"/>
  <c r="E371" i="25"/>
  <c r="F895" i="18"/>
  <c r="F910" i="18" s="1"/>
  <c r="F925" i="18" s="1"/>
  <c r="F940" i="18" s="1"/>
  <c r="F955" i="18" s="1"/>
  <c r="H382" i="18"/>
  <c r="G234" i="25" s="1"/>
  <c r="H562" i="18"/>
  <c r="G428" i="25" s="1"/>
  <c r="H412" i="18"/>
  <c r="G488" i="25" s="1"/>
  <c r="H757" i="18"/>
  <c r="G174" i="25" s="1"/>
  <c r="H352" i="18"/>
  <c r="G278" i="25" s="1"/>
  <c r="H247" i="18"/>
  <c r="H953" i="18"/>
  <c r="H1027" i="18"/>
  <c r="G189" i="25" s="1"/>
  <c r="H847" i="18"/>
  <c r="G338" i="25" s="1"/>
  <c r="H322" i="18"/>
  <c r="G503" i="25" s="1"/>
  <c r="H127" i="18"/>
  <c r="G398" i="25" s="1"/>
  <c r="H262" i="18"/>
  <c r="G144" i="25" s="1"/>
  <c r="H517" i="18"/>
  <c r="G48" i="25" s="1"/>
  <c r="H1102" i="18"/>
  <c r="H82" i="18"/>
  <c r="G308" i="25" s="1"/>
  <c r="H1042" i="18"/>
  <c r="G473" i="25" s="1"/>
  <c r="H1087" i="18"/>
  <c r="G458" i="25" s="1"/>
  <c r="H667" i="18"/>
  <c r="H877" i="18"/>
  <c r="G368" i="25" s="1"/>
  <c r="H577" i="18"/>
  <c r="G129" i="25" s="1"/>
  <c r="H307" i="18"/>
  <c r="G413" i="25" s="1"/>
  <c r="H983" i="18" l="1"/>
  <c r="G22" i="25" s="1"/>
  <c r="F870" i="18"/>
  <c r="F885" i="18" s="1"/>
  <c r="F900" i="18" s="1"/>
  <c r="F915" i="18" s="1"/>
  <c r="F930" i="18" s="1"/>
  <c r="F945" i="18" s="1"/>
  <c r="F960" i="18" s="1"/>
  <c r="H803" i="18"/>
  <c r="G205" i="25" s="1"/>
  <c r="F867" i="18"/>
  <c r="E41" i="25" s="1"/>
  <c r="H998" i="18"/>
  <c r="F838" i="18"/>
  <c r="F853" i="18" s="1"/>
  <c r="F868" i="18" s="1"/>
  <c r="E225" i="25"/>
  <c r="H623" i="18"/>
  <c r="G88" i="25" s="1"/>
  <c r="H53" i="18"/>
  <c r="G324" i="25" s="1"/>
  <c r="H683" i="18"/>
  <c r="G249" i="25" s="1"/>
  <c r="H653" i="18"/>
  <c r="G384" i="25" s="1"/>
  <c r="H98" i="18"/>
  <c r="G160" i="25" s="1"/>
  <c r="H728" i="18"/>
  <c r="G444" i="25" s="1"/>
  <c r="E23" i="25"/>
  <c r="E8" i="25" s="1"/>
  <c r="F999" i="18"/>
  <c r="E376" i="25"/>
  <c r="H864" i="18"/>
  <c r="G37" i="25"/>
  <c r="H444" i="18"/>
  <c r="G64" i="25"/>
  <c r="E211" i="25"/>
  <c r="F824" i="18"/>
  <c r="E266" i="25"/>
  <c r="F970" i="18"/>
  <c r="F985" i="18" s="1"/>
  <c r="E189" i="25"/>
  <c r="F1042" i="18"/>
  <c r="F1114" i="18"/>
  <c r="E115" i="25"/>
  <c r="F1013" i="18"/>
  <c r="F1028" i="18" s="1"/>
  <c r="E472" i="25"/>
  <c r="F1056" i="18"/>
  <c r="F1071" i="18" s="1"/>
  <c r="F1086" i="18" s="1"/>
  <c r="E456" i="25"/>
  <c r="F1100" i="18"/>
  <c r="H233" i="18"/>
  <c r="G75" i="25"/>
  <c r="E372" i="25"/>
  <c r="F896" i="18"/>
  <c r="F911" i="18" s="1"/>
  <c r="F926" i="18" s="1"/>
  <c r="F941" i="18" s="1"/>
  <c r="F956" i="18" s="1"/>
  <c r="H490" i="18"/>
  <c r="G104" i="25"/>
  <c r="H383" i="18"/>
  <c r="G235" i="25" s="1"/>
  <c r="H413" i="18"/>
  <c r="G489" i="25" s="1"/>
  <c r="H563" i="18"/>
  <c r="G429" i="25" s="1"/>
  <c r="H878" i="18"/>
  <c r="G369" i="25" s="1"/>
  <c r="H1043" i="18"/>
  <c r="G474" i="25" s="1"/>
  <c r="H263" i="18"/>
  <c r="G145" i="25" s="1"/>
  <c r="H1028" i="18"/>
  <c r="G190" i="25" s="1"/>
  <c r="H353" i="18"/>
  <c r="G279" i="25" s="1"/>
  <c r="H668" i="18"/>
  <c r="H1103" i="18"/>
  <c r="H308" i="18"/>
  <c r="G414" i="25" s="1"/>
  <c r="H578" i="18"/>
  <c r="G130" i="25" s="1"/>
  <c r="H1088" i="18"/>
  <c r="G459" i="25" s="1"/>
  <c r="H83" i="18"/>
  <c r="G309" i="25" s="1"/>
  <c r="H518" i="18"/>
  <c r="G49" i="25" s="1"/>
  <c r="H128" i="18"/>
  <c r="G399" i="25" s="1"/>
  <c r="H848" i="18"/>
  <c r="G339" i="25" s="1"/>
  <c r="H954" i="18"/>
  <c r="H248" i="18"/>
  <c r="H758" i="18"/>
  <c r="G175" i="25" s="1"/>
  <c r="H999" i="18"/>
  <c r="H323" i="18"/>
  <c r="G504" i="25" s="1"/>
  <c r="F882" i="18" l="1"/>
  <c r="F897" i="18" s="1"/>
  <c r="F912" i="18" s="1"/>
  <c r="F927" i="18" s="1"/>
  <c r="F942" i="18" s="1"/>
  <c r="F957" i="18" s="1"/>
  <c r="H804" i="18"/>
  <c r="G206" i="25" s="1"/>
  <c r="H984" i="18"/>
  <c r="G23" i="25" s="1"/>
  <c r="E344" i="25"/>
  <c r="F839" i="18"/>
  <c r="F854" i="18" s="1"/>
  <c r="F869" i="18" s="1"/>
  <c r="E226" i="25"/>
  <c r="H624" i="18"/>
  <c r="G89" i="25" s="1"/>
  <c r="H54" i="18"/>
  <c r="G325" i="25" s="1"/>
  <c r="H684" i="18"/>
  <c r="G250" i="25" s="1"/>
  <c r="H654" i="18"/>
  <c r="G385" i="25" s="1"/>
  <c r="H729" i="18"/>
  <c r="G445" i="25" s="1"/>
  <c r="H99" i="18"/>
  <c r="G161" i="25" s="1"/>
  <c r="F1115" i="18"/>
  <c r="E190" i="25"/>
  <c r="F1043" i="18"/>
  <c r="E473" i="25"/>
  <c r="F1057" i="18"/>
  <c r="F1072" i="18" s="1"/>
  <c r="F1087" i="18" s="1"/>
  <c r="E271" i="25"/>
  <c r="F975" i="18"/>
  <c r="F990" i="18" s="1"/>
  <c r="G105" i="25"/>
  <c r="H491" i="18"/>
  <c r="H234" i="18"/>
  <c r="G76" i="25"/>
  <c r="H865" i="18"/>
  <c r="G38" i="25"/>
  <c r="E267" i="25"/>
  <c r="F971" i="18"/>
  <c r="F986" i="18" s="1"/>
  <c r="F883" i="18"/>
  <c r="E42" i="25"/>
  <c r="E457" i="25"/>
  <c r="F1101" i="18"/>
  <c r="E24" i="25"/>
  <c r="E9" i="25" s="1"/>
  <c r="F1000" i="18"/>
  <c r="E116" i="25"/>
  <c r="F1014" i="18"/>
  <c r="F1029" i="18" s="1"/>
  <c r="H445" i="18"/>
  <c r="G65" i="25"/>
  <c r="H384" i="18"/>
  <c r="G236" i="25" s="1"/>
  <c r="H564" i="18"/>
  <c r="G430" i="25" s="1"/>
  <c r="H414" i="18"/>
  <c r="G490" i="25" s="1"/>
  <c r="H324" i="18"/>
  <c r="G505" i="25" s="1"/>
  <c r="H519" i="18"/>
  <c r="G50" i="25" s="1"/>
  <c r="H309" i="18"/>
  <c r="G415" i="25" s="1"/>
  <c r="H354" i="18"/>
  <c r="G280" i="25" s="1"/>
  <c r="H264" i="18"/>
  <c r="G146" i="25" s="1"/>
  <c r="H879" i="18"/>
  <c r="G370" i="25" s="1"/>
  <c r="H759" i="18"/>
  <c r="G176" i="25" s="1"/>
  <c r="H1089" i="18"/>
  <c r="G460" i="25" s="1"/>
  <c r="H249" i="18"/>
  <c r="H129" i="18"/>
  <c r="G400" i="25" s="1"/>
  <c r="H84" i="18"/>
  <c r="G310" i="25" s="1"/>
  <c r="H579" i="18"/>
  <c r="G131" i="25" s="1"/>
  <c r="H1104" i="18"/>
  <c r="H1029" i="18"/>
  <c r="G191" i="25" s="1"/>
  <c r="H1044" i="18"/>
  <c r="G475" i="25" s="1"/>
  <c r="H849" i="18"/>
  <c r="G340" i="25" s="1"/>
  <c r="H669" i="18"/>
  <c r="H1000" i="18"/>
  <c r="H955" i="18"/>
  <c r="E373" i="25" l="1"/>
  <c r="H985" i="18"/>
  <c r="G24" i="25" s="1"/>
  <c r="E345" i="25"/>
  <c r="H805" i="18"/>
  <c r="G207" i="25" s="1"/>
  <c r="H685" i="18"/>
  <c r="G251" i="25" s="1"/>
  <c r="H625" i="18"/>
  <c r="G90" i="25" s="1"/>
  <c r="H55" i="18"/>
  <c r="G326" i="25" s="1"/>
  <c r="H655" i="18"/>
  <c r="G386" i="25" s="1"/>
  <c r="H100" i="18"/>
  <c r="G162" i="25" s="1"/>
  <c r="H730" i="18"/>
  <c r="G446" i="25" s="1"/>
  <c r="E117" i="25"/>
  <c r="F1015" i="18"/>
  <c r="F1030" i="18" s="1"/>
  <c r="H492" i="18"/>
  <c r="G106" i="25"/>
  <c r="F884" i="18"/>
  <c r="E43" i="25"/>
  <c r="E474" i="25"/>
  <c r="F1058" i="18"/>
  <c r="F1073" i="18" s="1"/>
  <c r="F1088" i="18" s="1"/>
  <c r="H446" i="18"/>
  <c r="G66" i="25"/>
  <c r="E374" i="25"/>
  <c r="F898" i="18"/>
  <c r="F913" i="18" s="1"/>
  <c r="F928" i="18" s="1"/>
  <c r="F943" i="18" s="1"/>
  <c r="F958" i="18" s="1"/>
  <c r="H866" i="18"/>
  <c r="G39" i="25"/>
  <c r="E268" i="25"/>
  <c r="F972" i="18"/>
  <c r="F987" i="18" s="1"/>
  <c r="E191" i="25"/>
  <c r="F1044" i="18"/>
  <c r="F1116" i="18"/>
  <c r="E25" i="25"/>
  <c r="E10" i="25" s="1"/>
  <c r="F1001" i="18"/>
  <c r="E29" i="25"/>
  <c r="E14" i="25" s="1"/>
  <c r="F1005" i="18"/>
  <c r="E458" i="25"/>
  <c r="F1102" i="18"/>
  <c r="H235" i="18"/>
  <c r="G77" i="25"/>
  <c r="H385" i="18"/>
  <c r="G237" i="25" s="1"/>
  <c r="H415" i="18"/>
  <c r="G491" i="25" s="1"/>
  <c r="H565" i="18"/>
  <c r="G431" i="25" s="1"/>
  <c r="H956" i="18"/>
  <c r="H130" i="18"/>
  <c r="G401" i="25" s="1"/>
  <c r="H265" i="18"/>
  <c r="G147" i="25" s="1"/>
  <c r="H355" i="18"/>
  <c r="G281" i="25" s="1"/>
  <c r="H850" i="18"/>
  <c r="G341" i="25" s="1"/>
  <c r="H686" i="18"/>
  <c r="G252" i="25" s="1"/>
  <c r="H1045" i="18"/>
  <c r="G476" i="25" s="1"/>
  <c r="H1105" i="18"/>
  <c r="H85" i="18"/>
  <c r="G311" i="25" s="1"/>
  <c r="H250" i="18"/>
  <c r="H1090" i="18"/>
  <c r="G461" i="25" s="1"/>
  <c r="H880" i="18"/>
  <c r="G371" i="25" s="1"/>
  <c r="H310" i="18"/>
  <c r="G416" i="25" s="1"/>
  <c r="H520" i="18"/>
  <c r="G51" i="25" s="1"/>
  <c r="H325" i="18"/>
  <c r="G506" i="25" s="1"/>
  <c r="H670" i="18"/>
  <c r="H1030" i="18"/>
  <c r="G192" i="25" s="1"/>
  <c r="H580" i="18"/>
  <c r="G132" i="25" s="1"/>
  <c r="H760" i="18"/>
  <c r="G177" i="25" s="1"/>
  <c r="H1001" i="18"/>
  <c r="I6" i="17"/>
  <c r="I5" i="17"/>
  <c r="I7" i="17"/>
  <c r="I8" i="17"/>
  <c r="I9" i="17"/>
  <c r="I10" i="17"/>
  <c r="I11" i="17"/>
  <c r="I12" i="17"/>
  <c r="I13" i="17"/>
  <c r="I14" i="17"/>
  <c r="I15" i="17"/>
  <c r="I16" i="17"/>
  <c r="S3" i="17"/>
  <c r="V3" i="17"/>
  <c r="S4" i="17"/>
  <c r="V4" i="17"/>
  <c r="S5" i="17"/>
  <c r="V5" i="17"/>
  <c r="S6" i="17"/>
  <c r="V6" i="17"/>
  <c r="S7" i="17"/>
  <c r="V7" i="17"/>
  <c r="S8" i="17"/>
  <c r="V8" i="17"/>
  <c r="S9" i="17"/>
  <c r="V9" i="17"/>
  <c r="S10" i="17"/>
  <c r="V10" i="17"/>
  <c r="S11" i="17"/>
  <c r="V11" i="17"/>
  <c r="S12" i="17"/>
  <c r="V12" i="17"/>
  <c r="S13" i="17"/>
  <c r="V13" i="17"/>
  <c r="S14" i="17"/>
  <c r="V14" i="17"/>
  <c r="S15" i="17"/>
  <c r="V15" i="17"/>
  <c r="S16" i="17"/>
  <c r="V16" i="17"/>
  <c r="S17" i="17"/>
  <c r="V17" i="17"/>
  <c r="S18" i="17"/>
  <c r="V18" i="17"/>
  <c r="S19" i="17"/>
  <c r="V19" i="17"/>
  <c r="S20" i="17"/>
  <c r="V20" i="17"/>
  <c r="S21" i="17"/>
  <c r="V21" i="17"/>
  <c r="S22" i="17"/>
  <c r="V22" i="17"/>
  <c r="S23" i="17"/>
  <c r="V23" i="17"/>
  <c r="S24" i="17"/>
  <c r="V24" i="17"/>
  <c r="S25" i="17"/>
  <c r="V25" i="17"/>
  <c r="S26" i="17"/>
  <c r="V26" i="17"/>
  <c r="S27" i="17"/>
  <c r="V27" i="17"/>
  <c r="S28" i="17"/>
  <c r="V28" i="17"/>
  <c r="S29" i="17"/>
  <c r="V29" i="17"/>
  <c r="S30" i="17"/>
  <c r="V30" i="17"/>
  <c r="S31" i="17"/>
  <c r="V31" i="17"/>
  <c r="S32" i="17"/>
  <c r="V32" i="17"/>
  <c r="S33" i="17"/>
  <c r="V33" i="17"/>
  <c r="S34" i="17"/>
  <c r="V34" i="17"/>
  <c r="S35" i="17"/>
  <c r="V35" i="17"/>
  <c r="S36" i="17"/>
  <c r="V36" i="17"/>
  <c r="S37" i="17"/>
  <c r="V37" i="17"/>
  <c r="S38" i="17"/>
  <c r="V38" i="17"/>
  <c r="S39" i="17"/>
  <c r="V39" i="17"/>
  <c r="S40" i="17"/>
  <c r="V40" i="17"/>
  <c r="S41" i="17"/>
  <c r="V41" i="17"/>
  <c r="S42" i="17"/>
  <c r="V42" i="17"/>
  <c r="S43" i="17"/>
  <c r="V43" i="17"/>
  <c r="S44" i="17"/>
  <c r="V44" i="17"/>
  <c r="S45" i="17"/>
  <c r="V45" i="17"/>
  <c r="S46" i="17"/>
  <c r="V46" i="17"/>
  <c r="S47" i="17"/>
  <c r="V47" i="17"/>
  <c r="S48" i="17"/>
  <c r="V48" i="17"/>
  <c r="S49" i="17"/>
  <c r="V49" i="17"/>
  <c r="S50" i="17"/>
  <c r="V50" i="17"/>
  <c r="S51" i="17"/>
  <c r="V51" i="17"/>
  <c r="S52" i="17"/>
  <c r="V52" i="17"/>
  <c r="S53" i="17"/>
  <c r="V53" i="17"/>
  <c r="S54" i="17"/>
  <c r="V54" i="17"/>
  <c r="S55" i="17"/>
  <c r="V55" i="17"/>
  <c r="S56" i="17"/>
  <c r="V56" i="17"/>
  <c r="S57" i="17"/>
  <c r="V57" i="17"/>
  <c r="S58" i="17"/>
  <c r="V58" i="17"/>
  <c r="S59" i="17"/>
  <c r="V59" i="17"/>
  <c r="S60" i="17"/>
  <c r="V60" i="17"/>
  <c r="S61" i="17"/>
  <c r="V61" i="17"/>
  <c r="S62" i="17"/>
  <c r="V62" i="17"/>
  <c r="S63" i="17"/>
  <c r="V63" i="17"/>
  <c r="S64" i="17"/>
  <c r="V64" i="17"/>
  <c r="S65" i="17"/>
  <c r="V65" i="17"/>
  <c r="S66" i="17"/>
  <c r="V66" i="17"/>
  <c r="S67" i="17"/>
  <c r="V67" i="17"/>
  <c r="S68" i="17"/>
  <c r="V68" i="17"/>
  <c r="S69" i="17"/>
  <c r="V69" i="17"/>
  <c r="S70" i="17"/>
  <c r="V70" i="17"/>
  <c r="S71" i="17"/>
  <c r="V71" i="17"/>
  <c r="S72" i="17"/>
  <c r="V72" i="17"/>
  <c r="S73" i="17"/>
  <c r="V73" i="17"/>
  <c r="S74" i="17"/>
  <c r="V74" i="17"/>
  <c r="S75" i="17"/>
  <c r="V75" i="17"/>
  <c r="S76" i="17"/>
  <c r="V76" i="17"/>
  <c r="S77" i="17"/>
  <c r="V77" i="17"/>
  <c r="S78" i="17"/>
  <c r="V78" i="17"/>
  <c r="S79" i="17"/>
  <c r="V79" i="17"/>
  <c r="S80" i="17"/>
  <c r="V80" i="17"/>
  <c r="S81" i="17"/>
  <c r="V81" i="17"/>
  <c r="S82" i="17"/>
  <c r="V82" i="17"/>
  <c r="S83" i="17"/>
  <c r="V83" i="17"/>
  <c r="S84" i="17"/>
  <c r="V84" i="17"/>
  <c r="S85" i="17"/>
  <c r="V85" i="17"/>
  <c r="S86" i="17"/>
  <c r="V86" i="17"/>
  <c r="S87" i="17"/>
  <c r="V87" i="17"/>
  <c r="S88" i="17"/>
  <c r="V88" i="17"/>
  <c r="S89" i="17"/>
  <c r="V89" i="17"/>
  <c r="S90" i="17"/>
  <c r="V90" i="17"/>
  <c r="S91" i="17"/>
  <c r="V91" i="17"/>
  <c r="S92" i="17"/>
  <c r="V92" i="17"/>
  <c r="S93" i="17"/>
  <c r="V93" i="17"/>
  <c r="S94" i="17"/>
  <c r="V94" i="17"/>
  <c r="S95" i="17"/>
  <c r="V95" i="17"/>
  <c r="I4" i="17"/>
  <c r="F4" i="17"/>
  <c r="G4" i="17" s="1"/>
  <c r="F5" i="17"/>
  <c r="G5" i="17" s="1"/>
  <c r="L5" i="17"/>
  <c r="F6" i="17"/>
  <c r="G6" i="17" s="1"/>
  <c r="F7" i="17"/>
  <c r="G7" i="17" s="1"/>
  <c r="F8" i="17"/>
  <c r="G8" i="17" s="1"/>
  <c r="F9" i="17"/>
  <c r="G9" i="17" s="1"/>
  <c r="F10" i="17"/>
  <c r="G10" i="17"/>
  <c r="F11" i="17"/>
  <c r="G11" i="17" s="1"/>
  <c r="F12" i="17"/>
  <c r="G12" i="17" s="1"/>
  <c r="F13" i="17"/>
  <c r="G13" i="17" s="1"/>
  <c r="F14" i="17"/>
  <c r="G14" i="17" s="1"/>
  <c r="F15" i="17"/>
  <c r="G15" i="17" s="1"/>
  <c r="F16" i="17"/>
  <c r="G16" i="17" s="1"/>
  <c r="F17" i="17"/>
  <c r="G17" i="17" s="1"/>
  <c r="F18" i="17"/>
  <c r="G18" i="17" s="1"/>
  <c r="F19" i="17"/>
  <c r="G19" i="17" s="1"/>
  <c r="F20" i="17"/>
  <c r="G20" i="17" s="1"/>
  <c r="F21" i="17"/>
  <c r="G21" i="17" s="1"/>
  <c r="B77" i="17"/>
  <c r="B78" i="17"/>
  <c r="B79" i="17"/>
  <c r="B80" i="17"/>
  <c r="B81" i="17"/>
  <c r="B82" i="17"/>
  <c r="B83" i="17"/>
  <c r="B84" i="17"/>
  <c r="B85" i="17"/>
  <c r="B86" i="17"/>
  <c r="B87" i="17"/>
  <c r="B88" i="17"/>
  <c r="B89" i="17"/>
  <c r="B90" i="17"/>
  <c r="B91" i="17"/>
  <c r="B92" i="17"/>
  <c r="B93" i="17"/>
  <c r="B94" i="17"/>
  <c r="B95" i="17"/>
  <c r="F27" i="17"/>
  <c r="G27" i="17" s="1"/>
  <c r="C77" i="17"/>
  <c r="C78" i="17"/>
  <c r="C79" i="17"/>
  <c r="C80" i="17"/>
  <c r="C81" i="17"/>
  <c r="C82" i="17"/>
  <c r="C83" i="17"/>
  <c r="C84" i="17"/>
  <c r="C85" i="17"/>
  <c r="C86" i="17"/>
  <c r="C87" i="17"/>
  <c r="C88" i="17"/>
  <c r="C89" i="17"/>
  <c r="C90" i="17"/>
  <c r="C91" i="17"/>
  <c r="C92" i="17"/>
  <c r="C93" i="17"/>
  <c r="C94" i="17"/>
  <c r="C95" i="17"/>
  <c r="J48" i="16"/>
  <c r="M46" i="16" s="1"/>
  <c r="J49" i="16"/>
  <c r="J50" i="16"/>
  <c r="J51" i="16"/>
  <c r="J52" i="16"/>
  <c r="M50" i="16" s="1"/>
  <c r="J53" i="16"/>
  <c r="J54" i="16"/>
  <c r="J55" i="16"/>
  <c r="J56" i="16"/>
  <c r="M54" i="16" s="1"/>
  <c r="M75" i="16" s="1"/>
  <c r="J57" i="16"/>
  <c r="J58" i="16"/>
  <c r="J59" i="16"/>
  <c r="L59" i="16"/>
  <c r="I17" i="17" s="1"/>
  <c r="J60" i="16"/>
  <c r="J61" i="16"/>
  <c r="I62" i="16"/>
  <c r="J62" i="16"/>
  <c r="I63" i="16"/>
  <c r="J63" i="16"/>
  <c r="M61" i="16" s="1"/>
  <c r="I64" i="16"/>
  <c r="J64" i="16"/>
  <c r="I65" i="16"/>
  <c r="J65" i="16"/>
  <c r="I66" i="16"/>
  <c r="I67" i="16"/>
  <c r="I68" i="16"/>
  <c r="I69" i="16"/>
  <c r="I70" i="16"/>
  <c r="I71" i="16"/>
  <c r="L75" i="16"/>
  <c r="H228" i="1"/>
  <c r="K283" i="15"/>
  <c r="K284" i="15" s="1"/>
  <c r="K285" i="15" s="1"/>
  <c r="K286" i="15" s="1"/>
  <c r="K287" i="15" s="1"/>
  <c r="K268" i="15"/>
  <c r="K269" i="15" s="1"/>
  <c r="K270" i="15" s="1"/>
  <c r="K271" i="15" s="1"/>
  <c r="K272" i="15" s="1"/>
  <c r="N265" i="15"/>
  <c r="N264" i="15"/>
  <c r="G263" i="1" s="1"/>
  <c r="F52" i="28" s="1"/>
  <c r="N263" i="15"/>
  <c r="G262" i="1" s="1"/>
  <c r="F51" i="28" s="1"/>
  <c r="N262" i="15"/>
  <c r="G261" i="1" s="1"/>
  <c r="F50" i="28" s="1"/>
  <c r="N261" i="15"/>
  <c r="K253" i="15"/>
  <c r="K254" i="15" s="1"/>
  <c r="K255" i="15" s="1"/>
  <c r="K256" i="15" s="1"/>
  <c r="K257" i="15" s="1"/>
  <c r="N250" i="15"/>
  <c r="N249" i="15"/>
  <c r="G248" i="1" s="1"/>
  <c r="F262" i="28" s="1"/>
  <c r="N248" i="15"/>
  <c r="G247" i="1" s="1"/>
  <c r="F261" i="28" s="1"/>
  <c r="N247" i="15"/>
  <c r="G246" i="1" s="1"/>
  <c r="F260" i="28" s="1"/>
  <c r="N246" i="15"/>
  <c r="K238" i="15"/>
  <c r="K239" i="15" s="1"/>
  <c r="K240" i="15" s="1"/>
  <c r="K241" i="15" s="1"/>
  <c r="K242" i="15" s="1"/>
  <c r="K223" i="15"/>
  <c r="K224" i="15" s="1"/>
  <c r="K225" i="15" s="1"/>
  <c r="K226" i="15" s="1"/>
  <c r="K227" i="15" s="1"/>
  <c r="N220" i="15"/>
  <c r="N219" i="15"/>
  <c r="G218" i="1" s="1"/>
  <c r="F37" i="28" s="1"/>
  <c r="N218" i="15"/>
  <c r="G217" i="1" s="1"/>
  <c r="F36" i="28" s="1"/>
  <c r="N217" i="15"/>
  <c r="G216" i="1" s="1"/>
  <c r="F35" i="28" s="1"/>
  <c r="N216" i="15"/>
  <c r="K208" i="15"/>
  <c r="K209" i="15" s="1"/>
  <c r="K210" i="15" s="1"/>
  <c r="K211" i="15" s="1"/>
  <c r="K212" i="15" s="1"/>
  <c r="N205" i="15"/>
  <c r="N204" i="15"/>
  <c r="G203" i="1" s="1"/>
  <c r="F172" i="28" s="1"/>
  <c r="N203" i="15"/>
  <c r="G202" i="1" s="1"/>
  <c r="F171" i="28" s="1"/>
  <c r="N202" i="15"/>
  <c r="G201" i="1" s="1"/>
  <c r="F170" i="28" s="1"/>
  <c r="N201" i="15"/>
  <c r="K193" i="15"/>
  <c r="K194" i="15" s="1"/>
  <c r="K195" i="15" s="1"/>
  <c r="K196" i="15" s="1"/>
  <c r="K197" i="15" s="1"/>
  <c r="N190" i="15"/>
  <c r="N189" i="15"/>
  <c r="G188" i="1" s="1"/>
  <c r="F157" i="28" s="1"/>
  <c r="N188" i="15"/>
  <c r="G187" i="1" s="1"/>
  <c r="F156" i="28" s="1"/>
  <c r="N187" i="15"/>
  <c r="G186" i="1" s="1"/>
  <c r="F155" i="28" s="1"/>
  <c r="N186" i="15"/>
  <c r="K178" i="15"/>
  <c r="K179" i="15" s="1"/>
  <c r="K180" i="15" s="1"/>
  <c r="K181" i="15" s="1"/>
  <c r="K182" i="15" s="1"/>
  <c r="N175" i="15"/>
  <c r="N174" i="15"/>
  <c r="G173" i="1" s="1"/>
  <c r="F247" i="28" s="1"/>
  <c r="N173" i="15"/>
  <c r="G172" i="1" s="1"/>
  <c r="F246" i="28" s="1"/>
  <c r="N172" i="15"/>
  <c r="G171" i="1" s="1"/>
  <c r="F245" i="28" s="1"/>
  <c r="N171" i="15"/>
  <c r="K163" i="15"/>
  <c r="K164" i="15" s="1"/>
  <c r="K165" i="15" s="1"/>
  <c r="K166" i="15" s="1"/>
  <c r="K167" i="15" s="1"/>
  <c r="N160" i="15"/>
  <c r="N159" i="15"/>
  <c r="G158" i="1" s="1"/>
  <c r="F22" i="28" s="1"/>
  <c r="N158" i="15"/>
  <c r="G157" i="1" s="1"/>
  <c r="F21" i="28" s="1"/>
  <c r="N157" i="15"/>
  <c r="G156" i="1" s="1"/>
  <c r="F20" i="28" s="1"/>
  <c r="N156" i="15"/>
  <c r="K148" i="15"/>
  <c r="K149" i="15" s="1"/>
  <c r="K150" i="15" s="1"/>
  <c r="K151" i="15" s="1"/>
  <c r="K152" i="15" s="1"/>
  <c r="N145" i="15"/>
  <c r="N144" i="15"/>
  <c r="G143" i="1" s="1"/>
  <c r="F82" i="28" s="1"/>
  <c r="N143" i="15"/>
  <c r="G142" i="1" s="1"/>
  <c r="F81" i="28" s="1"/>
  <c r="N142" i="15"/>
  <c r="G141" i="1" s="1"/>
  <c r="F80" i="28" s="1"/>
  <c r="N141" i="15"/>
  <c r="K133" i="15"/>
  <c r="K134" i="15" s="1"/>
  <c r="K135" i="15" s="1"/>
  <c r="K136" i="15" s="1"/>
  <c r="K137" i="15" s="1"/>
  <c r="N130" i="15"/>
  <c r="N129" i="15"/>
  <c r="G128" i="1" s="1"/>
  <c r="F112" i="28" s="1"/>
  <c r="N128" i="15"/>
  <c r="G127" i="1" s="1"/>
  <c r="F111" i="28" s="1"/>
  <c r="N127" i="15"/>
  <c r="G126" i="1" s="1"/>
  <c r="F110" i="28" s="1"/>
  <c r="N126" i="15"/>
  <c r="K118" i="15"/>
  <c r="K119" i="15" s="1"/>
  <c r="K120" i="15" s="1"/>
  <c r="K121" i="15" s="1"/>
  <c r="K122" i="15" s="1"/>
  <c r="N115" i="15"/>
  <c r="N114" i="15"/>
  <c r="G113" i="1" s="1"/>
  <c r="F232" i="28" s="1"/>
  <c r="N113" i="15"/>
  <c r="G112" i="1" s="1"/>
  <c r="F231" i="28" s="1"/>
  <c r="N112" i="15"/>
  <c r="G111" i="1" s="1"/>
  <c r="F230" i="28" s="1"/>
  <c r="N111" i="15"/>
  <c r="K103" i="15"/>
  <c r="K104" i="15" s="1"/>
  <c r="K105" i="15" s="1"/>
  <c r="K106" i="15" s="1"/>
  <c r="K107" i="15" s="1"/>
  <c r="N100" i="15"/>
  <c r="N99" i="15"/>
  <c r="G98" i="1" s="1"/>
  <c r="F142" i="28" s="1"/>
  <c r="N98" i="15"/>
  <c r="G97" i="1" s="1"/>
  <c r="F141" i="28" s="1"/>
  <c r="N97" i="15"/>
  <c r="G96" i="1" s="1"/>
  <c r="F140" i="28" s="1"/>
  <c r="N96" i="15"/>
  <c r="K88" i="15"/>
  <c r="K89" i="15" s="1"/>
  <c r="K90" i="15" s="1"/>
  <c r="K91" i="15" s="1"/>
  <c r="K92" i="15" s="1"/>
  <c r="N85" i="15"/>
  <c r="N84" i="15"/>
  <c r="G83" i="1" s="1"/>
  <c r="F217" i="28" s="1"/>
  <c r="N83" i="15"/>
  <c r="G82" i="1" s="1"/>
  <c r="F216" i="28" s="1"/>
  <c r="N82" i="15"/>
  <c r="G81" i="1" s="1"/>
  <c r="F215" i="28" s="1"/>
  <c r="N81" i="15"/>
  <c r="K73" i="15"/>
  <c r="K74" i="15" s="1"/>
  <c r="K75" i="15" s="1"/>
  <c r="K76" i="15" s="1"/>
  <c r="K77" i="15" s="1"/>
  <c r="N70" i="15"/>
  <c r="N69" i="15"/>
  <c r="G68" i="1" s="1"/>
  <c r="F97" i="28" s="1"/>
  <c r="N68" i="15"/>
  <c r="G67" i="1" s="1"/>
  <c r="F96" i="28" s="1"/>
  <c r="N67" i="15"/>
  <c r="G66" i="1" s="1"/>
  <c r="F95" i="28" s="1"/>
  <c r="N66" i="15"/>
  <c r="K58" i="15"/>
  <c r="K59" i="15" s="1"/>
  <c r="K60" i="15" s="1"/>
  <c r="K61" i="15" s="1"/>
  <c r="K62" i="15" s="1"/>
  <c r="N55" i="15"/>
  <c r="N54" i="15"/>
  <c r="G53" i="1" s="1"/>
  <c r="F202" i="28" s="1"/>
  <c r="N53" i="15"/>
  <c r="G52" i="1" s="1"/>
  <c r="F201" i="28" s="1"/>
  <c r="N52" i="15"/>
  <c r="G51" i="1" s="1"/>
  <c r="F200" i="28" s="1"/>
  <c r="N51" i="15"/>
  <c r="N40" i="15"/>
  <c r="N39" i="15"/>
  <c r="G38" i="1" s="1"/>
  <c r="F127" i="28" s="1"/>
  <c r="N38" i="15"/>
  <c r="G37" i="1" s="1"/>
  <c r="F126" i="28" s="1"/>
  <c r="N37" i="15"/>
  <c r="G36" i="1" s="1"/>
  <c r="F125" i="28" s="1"/>
  <c r="N36" i="15"/>
  <c r="K28" i="15"/>
  <c r="K29" i="15" s="1"/>
  <c r="K30" i="15" s="1"/>
  <c r="K31" i="15" s="1"/>
  <c r="K32" i="15" s="1"/>
  <c r="N25" i="15"/>
  <c r="N24" i="15"/>
  <c r="G23" i="1" s="1"/>
  <c r="F67" i="28" s="1"/>
  <c r="N23" i="15"/>
  <c r="G22" i="1" s="1"/>
  <c r="F66" i="28" s="1"/>
  <c r="N22" i="15"/>
  <c r="G21" i="1" s="1"/>
  <c r="F65" i="28" s="1"/>
  <c r="N21" i="15"/>
  <c r="K13" i="15"/>
  <c r="K14" i="15" s="1"/>
  <c r="K15" i="15" s="1"/>
  <c r="K16" i="15" s="1"/>
  <c r="K17" i="15" s="1"/>
  <c r="N10" i="15"/>
  <c r="N9" i="15"/>
  <c r="G8" i="1" s="1"/>
  <c r="F187" i="28" s="1"/>
  <c r="N8" i="15"/>
  <c r="G7" i="1" s="1"/>
  <c r="F186" i="28" s="1"/>
  <c r="N7" i="15"/>
  <c r="G6" i="1" s="1"/>
  <c r="F185" i="28" s="1"/>
  <c r="N6" i="15"/>
  <c r="C267" i="1"/>
  <c r="B56" i="28" s="1"/>
  <c r="B57" i="28" s="1"/>
  <c r="B58" i="28" s="1"/>
  <c r="B59" i="28" s="1"/>
  <c r="B60" i="28" s="1"/>
  <c r="A267" i="1"/>
  <c r="B267" i="1"/>
  <c r="A56" i="28" s="1"/>
  <c r="A57" i="28" s="1"/>
  <c r="A58" i="28" s="1"/>
  <c r="A59" i="28" s="1"/>
  <c r="A60" i="28" s="1"/>
  <c r="C252" i="1"/>
  <c r="B266" i="28" s="1"/>
  <c r="B267" i="28" s="1"/>
  <c r="B268" i="28" s="1"/>
  <c r="B269" i="28" s="1"/>
  <c r="B270" i="28" s="1"/>
  <c r="A252" i="1"/>
  <c r="B252" i="1"/>
  <c r="A266" i="28" s="1"/>
  <c r="A267" i="28" s="1"/>
  <c r="A268" i="28" s="1"/>
  <c r="A269" i="28" s="1"/>
  <c r="A270" i="28" s="1"/>
  <c r="C237" i="1"/>
  <c r="B11" i="28" s="1"/>
  <c r="A237" i="1"/>
  <c r="A238" i="1" s="1"/>
  <c r="B237" i="1"/>
  <c r="A11" i="28" s="1"/>
  <c r="C222" i="1"/>
  <c r="A222" i="1"/>
  <c r="B222" i="1"/>
  <c r="C207" i="1"/>
  <c r="B176" i="28" s="1"/>
  <c r="B177" i="28" s="1"/>
  <c r="B178" i="28" s="1"/>
  <c r="B179" i="28" s="1"/>
  <c r="B180" i="28" s="1"/>
  <c r="A207" i="1"/>
  <c r="B207" i="1"/>
  <c r="A176" i="28" s="1"/>
  <c r="A177" i="28" s="1"/>
  <c r="A178" i="28" s="1"/>
  <c r="A179" i="28" s="1"/>
  <c r="A180" i="28" s="1"/>
  <c r="C192" i="1"/>
  <c r="B161" i="28" s="1"/>
  <c r="B162" i="28" s="1"/>
  <c r="B163" i="28" s="1"/>
  <c r="B164" i="28" s="1"/>
  <c r="B165" i="28" s="1"/>
  <c r="A192" i="1"/>
  <c r="B192" i="1"/>
  <c r="A161" i="28" s="1"/>
  <c r="A162" i="28" s="1"/>
  <c r="A163" i="28" s="1"/>
  <c r="A164" i="28" s="1"/>
  <c r="A165" i="28" s="1"/>
  <c r="C177" i="1"/>
  <c r="B251" i="28" s="1"/>
  <c r="B252" i="28" s="1"/>
  <c r="B253" i="28" s="1"/>
  <c r="B254" i="28" s="1"/>
  <c r="B255" i="28" s="1"/>
  <c r="A177" i="1"/>
  <c r="K251" i="28" s="1"/>
  <c r="B177" i="1"/>
  <c r="A251" i="28" s="1"/>
  <c r="A252" i="28" s="1"/>
  <c r="A253" i="28" s="1"/>
  <c r="A254" i="28" s="1"/>
  <c r="A255" i="28" s="1"/>
  <c r="C162" i="1"/>
  <c r="B26" i="28" s="1"/>
  <c r="B27" i="28" s="1"/>
  <c r="B28" i="28" s="1"/>
  <c r="B29" i="28" s="1"/>
  <c r="B30" i="28" s="1"/>
  <c r="A162" i="1"/>
  <c r="B162" i="1"/>
  <c r="A26" i="28" s="1"/>
  <c r="A27" i="28" s="1"/>
  <c r="A28" i="28" s="1"/>
  <c r="A29" i="28" s="1"/>
  <c r="A30" i="28" s="1"/>
  <c r="C147" i="1"/>
  <c r="A147" i="1"/>
  <c r="K86" i="28" s="1"/>
  <c r="B147" i="1"/>
  <c r="A86" i="28" s="1"/>
  <c r="A87" i="28" s="1"/>
  <c r="A88" i="28" s="1"/>
  <c r="A89" i="28" s="1"/>
  <c r="A90" i="28" s="1"/>
  <c r="C132" i="1"/>
  <c r="B116" i="28" s="1"/>
  <c r="B117" i="28" s="1"/>
  <c r="B118" i="28" s="1"/>
  <c r="B119" i="28" s="1"/>
  <c r="B120" i="28" s="1"/>
  <c r="A132" i="1"/>
  <c r="K116" i="28" s="1"/>
  <c r="B132" i="1"/>
  <c r="A116" i="28" s="1"/>
  <c r="A117" i="28" s="1"/>
  <c r="A118" i="28" s="1"/>
  <c r="A119" i="28" s="1"/>
  <c r="A120" i="28" s="1"/>
  <c r="C117" i="1"/>
  <c r="B236" i="28" s="1"/>
  <c r="B237" i="28" s="1"/>
  <c r="B238" i="28" s="1"/>
  <c r="B239" i="28" s="1"/>
  <c r="B240" i="28" s="1"/>
  <c r="A117" i="1"/>
  <c r="K236" i="28" s="1"/>
  <c r="B117" i="1"/>
  <c r="A236" i="28" s="1"/>
  <c r="A237" i="28" s="1"/>
  <c r="A238" i="28" s="1"/>
  <c r="A239" i="28" s="1"/>
  <c r="A240" i="28" s="1"/>
  <c r="C102" i="1"/>
  <c r="B146" i="28" s="1"/>
  <c r="B147" i="28" s="1"/>
  <c r="B148" i="28" s="1"/>
  <c r="B149" i="28" s="1"/>
  <c r="B150" i="28" s="1"/>
  <c r="A102" i="1"/>
  <c r="B102" i="1"/>
  <c r="A146" i="28" s="1"/>
  <c r="A147" i="28" s="1"/>
  <c r="A148" i="28" s="1"/>
  <c r="A149" i="28" s="1"/>
  <c r="A150" i="28" s="1"/>
  <c r="C87" i="1"/>
  <c r="B221" i="28" s="1"/>
  <c r="B222" i="28" s="1"/>
  <c r="B223" i="28" s="1"/>
  <c r="B224" i="28" s="1"/>
  <c r="B225" i="28" s="1"/>
  <c r="A87" i="1"/>
  <c r="K221" i="28" s="1"/>
  <c r="B87" i="1"/>
  <c r="A221" i="28" s="1"/>
  <c r="A222" i="28" s="1"/>
  <c r="A223" i="28" s="1"/>
  <c r="A224" i="28" s="1"/>
  <c r="A225" i="28" s="1"/>
  <c r="C72" i="1"/>
  <c r="B101" i="28" s="1"/>
  <c r="B102" i="28" s="1"/>
  <c r="B103" i="28" s="1"/>
  <c r="B104" i="28" s="1"/>
  <c r="B105" i="28" s="1"/>
  <c r="A72" i="1"/>
  <c r="K101" i="28" s="1"/>
  <c r="B72" i="1"/>
  <c r="A101" i="28" s="1"/>
  <c r="A102" i="28" s="1"/>
  <c r="A103" i="28" s="1"/>
  <c r="A104" i="28" s="1"/>
  <c r="A105" i="28" s="1"/>
  <c r="C57" i="1"/>
  <c r="B206" i="28" s="1"/>
  <c r="B207" i="28" s="1"/>
  <c r="B208" i="28" s="1"/>
  <c r="B209" i="28" s="1"/>
  <c r="B210" i="28" s="1"/>
  <c r="A57" i="1"/>
  <c r="B57" i="1"/>
  <c r="A206" i="28" s="1"/>
  <c r="A207" i="28" s="1"/>
  <c r="A208" i="28" s="1"/>
  <c r="A209" i="28" s="1"/>
  <c r="A210" i="28" s="1"/>
  <c r="C42" i="1"/>
  <c r="B131" i="28" s="1"/>
  <c r="B132" i="28" s="1"/>
  <c r="B133" i="28" s="1"/>
  <c r="B134" i="28" s="1"/>
  <c r="B135" i="28" s="1"/>
  <c r="A42" i="1"/>
  <c r="K131" i="28" s="1"/>
  <c r="B42" i="1"/>
  <c r="A131" i="28" s="1"/>
  <c r="A132" i="28" s="1"/>
  <c r="A133" i="28" s="1"/>
  <c r="A134" i="28" s="1"/>
  <c r="A135" i="28" s="1"/>
  <c r="C27" i="1"/>
  <c r="B71" i="28" s="1"/>
  <c r="B72" i="28" s="1"/>
  <c r="B73" i="28" s="1"/>
  <c r="B74" i="28" s="1"/>
  <c r="B75" i="28" s="1"/>
  <c r="A27" i="1"/>
  <c r="B27" i="1"/>
  <c r="A71" i="28" s="1"/>
  <c r="A72" i="28" s="1"/>
  <c r="A73" i="28" s="1"/>
  <c r="A74" i="28" s="1"/>
  <c r="A75" i="28" s="1"/>
  <c r="C12" i="1"/>
  <c r="A12" i="1"/>
  <c r="K191" i="28" s="1"/>
  <c r="B12" i="1"/>
  <c r="C228" i="1"/>
  <c r="B2" i="28" s="1"/>
  <c r="C229" i="1"/>
  <c r="B3" i="28" s="1"/>
  <c r="C230" i="1"/>
  <c r="B4" i="28" s="1"/>
  <c r="C231" i="1"/>
  <c r="B5" i="28" s="1"/>
  <c r="C232" i="1"/>
  <c r="B6" i="28" s="1"/>
  <c r="C233" i="1"/>
  <c r="B7" i="28" s="1"/>
  <c r="C234" i="1"/>
  <c r="B8" i="28" s="1"/>
  <c r="C235" i="1"/>
  <c r="B9" i="28" s="1"/>
  <c r="C236" i="1"/>
  <c r="B10" i="28" s="1"/>
  <c r="C153" i="1"/>
  <c r="B17" i="28" s="1"/>
  <c r="C154" i="1"/>
  <c r="B18" i="28" s="1"/>
  <c r="C155" i="1"/>
  <c r="B19" i="28" s="1"/>
  <c r="C156" i="1"/>
  <c r="B20" i="28" s="1"/>
  <c r="C157" i="1"/>
  <c r="B21" i="28" s="1"/>
  <c r="C158" i="1"/>
  <c r="B22" i="28" s="1"/>
  <c r="C159" i="1"/>
  <c r="B23" i="28" s="1"/>
  <c r="C160" i="1"/>
  <c r="B24" i="28" s="1"/>
  <c r="C161" i="1"/>
  <c r="B25" i="28" s="1"/>
  <c r="D162" i="1"/>
  <c r="C26" i="28" s="1"/>
  <c r="C27" i="28" s="1"/>
  <c r="C28" i="28" s="1"/>
  <c r="C29" i="28" s="1"/>
  <c r="C30" i="28" s="1"/>
  <c r="C213" i="1"/>
  <c r="B32" i="28" s="1"/>
  <c r="C214" i="1"/>
  <c r="B33" i="28" s="1"/>
  <c r="C215" i="1"/>
  <c r="B34" i="28" s="1"/>
  <c r="C216" i="1"/>
  <c r="B35" i="28" s="1"/>
  <c r="C217" i="1"/>
  <c r="B36" i="28" s="1"/>
  <c r="C218" i="1"/>
  <c r="B37" i="28" s="1"/>
  <c r="C219" i="1"/>
  <c r="B38" i="28" s="1"/>
  <c r="C220" i="1"/>
  <c r="B39" i="28" s="1"/>
  <c r="C221" i="1"/>
  <c r="B40" i="28" s="1"/>
  <c r="D222" i="1"/>
  <c r="C41" i="28" s="1"/>
  <c r="C42" i="28" s="1"/>
  <c r="C43" i="28" s="1"/>
  <c r="C44" i="28" s="1"/>
  <c r="C45" i="28" s="1"/>
  <c r="C258" i="1"/>
  <c r="C259" i="1"/>
  <c r="C260" i="1"/>
  <c r="C261" i="1"/>
  <c r="B50" i="28" s="1"/>
  <c r="C262" i="1"/>
  <c r="B51" i="28" s="1"/>
  <c r="C263" i="1"/>
  <c r="B52" i="28" s="1"/>
  <c r="C264" i="1"/>
  <c r="B53" i="28" s="1"/>
  <c r="C265" i="1"/>
  <c r="B54" i="28" s="1"/>
  <c r="C266" i="1"/>
  <c r="B55" i="28" s="1"/>
  <c r="D267" i="1"/>
  <c r="C56" i="28" s="1"/>
  <c r="C57" i="28" s="1"/>
  <c r="C58" i="28" s="1"/>
  <c r="C59" i="28" s="1"/>
  <c r="C60" i="28" s="1"/>
  <c r="C18" i="1"/>
  <c r="B62" i="28" s="1"/>
  <c r="C19" i="1"/>
  <c r="B63" i="28" s="1"/>
  <c r="C20" i="1"/>
  <c r="B64" i="28" s="1"/>
  <c r="C21" i="1"/>
  <c r="B65" i="28" s="1"/>
  <c r="C22" i="1"/>
  <c r="B66" i="28" s="1"/>
  <c r="C23" i="1"/>
  <c r="B67" i="28" s="1"/>
  <c r="C24" i="1"/>
  <c r="B68" i="28" s="1"/>
  <c r="C25" i="1"/>
  <c r="B69" i="28" s="1"/>
  <c r="C26" i="1"/>
  <c r="B70" i="28" s="1"/>
  <c r="D27" i="1"/>
  <c r="C71" i="28" s="1"/>
  <c r="C72" i="28" s="1"/>
  <c r="C73" i="28" s="1"/>
  <c r="C74" i="28" s="1"/>
  <c r="C75" i="28" s="1"/>
  <c r="C138" i="1"/>
  <c r="B77" i="28" s="1"/>
  <c r="C139" i="1"/>
  <c r="B78" i="28" s="1"/>
  <c r="C140" i="1"/>
  <c r="B79" i="28" s="1"/>
  <c r="C141" i="1"/>
  <c r="B80" i="28" s="1"/>
  <c r="C142" i="1"/>
  <c r="B81" i="28" s="1"/>
  <c r="C143" i="1"/>
  <c r="B82" i="28" s="1"/>
  <c r="C144" i="1"/>
  <c r="B83" i="28" s="1"/>
  <c r="C145" i="1"/>
  <c r="B84" i="28" s="1"/>
  <c r="C146" i="1"/>
  <c r="B85" i="28" s="1"/>
  <c r="D147" i="1"/>
  <c r="C86" i="28" s="1"/>
  <c r="C87" i="28" s="1"/>
  <c r="C88" i="28" s="1"/>
  <c r="C89" i="28" s="1"/>
  <c r="C90" i="28" s="1"/>
  <c r="C63" i="1"/>
  <c r="B92" i="28" s="1"/>
  <c r="C64" i="1"/>
  <c r="B93" i="28" s="1"/>
  <c r="C65" i="1"/>
  <c r="B94" i="28" s="1"/>
  <c r="C66" i="1"/>
  <c r="B95" i="28" s="1"/>
  <c r="C67" i="1"/>
  <c r="B96" i="28" s="1"/>
  <c r="C68" i="1"/>
  <c r="B97" i="28" s="1"/>
  <c r="C69" i="1"/>
  <c r="B98" i="28" s="1"/>
  <c r="C70" i="1"/>
  <c r="B99" i="28" s="1"/>
  <c r="C71" i="1"/>
  <c r="B100" i="28" s="1"/>
  <c r="D72" i="1"/>
  <c r="C101" i="28" s="1"/>
  <c r="C102" i="28" s="1"/>
  <c r="C103" i="28" s="1"/>
  <c r="C104" i="28" s="1"/>
  <c r="C105" i="28" s="1"/>
  <c r="C123" i="1"/>
  <c r="B107" i="28" s="1"/>
  <c r="C124" i="1"/>
  <c r="B108" i="28" s="1"/>
  <c r="C125" i="1"/>
  <c r="B109" i="28" s="1"/>
  <c r="C126" i="1"/>
  <c r="B110" i="28" s="1"/>
  <c r="C127" i="1"/>
  <c r="B111" i="28" s="1"/>
  <c r="C128" i="1"/>
  <c r="B112" i="28" s="1"/>
  <c r="C129" i="1"/>
  <c r="B113" i="28" s="1"/>
  <c r="C130" i="1"/>
  <c r="B114" i="28" s="1"/>
  <c r="C131" i="1"/>
  <c r="B115" i="28" s="1"/>
  <c r="D132" i="1"/>
  <c r="C116" i="28" s="1"/>
  <c r="C117" i="28" s="1"/>
  <c r="C118" i="28" s="1"/>
  <c r="C119" i="28" s="1"/>
  <c r="C120" i="28" s="1"/>
  <c r="C33" i="1"/>
  <c r="B122" i="28" s="1"/>
  <c r="C34" i="1"/>
  <c r="B123" i="28" s="1"/>
  <c r="C35" i="1"/>
  <c r="B124" i="28" s="1"/>
  <c r="C36" i="1"/>
  <c r="B125" i="28" s="1"/>
  <c r="C37" i="1"/>
  <c r="B126" i="28" s="1"/>
  <c r="C38" i="1"/>
  <c r="B127" i="28" s="1"/>
  <c r="C39" i="1"/>
  <c r="B128" i="28" s="1"/>
  <c r="C40" i="1"/>
  <c r="B129" i="28" s="1"/>
  <c r="C41" i="1"/>
  <c r="B130" i="28" s="1"/>
  <c r="D42" i="1"/>
  <c r="C131" i="28" s="1"/>
  <c r="C132" i="28" s="1"/>
  <c r="C133" i="28" s="1"/>
  <c r="C134" i="28" s="1"/>
  <c r="C135" i="28" s="1"/>
  <c r="C93" i="1"/>
  <c r="B137" i="28" s="1"/>
  <c r="C94" i="1"/>
  <c r="B138" i="28" s="1"/>
  <c r="C95" i="1"/>
  <c r="B139" i="28" s="1"/>
  <c r="C96" i="1"/>
  <c r="B140" i="28" s="1"/>
  <c r="C97" i="1"/>
  <c r="B141" i="28" s="1"/>
  <c r="C98" i="1"/>
  <c r="B142" i="28" s="1"/>
  <c r="C99" i="1"/>
  <c r="B143" i="28" s="1"/>
  <c r="C100" i="1"/>
  <c r="B144" i="28" s="1"/>
  <c r="C101" i="1"/>
  <c r="B145" i="28" s="1"/>
  <c r="D102" i="1"/>
  <c r="C146" i="28" s="1"/>
  <c r="C147" i="28" s="1"/>
  <c r="C148" i="28" s="1"/>
  <c r="C149" i="28" s="1"/>
  <c r="C150" i="28" s="1"/>
  <c r="C183" i="1"/>
  <c r="B152" i="28" s="1"/>
  <c r="C184" i="1"/>
  <c r="B153" i="28" s="1"/>
  <c r="C185" i="1"/>
  <c r="B154" i="28" s="1"/>
  <c r="C186" i="1"/>
  <c r="B155" i="28" s="1"/>
  <c r="C187" i="1"/>
  <c r="B156" i="28" s="1"/>
  <c r="C188" i="1"/>
  <c r="B157" i="28" s="1"/>
  <c r="C189" i="1"/>
  <c r="B158" i="28" s="1"/>
  <c r="C190" i="1"/>
  <c r="B159" i="28" s="1"/>
  <c r="C191" i="1"/>
  <c r="B160" i="28" s="1"/>
  <c r="D192" i="1"/>
  <c r="C161" i="28" s="1"/>
  <c r="C162" i="28" s="1"/>
  <c r="C163" i="28" s="1"/>
  <c r="C164" i="28" s="1"/>
  <c r="C165" i="28" s="1"/>
  <c r="C198" i="1"/>
  <c r="B167" i="28" s="1"/>
  <c r="C199" i="1"/>
  <c r="B168" i="28" s="1"/>
  <c r="C200" i="1"/>
  <c r="B169" i="28" s="1"/>
  <c r="C201" i="1"/>
  <c r="B170" i="28" s="1"/>
  <c r="C202" i="1"/>
  <c r="B171" i="28" s="1"/>
  <c r="C203" i="1"/>
  <c r="B172" i="28" s="1"/>
  <c r="C204" i="1"/>
  <c r="B173" i="28" s="1"/>
  <c r="C205" i="1"/>
  <c r="B174" i="28" s="1"/>
  <c r="C206" i="1"/>
  <c r="B175" i="28" s="1"/>
  <c r="D207" i="1"/>
  <c r="C176" i="28" s="1"/>
  <c r="C177" i="28" s="1"/>
  <c r="C178" i="28" s="1"/>
  <c r="C179" i="28" s="1"/>
  <c r="C180" i="28" s="1"/>
  <c r="C3" i="1"/>
  <c r="B182" i="28" s="1"/>
  <c r="C4" i="1"/>
  <c r="B183" i="28" s="1"/>
  <c r="C5" i="1"/>
  <c r="B184" i="28" s="1"/>
  <c r="C6" i="1"/>
  <c r="B185" i="28" s="1"/>
  <c r="C7" i="1"/>
  <c r="B186" i="28" s="1"/>
  <c r="C8" i="1"/>
  <c r="B187" i="28" s="1"/>
  <c r="C9" i="1"/>
  <c r="B188" i="28" s="1"/>
  <c r="C10" i="1"/>
  <c r="B189" i="28" s="1"/>
  <c r="C11" i="1"/>
  <c r="B190" i="28" s="1"/>
  <c r="D12" i="1"/>
  <c r="C191" i="28" s="1"/>
  <c r="C192" i="28" s="1"/>
  <c r="C193" i="28" s="1"/>
  <c r="C194" i="28" s="1"/>
  <c r="C195" i="28" s="1"/>
  <c r="C48" i="1"/>
  <c r="B197" i="28" s="1"/>
  <c r="C49" i="1"/>
  <c r="B198" i="28" s="1"/>
  <c r="C50" i="1"/>
  <c r="B199" i="28" s="1"/>
  <c r="C51" i="1"/>
  <c r="B200" i="28" s="1"/>
  <c r="C52" i="1"/>
  <c r="B201" i="28" s="1"/>
  <c r="C53" i="1"/>
  <c r="B202" i="28" s="1"/>
  <c r="C54" i="1"/>
  <c r="B203" i="28" s="1"/>
  <c r="C55" i="1"/>
  <c r="B204" i="28" s="1"/>
  <c r="C56" i="1"/>
  <c r="B205" i="28" s="1"/>
  <c r="D57" i="1"/>
  <c r="C206" i="28" s="1"/>
  <c r="C207" i="28" s="1"/>
  <c r="C208" i="28" s="1"/>
  <c r="C209" i="28" s="1"/>
  <c r="C210" i="28" s="1"/>
  <c r="C78" i="1"/>
  <c r="B212" i="28" s="1"/>
  <c r="C79" i="1"/>
  <c r="B213" i="28" s="1"/>
  <c r="C80" i="1"/>
  <c r="B214" i="28" s="1"/>
  <c r="C81" i="1"/>
  <c r="B215" i="28" s="1"/>
  <c r="C82" i="1"/>
  <c r="B216" i="28" s="1"/>
  <c r="C83" i="1"/>
  <c r="B217" i="28" s="1"/>
  <c r="C84" i="1"/>
  <c r="B218" i="28" s="1"/>
  <c r="C85" i="1"/>
  <c r="B219" i="28" s="1"/>
  <c r="C86" i="1"/>
  <c r="B220" i="28" s="1"/>
  <c r="D87" i="1"/>
  <c r="C221" i="28" s="1"/>
  <c r="C222" i="28" s="1"/>
  <c r="C223" i="28" s="1"/>
  <c r="C224" i="28" s="1"/>
  <c r="C225" i="28" s="1"/>
  <c r="C108" i="1"/>
  <c r="B227" i="28" s="1"/>
  <c r="C109" i="1"/>
  <c r="B228" i="28" s="1"/>
  <c r="C110" i="1"/>
  <c r="B229" i="28" s="1"/>
  <c r="C111" i="1"/>
  <c r="B230" i="28" s="1"/>
  <c r="C112" i="1"/>
  <c r="B231" i="28" s="1"/>
  <c r="C113" i="1"/>
  <c r="B232" i="28" s="1"/>
  <c r="C114" i="1"/>
  <c r="B233" i="28" s="1"/>
  <c r="C115" i="1"/>
  <c r="B234" i="28" s="1"/>
  <c r="C116" i="1"/>
  <c r="B235" i="28" s="1"/>
  <c r="D117" i="1"/>
  <c r="C236" i="28" s="1"/>
  <c r="C237" i="28" s="1"/>
  <c r="C238" i="28" s="1"/>
  <c r="C239" i="28" s="1"/>
  <c r="C240" i="28" s="1"/>
  <c r="C168" i="1"/>
  <c r="B242" i="28" s="1"/>
  <c r="C169" i="1"/>
  <c r="B243" i="28" s="1"/>
  <c r="C170" i="1"/>
  <c r="B244" i="28" s="1"/>
  <c r="C171" i="1"/>
  <c r="B245" i="28" s="1"/>
  <c r="C172" i="1"/>
  <c r="B246" i="28" s="1"/>
  <c r="C173" i="1"/>
  <c r="B247" i="28" s="1"/>
  <c r="C174" i="1"/>
  <c r="B248" i="28" s="1"/>
  <c r="C175" i="1"/>
  <c r="B249" i="28" s="1"/>
  <c r="C176" i="1"/>
  <c r="B250" i="28" s="1"/>
  <c r="D177" i="1"/>
  <c r="C251" i="28" s="1"/>
  <c r="C252" i="28" s="1"/>
  <c r="C253" i="28" s="1"/>
  <c r="C254" i="28" s="1"/>
  <c r="C255" i="28" s="1"/>
  <c r="C243" i="1"/>
  <c r="B257" i="28" s="1"/>
  <c r="C244" i="1"/>
  <c r="B258" i="28" s="1"/>
  <c r="C245" i="1"/>
  <c r="B259" i="28" s="1"/>
  <c r="C246" i="1"/>
  <c r="B260" i="28" s="1"/>
  <c r="C247" i="1"/>
  <c r="B261" i="28" s="1"/>
  <c r="C248" i="1"/>
  <c r="B262" i="28" s="1"/>
  <c r="C249" i="1"/>
  <c r="B263" i="28" s="1"/>
  <c r="C250" i="1"/>
  <c r="B264" i="28" s="1"/>
  <c r="C251" i="1"/>
  <c r="B265" i="28" s="1"/>
  <c r="D252" i="1"/>
  <c r="C266" i="28" s="1"/>
  <c r="C267" i="28" s="1"/>
  <c r="C268" i="28" s="1"/>
  <c r="C269" i="28" s="1"/>
  <c r="C270" i="28" s="1"/>
  <c r="A266" i="1"/>
  <c r="K55" i="28" s="1"/>
  <c r="A265" i="1"/>
  <c r="K54" i="28" s="1"/>
  <c r="A264" i="1"/>
  <c r="K53" i="28" s="1"/>
  <c r="A263" i="1"/>
  <c r="K52" i="28" s="1"/>
  <c r="A262" i="1"/>
  <c r="K51" i="28" s="1"/>
  <c r="A261" i="1"/>
  <c r="K50" i="28" s="1"/>
  <c r="A260" i="1"/>
  <c r="K49" i="28" s="1"/>
  <c r="A259" i="1"/>
  <c r="K48" i="28" s="1"/>
  <c r="A258" i="1"/>
  <c r="K47" i="28" s="1"/>
  <c r="A251" i="1"/>
  <c r="K265" i="28" s="1"/>
  <c r="A250" i="1"/>
  <c r="K264" i="28" s="1"/>
  <c r="A249" i="1"/>
  <c r="K263" i="28" s="1"/>
  <c r="A248" i="1"/>
  <c r="K262" i="28" s="1"/>
  <c r="A247" i="1"/>
  <c r="K261" i="28" s="1"/>
  <c r="A246" i="1"/>
  <c r="K260" i="28" s="1"/>
  <c r="A245" i="1"/>
  <c r="K259" i="28" s="1"/>
  <c r="A244" i="1"/>
  <c r="K258" i="28" s="1"/>
  <c r="A243" i="1"/>
  <c r="K257" i="28" s="1"/>
  <c r="D237" i="1"/>
  <c r="C11" i="28" s="1"/>
  <c r="A236" i="1"/>
  <c r="A235" i="1"/>
  <c r="A234" i="1"/>
  <c r="A233" i="1"/>
  <c r="A232" i="1"/>
  <c r="A231" i="1"/>
  <c r="A230" i="1"/>
  <c r="A229" i="1"/>
  <c r="A228" i="1"/>
  <c r="A221" i="1"/>
  <c r="K40" i="28" s="1"/>
  <c r="A220" i="1"/>
  <c r="K39" i="28" s="1"/>
  <c r="A219" i="1"/>
  <c r="K38" i="28" s="1"/>
  <c r="A218" i="1"/>
  <c r="K37" i="28" s="1"/>
  <c r="A217" i="1"/>
  <c r="K36" i="28" s="1"/>
  <c r="A216" i="1"/>
  <c r="K35" i="28" s="1"/>
  <c r="A215" i="1"/>
  <c r="K34" i="28" s="1"/>
  <c r="A214" i="1"/>
  <c r="K33" i="28" s="1"/>
  <c r="A213" i="1"/>
  <c r="K32" i="28" s="1"/>
  <c r="A206" i="1"/>
  <c r="K175" i="28" s="1"/>
  <c r="A205" i="1"/>
  <c r="K174" i="28" s="1"/>
  <c r="A204" i="1"/>
  <c r="K173" i="28" s="1"/>
  <c r="A203" i="1"/>
  <c r="K172" i="28" s="1"/>
  <c r="A202" i="1"/>
  <c r="K171" i="28" s="1"/>
  <c r="A201" i="1"/>
  <c r="K170" i="28" s="1"/>
  <c r="A200" i="1"/>
  <c r="K169" i="28" s="1"/>
  <c r="A199" i="1"/>
  <c r="K168" i="28" s="1"/>
  <c r="A198" i="1"/>
  <c r="K167" i="28" s="1"/>
  <c r="A191" i="1"/>
  <c r="K160" i="28" s="1"/>
  <c r="A190" i="1"/>
  <c r="K159" i="28" s="1"/>
  <c r="A189" i="1"/>
  <c r="K158" i="28" s="1"/>
  <c r="A188" i="1"/>
  <c r="K157" i="28" s="1"/>
  <c r="A187" i="1"/>
  <c r="K156" i="28" s="1"/>
  <c r="A186" i="1"/>
  <c r="K155" i="28" s="1"/>
  <c r="A185" i="1"/>
  <c r="K154" i="28" s="1"/>
  <c r="A184" i="1"/>
  <c r="K153" i="28" s="1"/>
  <c r="A183" i="1"/>
  <c r="K152" i="28" s="1"/>
  <c r="A176" i="1"/>
  <c r="K250" i="28" s="1"/>
  <c r="A175" i="1"/>
  <c r="K249" i="28" s="1"/>
  <c r="A174" i="1"/>
  <c r="K248" i="28" s="1"/>
  <c r="A173" i="1"/>
  <c r="K247" i="28" s="1"/>
  <c r="A172" i="1"/>
  <c r="K246" i="28" s="1"/>
  <c r="A171" i="1"/>
  <c r="K245" i="28" s="1"/>
  <c r="A170" i="1"/>
  <c r="K244" i="28" s="1"/>
  <c r="A169" i="1"/>
  <c r="K243" i="28" s="1"/>
  <c r="A168" i="1"/>
  <c r="K242" i="28" s="1"/>
  <c r="A161" i="1"/>
  <c r="K25" i="28" s="1"/>
  <c r="A160" i="1"/>
  <c r="K24" i="28" s="1"/>
  <c r="A159" i="1"/>
  <c r="K23" i="28" s="1"/>
  <c r="A158" i="1"/>
  <c r="K22" i="28" s="1"/>
  <c r="A157" i="1"/>
  <c r="K21" i="28" s="1"/>
  <c r="A156" i="1"/>
  <c r="K20" i="28" s="1"/>
  <c r="A155" i="1"/>
  <c r="K19" i="28" s="1"/>
  <c r="A154" i="1"/>
  <c r="K18" i="28" s="1"/>
  <c r="A153" i="1"/>
  <c r="K17" i="28" s="1"/>
  <c r="A146" i="1"/>
  <c r="K85" i="28" s="1"/>
  <c r="A145" i="1"/>
  <c r="K84" i="28" s="1"/>
  <c r="A144" i="1"/>
  <c r="K83" i="28" s="1"/>
  <c r="A143" i="1"/>
  <c r="K82" i="28" s="1"/>
  <c r="A142" i="1"/>
  <c r="K81" i="28" s="1"/>
  <c r="A141" i="1"/>
  <c r="K80" i="28" s="1"/>
  <c r="A140" i="1"/>
  <c r="K79" i="28" s="1"/>
  <c r="A139" i="1"/>
  <c r="K78" i="28" s="1"/>
  <c r="A138" i="1"/>
  <c r="K77" i="28" s="1"/>
  <c r="A131" i="1"/>
  <c r="K115" i="28" s="1"/>
  <c r="A130" i="1"/>
  <c r="K114" i="28" s="1"/>
  <c r="A129" i="1"/>
  <c r="K113" i="28" s="1"/>
  <c r="A128" i="1"/>
  <c r="K112" i="28" s="1"/>
  <c r="A127" i="1"/>
  <c r="K111" i="28" s="1"/>
  <c r="A126" i="1"/>
  <c r="K110" i="28" s="1"/>
  <c r="A125" i="1"/>
  <c r="K109" i="28" s="1"/>
  <c r="A124" i="1"/>
  <c r="K108" i="28" s="1"/>
  <c r="A123" i="1"/>
  <c r="K107" i="28" s="1"/>
  <c r="A116" i="1"/>
  <c r="K235" i="28" s="1"/>
  <c r="A115" i="1"/>
  <c r="K234" i="28" s="1"/>
  <c r="A114" i="1"/>
  <c r="K233" i="28" s="1"/>
  <c r="A113" i="1"/>
  <c r="K232" i="28" s="1"/>
  <c r="A112" i="1"/>
  <c r="K231" i="28" s="1"/>
  <c r="A111" i="1"/>
  <c r="K230" i="28" s="1"/>
  <c r="A110" i="1"/>
  <c r="K229" i="28" s="1"/>
  <c r="A109" i="1"/>
  <c r="K228" i="28" s="1"/>
  <c r="A108" i="1"/>
  <c r="K227" i="28" s="1"/>
  <c r="A101" i="1"/>
  <c r="K145" i="28" s="1"/>
  <c r="A100" i="1"/>
  <c r="K144" i="28" s="1"/>
  <c r="A99" i="1"/>
  <c r="K143" i="28" s="1"/>
  <c r="A98" i="1"/>
  <c r="K142" i="28" s="1"/>
  <c r="A97" i="1"/>
  <c r="K141" i="28" s="1"/>
  <c r="A96" i="1"/>
  <c r="K140" i="28" s="1"/>
  <c r="A95" i="1"/>
  <c r="K139" i="28" s="1"/>
  <c r="A94" i="1"/>
  <c r="K138" i="28" s="1"/>
  <c r="A93" i="1"/>
  <c r="K137" i="28" s="1"/>
  <c r="A86" i="1"/>
  <c r="K220" i="28" s="1"/>
  <c r="A85" i="1"/>
  <c r="K219" i="28" s="1"/>
  <c r="A84" i="1"/>
  <c r="K218" i="28" s="1"/>
  <c r="A83" i="1"/>
  <c r="K217" i="28" s="1"/>
  <c r="A82" i="1"/>
  <c r="K216" i="28" s="1"/>
  <c r="A81" i="1"/>
  <c r="K215" i="28" s="1"/>
  <c r="A80" i="1"/>
  <c r="K214" i="28" s="1"/>
  <c r="A79" i="1"/>
  <c r="K213" i="28" s="1"/>
  <c r="A78" i="1"/>
  <c r="K212" i="28" s="1"/>
  <c r="A71" i="1"/>
  <c r="K100" i="28" s="1"/>
  <c r="A70" i="1"/>
  <c r="K99" i="28" s="1"/>
  <c r="A69" i="1"/>
  <c r="K98" i="28" s="1"/>
  <c r="A68" i="1"/>
  <c r="K97" i="28" s="1"/>
  <c r="A67" i="1"/>
  <c r="K96" i="28" s="1"/>
  <c r="A66" i="1"/>
  <c r="K95" i="28" s="1"/>
  <c r="A65" i="1"/>
  <c r="K94" i="28" s="1"/>
  <c r="A64" i="1"/>
  <c r="K93" i="28" s="1"/>
  <c r="A63" i="1"/>
  <c r="K92" i="28" s="1"/>
  <c r="A56" i="1"/>
  <c r="K205" i="28" s="1"/>
  <c r="A55" i="1"/>
  <c r="K204" i="28" s="1"/>
  <c r="A54" i="1"/>
  <c r="K203" i="28" s="1"/>
  <c r="A53" i="1"/>
  <c r="K202" i="28" s="1"/>
  <c r="A52" i="1"/>
  <c r="K201" i="28" s="1"/>
  <c r="A51" i="1"/>
  <c r="K200" i="28" s="1"/>
  <c r="A50" i="1"/>
  <c r="K199" i="28" s="1"/>
  <c r="A49" i="1"/>
  <c r="K198" i="28" s="1"/>
  <c r="A48" i="1"/>
  <c r="K197" i="28" s="1"/>
  <c r="A41" i="1"/>
  <c r="K130" i="28" s="1"/>
  <c r="A40" i="1"/>
  <c r="K129" i="28" s="1"/>
  <c r="A39" i="1"/>
  <c r="K128" i="28" s="1"/>
  <c r="A38" i="1"/>
  <c r="K127" i="28" s="1"/>
  <c r="A37" i="1"/>
  <c r="K126" i="28" s="1"/>
  <c r="A36" i="1"/>
  <c r="K125" i="28" s="1"/>
  <c r="A35" i="1"/>
  <c r="K124" i="28" s="1"/>
  <c r="A34" i="1"/>
  <c r="K123" i="28" s="1"/>
  <c r="A33" i="1"/>
  <c r="K122" i="28" s="1"/>
  <c r="A26" i="1"/>
  <c r="K70" i="28" s="1"/>
  <c r="A25" i="1"/>
  <c r="K69" i="28" s="1"/>
  <c r="A24" i="1"/>
  <c r="K68" i="28" s="1"/>
  <c r="A23" i="1"/>
  <c r="K67" i="28" s="1"/>
  <c r="A22" i="1"/>
  <c r="K66" i="28" s="1"/>
  <c r="A21" i="1"/>
  <c r="K65" i="28" s="1"/>
  <c r="A20" i="1"/>
  <c r="K64" i="28" s="1"/>
  <c r="A19" i="1"/>
  <c r="K63" i="28" s="1"/>
  <c r="A18" i="1"/>
  <c r="K62" i="28" s="1"/>
  <c r="A11" i="1"/>
  <c r="K190" i="28" s="1"/>
  <c r="A10" i="1"/>
  <c r="K189" i="28" s="1"/>
  <c r="A9" i="1"/>
  <c r="K188" i="28" s="1"/>
  <c r="A8" i="1"/>
  <c r="K187" i="28" s="1"/>
  <c r="A7" i="1"/>
  <c r="K186" i="28" s="1"/>
  <c r="A6" i="1"/>
  <c r="K185" i="28" s="1"/>
  <c r="A5" i="1"/>
  <c r="K184" i="28" s="1"/>
  <c r="A4" i="1"/>
  <c r="K183" i="28" s="1"/>
  <c r="A3" i="1"/>
  <c r="K182" i="28" s="1"/>
  <c r="A133" i="1"/>
  <c r="K117" i="28" s="1"/>
  <c r="B238" i="1"/>
  <c r="H626" i="18" l="1"/>
  <c r="G91" i="25" s="1"/>
  <c r="H986" i="18"/>
  <c r="G25" i="25" s="1"/>
  <c r="H806" i="18"/>
  <c r="G208" i="25" s="1"/>
  <c r="H731" i="18"/>
  <c r="G447" i="25" s="1"/>
  <c r="H656" i="18"/>
  <c r="G387" i="25" s="1"/>
  <c r="H56" i="18"/>
  <c r="G327" i="25" s="1"/>
  <c r="M63" i="16"/>
  <c r="M57" i="16"/>
  <c r="M53" i="16"/>
  <c r="M49" i="16"/>
  <c r="M59" i="16"/>
  <c r="M56" i="16"/>
  <c r="M62" i="16"/>
  <c r="M60" i="16"/>
  <c r="M58" i="16"/>
  <c r="M55" i="16"/>
  <c r="F23" i="17"/>
  <c r="G23" i="17" s="1"/>
  <c r="F22" i="17"/>
  <c r="G22" i="17" s="1"/>
  <c r="K6" i="17"/>
  <c r="F25" i="17"/>
  <c r="G25" i="17" s="1"/>
  <c r="H101" i="18"/>
  <c r="G163" i="25" s="1"/>
  <c r="H987" i="18"/>
  <c r="G26" i="25" s="1"/>
  <c r="B208" i="1"/>
  <c r="B209" i="1" s="1"/>
  <c r="B210" i="1" s="1"/>
  <c r="B211" i="1" s="1"/>
  <c r="B28" i="1"/>
  <c r="B29" i="1" s="1"/>
  <c r="B30" i="1" s="1"/>
  <c r="B31" i="1" s="1"/>
  <c r="A43" i="1"/>
  <c r="K132" i="28" s="1"/>
  <c r="B274" i="28"/>
  <c r="B49" i="28"/>
  <c r="B13" i="1"/>
  <c r="B14" i="1" s="1"/>
  <c r="B15" i="1" s="1"/>
  <c r="B16" i="1" s="1"/>
  <c r="A191" i="28"/>
  <c r="A192" i="28" s="1"/>
  <c r="A193" i="28" s="1"/>
  <c r="A194" i="28" s="1"/>
  <c r="A195" i="28" s="1"/>
  <c r="A28" i="1"/>
  <c r="K72" i="28" s="1"/>
  <c r="K71" i="28"/>
  <c r="A208" i="1"/>
  <c r="K176" i="28"/>
  <c r="C223" i="1"/>
  <c r="C224" i="1" s="1"/>
  <c r="C225" i="1" s="1"/>
  <c r="C226" i="1" s="1"/>
  <c r="B41" i="28"/>
  <c r="B42" i="28" s="1"/>
  <c r="B43" i="28" s="1"/>
  <c r="B44" i="28" s="1"/>
  <c r="B45" i="28" s="1"/>
  <c r="A268" i="1"/>
  <c r="K57" i="28" s="1"/>
  <c r="K56" i="28"/>
  <c r="N20" i="15"/>
  <c r="G19" i="1" s="1"/>
  <c r="F63" i="28" s="1"/>
  <c r="G20" i="1"/>
  <c r="F64" i="28" s="1"/>
  <c r="N26" i="15"/>
  <c r="G25" i="1" s="1"/>
  <c r="F69" i="28" s="1"/>
  <c r="G24" i="1"/>
  <c r="F68" i="28" s="1"/>
  <c r="N245" i="15"/>
  <c r="G244" i="1" s="1"/>
  <c r="F258" i="28" s="1"/>
  <c r="G245" i="1"/>
  <c r="F259" i="28" s="1"/>
  <c r="N251" i="15"/>
  <c r="G250" i="1" s="1"/>
  <c r="F264" i="28" s="1"/>
  <c r="G249" i="1"/>
  <c r="F263" i="28" s="1"/>
  <c r="M51" i="16"/>
  <c r="M47" i="16"/>
  <c r="F26" i="17"/>
  <c r="G26" i="17" s="1"/>
  <c r="E122" i="25"/>
  <c r="F1020" i="18"/>
  <c r="F1035" i="18" s="1"/>
  <c r="E26" i="25"/>
  <c r="E11" i="25" s="1"/>
  <c r="F1002" i="18"/>
  <c r="E269" i="25"/>
  <c r="F973" i="18"/>
  <c r="F988" i="18" s="1"/>
  <c r="E459" i="25"/>
  <c r="F1103" i="18"/>
  <c r="B239" i="1"/>
  <c r="A12" i="28"/>
  <c r="B273" i="28"/>
  <c r="B48" i="28"/>
  <c r="C148" i="1"/>
  <c r="C149" i="1" s="1"/>
  <c r="C150" i="1" s="1"/>
  <c r="C151" i="1" s="1"/>
  <c r="B86" i="28"/>
  <c r="B87" i="28" s="1"/>
  <c r="B88" i="28" s="1"/>
  <c r="B89" i="28" s="1"/>
  <c r="B90" i="28" s="1"/>
  <c r="A193" i="1"/>
  <c r="K161" i="28"/>
  <c r="A253" i="1"/>
  <c r="K267" i="28" s="1"/>
  <c r="K266" i="28"/>
  <c r="N65" i="15"/>
  <c r="G64" i="1" s="1"/>
  <c r="F93" i="28" s="1"/>
  <c r="G65" i="1"/>
  <c r="F94" i="28" s="1"/>
  <c r="N71" i="15"/>
  <c r="N72" i="15" s="1"/>
  <c r="G71" i="1" s="1"/>
  <c r="F100" i="28" s="1"/>
  <c r="G69" i="1"/>
  <c r="F98" i="28" s="1"/>
  <c r="N95" i="15"/>
  <c r="N94" i="15" s="1"/>
  <c r="G93" i="1" s="1"/>
  <c r="G95" i="1"/>
  <c r="F139" i="28" s="1"/>
  <c r="N101" i="15"/>
  <c r="G100" i="1" s="1"/>
  <c r="F144" i="28" s="1"/>
  <c r="G99" i="1"/>
  <c r="F143" i="28" s="1"/>
  <c r="N125" i="15"/>
  <c r="N124" i="15" s="1"/>
  <c r="G123" i="1" s="1"/>
  <c r="F107" i="28" s="1"/>
  <c r="G125" i="1"/>
  <c r="F109" i="28" s="1"/>
  <c r="N131" i="15"/>
  <c r="G130" i="1" s="1"/>
  <c r="F114" i="28" s="1"/>
  <c r="G129" i="1"/>
  <c r="F113" i="28" s="1"/>
  <c r="N155" i="15"/>
  <c r="N154" i="15" s="1"/>
  <c r="G153" i="1" s="1"/>
  <c r="F17" i="28" s="1"/>
  <c r="G155" i="1"/>
  <c r="F19" i="28" s="1"/>
  <c r="N161" i="15"/>
  <c r="G160" i="1" s="1"/>
  <c r="F24" i="28" s="1"/>
  <c r="G159" i="1"/>
  <c r="F23" i="28" s="1"/>
  <c r="N185" i="15"/>
  <c r="N184" i="15" s="1"/>
  <c r="G183" i="1" s="1"/>
  <c r="F152" i="28" s="1"/>
  <c r="G185" i="1"/>
  <c r="F154" i="28" s="1"/>
  <c r="N191" i="15"/>
  <c r="G190" i="1" s="1"/>
  <c r="F159" i="28" s="1"/>
  <c r="G189" i="1"/>
  <c r="F158" i="28" s="1"/>
  <c r="N215" i="15"/>
  <c r="N214" i="15" s="1"/>
  <c r="G213" i="1" s="1"/>
  <c r="F32" i="28" s="1"/>
  <c r="G215" i="1"/>
  <c r="F34" i="28" s="1"/>
  <c r="N221" i="15"/>
  <c r="G220" i="1" s="1"/>
  <c r="F39" i="28" s="1"/>
  <c r="G219" i="1"/>
  <c r="F38" i="28" s="1"/>
  <c r="F24" i="17"/>
  <c r="G24" i="17" s="1"/>
  <c r="H236" i="18"/>
  <c r="G78" i="25"/>
  <c r="H493" i="18"/>
  <c r="G107" i="25"/>
  <c r="B272" i="28"/>
  <c r="B47" i="28"/>
  <c r="C13" i="1"/>
  <c r="C14" i="1" s="1"/>
  <c r="C15" i="1" s="1"/>
  <c r="C16" i="1" s="1"/>
  <c r="B191" i="28"/>
  <c r="B192" i="28" s="1"/>
  <c r="B193" i="28" s="1"/>
  <c r="B194" i="28" s="1"/>
  <c r="B195" i="28" s="1"/>
  <c r="A58" i="1"/>
  <c r="K207" i="28" s="1"/>
  <c r="K206" i="28"/>
  <c r="B223" i="1"/>
  <c r="B224" i="1" s="1"/>
  <c r="B225" i="1" s="1"/>
  <c r="B226" i="1" s="1"/>
  <c r="A41" i="28"/>
  <c r="A42" i="28" s="1"/>
  <c r="A43" i="28" s="1"/>
  <c r="A44" i="28" s="1"/>
  <c r="A45" i="28" s="1"/>
  <c r="N5" i="15"/>
  <c r="G4" i="1" s="1"/>
  <c r="F183" i="28" s="1"/>
  <c r="G5" i="1"/>
  <c r="F184" i="28" s="1"/>
  <c r="N11" i="15"/>
  <c r="G10" i="1" s="1"/>
  <c r="F189" i="28" s="1"/>
  <c r="G9" i="1"/>
  <c r="F188" i="28" s="1"/>
  <c r="G35" i="1"/>
  <c r="F124" i="28" s="1"/>
  <c r="N35" i="15"/>
  <c r="N41" i="15"/>
  <c r="G40" i="1" s="1"/>
  <c r="F129" i="28" s="1"/>
  <c r="G39" i="1"/>
  <c r="F128" i="28" s="1"/>
  <c r="N260" i="15"/>
  <c r="G259" i="1" s="1"/>
  <c r="F48" i="28" s="1"/>
  <c r="G260" i="1"/>
  <c r="F49" i="28" s="1"/>
  <c r="N266" i="15"/>
  <c r="G265" i="1" s="1"/>
  <c r="F54" i="28" s="1"/>
  <c r="G264" i="1"/>
  <c r="F53" i="28" s="1"/>
  <c r="K16" i="17"/>
  <c r="K14" i="17"/>
  <c r="K12" i="17"/>
  <c r="K10" i="17"/>
  <c r="K8" i="17"/>
  <c r="F1117" i="18"/>
  <c r="E118" i="25"/>
  <c r="F1016" i="18"/>
  <c r="F1031" i="18" s="1"/>
  <c r="E475" i="25"/>
  <c r="F1059" i="18"/>
  <c r="F1074" i="18" s="1"/>
  <c r="F1089" i="18" s="1"/>
  <c r="E192" i="25"/>
  <c r="F1045" i="18"/>
  <c r="A103" i="1"/>
  <c r="K147" i="28" s="1"/>
  <c r="K146" i="28"/>
  <c r="A163" i="1"/>
  <c r="K26" i="28"/>
  <c r="A223" i="1"/>
  <c r="K42" i="28" s="1"/>
  <c r="K41" i="28"/>
  <c r="N50" i="15"/>
  <c r="N49" i="15" s="1"/>
  <c r="G48" i="1" s="1"/>
  <c r="G50" i="1"/>
  <c r="F199" i="28" s="1"/>
  <c r="N56" i="15"/>
  <c r="G55" i="1" s="1"/>
  <c r="F204" i="28" s="1"/>
  <c r="G54" i="1"/>
  <c r="F203" i="28" s="1"/>
  <c r="N80" i="15"/>
  <c r="G79" i="1" s="1"/>
  <c r="F213" i="28" s="1"/>
  <c r="G80" i="1"/>
  <c r="F214" i="28" s="1"/>
  <c r="N86" i="15"/>
  <c r="G85" i="1" s="1"/>
  <c r="F219" i="28" s="1"/>
  <c r="G84" i="1"/>
  <c r="F218" i="28" s="1"/>
  <c r="N110" i="15"/>
  <c r="N109" i="15" s="1"/>
  <c r="G108" i="1" s="1"/>
  <c r="F227" i="28" s="1"/>
  <c r="G110" i="1"/>
  <c r="F229" i="28" s="1"/>
  <c r="N116" i="15"/>
  <c r="G115" i="1" s="1"/>
  <c r="F234" i="28" s="1"/>
  <c r="G114" i="1"/>
  <c r="F233" i="28" s="1"/>
  <c r="N140" i="15"/>
  <c r="G139" i="1" s="1"/>
  <c r="F78" i="28" s="1"/>
  <c r="G140" i="1"/>
  <c r="F79" i="28" s="1"/>
  <c r="N146" i="15"/>
  <c r="G145" i="1" s="1"/>
  <c r="F84" i="28" s="1"/>
  <c r="G144" i="1"/>
  <c r="F83" i="28" s="1"/>
  <c r="N170" i="15"/>
  <c r="N169" i="15" s="1"/>
  <c r="G168" i="1" s="1"/>
  <c r="G170" i="1"/>
  <c r="F244" i="28" s="1"/>
  <c r="N176" i="15"/>
  <c r="G175" i="1" s="1"/>
  <c r="F249" i="28" s="1"/>
  <c r="G174" i="1"/>
  <c r="F248" i="28" s="1"/>
  <c r="N200" i="15"/>
  <c r="G199" i="1" s="1"/>
  <c r="F168" i="28" s="1"/>
  <c r="G200" i="1"/>
  <c r="F169" i="28" s="1"/>
  <c r="N206" i="15"/>
  <c r="G205" i="1" s="1"/>
  <c r="F174" i="28" s="1"/>
  <c r="G204" i="1"/>
  <c r="F173" i="28" s="1"/>
  <c r="L60" i="16"/>
  <c r="M52" i="16"/>
  <c r="M48" i="16"/>
  <c r="H867" i="18"/>
  <c r="G40" i="25"/>
  <c r="H447" i="18"/>
  <c r="G67" i="25"/>
  <c r="E375" i="25"/>
  <c r="F899" i="18"/>
  <c r="F914" i="18" s="1"/>
  <c r="F929" i="18" s="1"/>
  <c r="F944" i="18" s="1"/>
  <c r="F959" i="18" s="1"/>
  <c r="N259" i="15"/>
  <c r="G258" i="1" s="1"/>
  <c r="G94" i="1"/>
  <c r="F138" i="28" s="1"/>
  <c r="G154" i="1"/>
  <c r="F18" i="28" s="1"/>
  <c r="G214" i="1"/>
  <c r="F33" i="28" s="1"/>
  <c r="N192" i="15"/>
  <c r="A178" i="1"/>
  <c r="B178" i="1"/>
  <c r="B179" i="1" s="1"/>
  <c r="B180" i="1" s="1"/>
  <c r="B181" i="1" s="1"/>
  <c r="C88" i="1"/>
  <c r="C89" i="1" s="1"/>
  <c r="C90" i="1" s="1"/>
  <c r="C91" i="1" s="1"/>
  <c r="C253" i="1"/>
  <c r="C254" i="1" s="1"/>
  <c r="C255" i="1" s="1"/>
  <c r="C256" i="1" s="1"/>
  <c r="C193" i="1"/>
  <c r="C194" i="1" s="1"/>
  <c r="C195" i="1" s="1"/>
  <c r="C196" i="1" s="1"/>
  <c r="C43" i="1"/>
  <c r="C44" i="1" s="1"/>
  <c r="C45" i="1" s="1"/>
  <c r="C46" i="1" s="1"/>
  <c r="A88" i="1"/>
  <c r="B253" i="1"/>
  <c r="B254" i="1" s="1"/>
  <c r="B255" i="1" s="1"/>
  <c r="B256" i="1" s="1"/>
  <c r="B103" i="1"/>
  <c r="B104" i="1" s="1"/>
  <c r="B105" i="1" s="1"/>
  <c r="B106" i="1" s="1"/>
  <c r="B193" i="1"/>
  <c r="B194" i="1" s="1"/>
  <c r="B195" i="1" s="1"/>
  <c r="B196" i="1" s="1"/>
  <c r="C73" i="1"/>
  <c r="C74" i="1" s="1"/>
  <c r="C75" i="1" s="1"/>
  <c r="C76" i="1" s="1"/>
  <c r="A118" i="1"/>
  <c r="C103" i="1"/>
  <c r="C104" i="1" s="1"/>
  <c r="C105" i="1" s="1"/>
  <c r="C106" i="1" s="1"/>
  <c r="B73" i="1"/>
  <c r="B74" i="1" s="1"/>
  <c r="B75" i="1" s="1"/>
  <c r="B76" i="1" s="1"/>
  <c r="B268" i="1"/>
  <c r="B269" i="1" s="1"/>
  <c r="B270" i="1" s="1"/>
  <c r="B271" i="1" s="1"/>
  <c r="B118" i="1"/>
  <c r="B119" i="1" s="1"/>
  <c r="B120" i="1" s="1"/>
  <c r="B121" i="1" s="1"/>
  <c r="B133" i="1"/>
  <c r="B134" i="1" s="1"/>
  <c r="B135" i="1" s="1"/>
  <c r="B136" i="1" s="1"/>
  <c r="A13" i="1"/>
  <c r="B163" i="1"/>
  <c r="B164" i="1" s="1"/>
  <c r="B165" i="1" s="1"/>
  <c r="B166" i="1" s="1"/>
  <c r="C238" i="1"/>
  <c r="C178" i="1"/>
  <c r="C179" i="1" s="1"/>
  <c r="C180" i="1" s="1"/>
  <c r="C181" i="1" s="1"/>
  <c r="A73" i="1"/>
  <c r="B148" i="1"/>
  <c r="B149" i="1" s="1"/>
  <c r="B150" i="1" s="1"/>
  <c r="B151" i="1" s="1"/>
  <c r="B58" i="1"/>
  <c r="B59" i="1" s="1"/>
  <c r="B60" i="1" s="1"/>
  <c r="B61" i="1" s="1"/>
  <c r="C268" i="1"/>
  <c r="C269" i="1" s="1"/>
  <c r="C270" i="1" s="1"/>
  <c r="C271" i="1" s="1"/>
  <c r="C118" i="1"/>
  <c r="C119" i="1" s="1"/>
  <c r="C120" i="1" s="1"/>
  <c r="C121" i="1" s="1"/>
  <c r="C163" i="1"/>
  <c r="C164" i="1" s="1"/>
  <c r="C165" i="1" s="1"/>
  <c r="C166" i="1" s="1"/>
  <c r="C208" i="1"/>
  <c r="C209" i="1" s="1"/>
  <c r="C210" i="1" s="1"/>
  <c r="C211" i="1" s="1"/>
  <c r="C133" i="1"/>
  <c r="C134" i="1" s="1"/>
  <c r="C135" i="1" s="1"/>
  <c r="C136" i="1" s="1"/>
  <c r="A239" i="1"/>
  <c r="A240" i="1" s="1"/>
  <c r="A241" i="1" s="1"/>
  <c r="H386" i="18"/>
  <c r="G238" i="25" s="1"/>
  <c r="H566" i="18"/>
  <c r="G432" i="25" s="1"/>
  <c r="H416" i="18"/>
  <c r="G492" i="25" s="1"/>
  <c r="H761" i="18"/>
  <c r="G178" i="25" s="1"/>
  <c r="H326" i="18"/>
  <c r="G507" i="25" s="1"/>
  <c r="H881" i="18"/>
  <c r="G372" i="25" s="1"/>
  <c r="H687" i="18"/>
  <c r="G253" i="25" s="1"/>
  <c r="H266" i="18"/>
  <c r="G148" i="25" s="1"/>
  <c r="H1002" i="18"/>
  <c r="H581" i="18"/>
  <c r="G133" i="25" s="1"/>
  <c r="H671" i="18"/>
  <c r="H521" i="18"/>
  <c r="G52" i="25" s="1"/>
  <c r="H1091" i="18"/>
  <c r="G462" i="25" s="1"/>
  <c r="H86" i="18"/>
  <c r="G312" i="25" s="1"/>
  <c r="H1106" i="18"/>
  <c r="H1046" i="18"/>
  <c r="G477" i="25" s="1"/>
  <c r="H627" i="18"/>
  <c r="G92" i="25" s="1"/>
  <c r="H356" i="18"/>
  <c r="G282" i="25" s="1"/>
  <c r="H957" i="18"/>
  <c r="H1031" i="18"/>
  <c r="G193" i="25" s="1"/>
  <c r="H311" i="18"/>
  <c r="G417" i="25" s="1"/>
  <c r="H251" i="18"/>
  <c r="H851" i="18"/>
  <c r="G342" i="25" s="1"/>
  <c r="H131" i="18"/>
  <c r="G402" i="25" s="1"/>
  <c r="B88" i="1"/>
  <c r="B89" i="1" s="1"/>
  <c r="B90" i="1" s="1"/>
  <c r="B91" i="1" s="1"/>
  <c r="C58" i="1"/>
  <c r="C59" i="1" s="1"/>
  <c r="C60" i="1" s="1"/>
  <c r="C61" i="1" s="1"/>
  <c r="B43" i="1"/>
  <c r="B44" i="1" s="1"/>
  <c r="B45" i="1" s="1"/>
  <c r="B46" i="1" s="1"/>
  <c r="A134" i="1"/>
  <c r="C28" i="1"/>
  <c r="C29" i="1" s="1"/>
  <c r="C30" i="1" s="1"/>
  <c r="C31" i="1" s="1"/>
  <c r="H229" i="1"/>
  <c r="N132" i="15"/>
  <c r="A148" i="1"/>
  <c r="K87" i="28" s="1"/>
  <c r="M74" i="16"/>
  <c r="M76" i="16"/>
  <c r="I18" i="17"/>
  <c r="K18" i="17" s="1"/>
  <c r="L61" i="16"/>
  <c r="K17" i="17"/>
  <c r="K15" i="17"/>
  <c r="K7" i="17"/>
  <c r="K13" i="17"/>
  <c r="K11" i="17"/>
  <c r="K9" i="17"/>
  <c r="L6" i="17"/>
  <c r="H732" i="18" l="1"/>
  <c r="G448" i="25" s="1"/>
  <c r="H807" i="18"/>
  <c r="H657" i="18"/>
  <c r="G388" i="25" s="1"/>
  <c r="H57" i="18"/>
  <c r="G328" i="25" s="1"/>
  <c r="H988" i="18"/>
  <c r="G27" i="25" s="1"/>
  <c r="H102" i="18"/>
  <c r="G164" i="25" s="1"/>
  <c r="N27" i="15"/>
  <c r="N252" i="15"/>
  <c r="G251" i="1" s="1"/>
  <c r="F265" i="28" s="1"/>
  <c r="N4" i="15"/>
  <c r="G3" i="1" s="1"/>
  <c r="N139" i="15"/>
  <c r="G138" i="1" s="1"/>
  <c r="H138" i="1" s="1"/>
  <c r="G77" i="28" s="1"/>
  <c r="N199" i="15"/>
  <c r="G198" i="1" s="1"/>
  <c r="A254" i="1"/>
  <c r="A255" i="1" s="1"/>
  <c r="N79" i="15"/>
  <c r="G78" i="1" s="1"/>
  <c r="F212" i="28" s="1"/>
  <c r="N177" i="15"/>
  <c r="N178" i="15" s="1"/>
  <c r="G70" i="1"/>
  <c r="F99" i="28" s="1"/>
  <c r="N102" i="15"/>
  <c r="G101" i="1" s="1"/>
  <c r="F145" i="28" s="1"/>
  <c r="N162" i="15"/>
  <c r="N163" i="15" s="1"/>
  <c r="N222" i="15"/>
  <c r="N223" i="15" s="1"/>
  <c r="G169" i="1"/>
  <c r="F243" i="28" s="1"/>
  <c r="G109" i="1"/>
  <c r="F228" i="28" s="1"/>
  <c r="G184" i="1"/>
  <c r="F153" i="28" s="1"/>
  <c r="G124" i="1"/>
  <c r="F108" i="28" s="1"/>
  <c r="N64" i="15"/>
  <c r="G63" i="1" s="1"/>
  <c r="F92" i="28" s="1"/>
  <c r="G49" i="1"/>
  <c r="F198" i="28" s="1"/>
  <c r="N207" i="15"/>
  <c r="N208" i="15" s="1"/>
  <c r="N117" i="15"/>
  <c r="N118" i="15" s="1"/>
  <c r="N267" i="15"/>
  <c r="N268" i="15" s="1"/>
  <c r="N12" i="15"/>
  <c r="N13" i="15" s="1"/>
  <c r="N87" i="15"/>
  <c r="N88" i="15" s="1"/>
  <c r="N244" i="15"/>
  <c r="G243" i="1" s="1"/>
  <c r="H243" i="1" s="1"/>
  <c r="N19" i="15"/>
  <c r="G18" i="1" s="1"/>
  <c r="H18" i="1" s="1"/>
  <c r="N253" i="15"/>
  <c r="N254" i="15" s="1"/>
  <c r="N57" i="15"/>
  <c r="N58" i="15" s="1"/>
  <c r="N73" i="15"/>
  <c r="N74" i="15" s="1"/>
  <c r="N42" i="15"/>
  <c r="N43" i="15" s="1"/>
  <c r="N147" i="15"/>
  <c r="G146" i="1" s="1"/>
  <c r="F85" i="28" s="1"/>
  <c r="A44" i="1"/>
  <c r="K133" i="28" s="1"/>
  <c r="A29" i="1"/>
  <c r="A30" i="1" s="1"/>
  <c r="A104" i="1"/>
  <c r="A105" i="1" s="1"/>
  <c r="A224" i="1"/>
  <c r="A225" i="1" s="1"/>
  <c r="H153" i="1"/>
  <c r="G17" i="28" s="1"/>
  <c r="A269" i="1"/>
  <c r="A270" i="1" s="1"/>
  <c r="A59" i="1"/>
  <c r="K208" i="28" s="1"/>
  <c r="L7" i="17"/>
  <c r="L8" i="17" s="1"/>
  <c r="N34" i="15"/>
  <c r="G33" i="1" s="1"/>
  <c r="G34" i="1"/>
  <c r="B240" i="1"/>
  <c r="A13" i="28"/>
  <c r="C239" i="1"/>
  <c r="B12" i="28"/>
  <c r="A119" i="1"/>
  <c r="K238" i="28" s="1"/>
  <c r="K237" i="28"/>
  <c r="A179" i="1"/>
  <c r="K252" i="28"/>
  <c r="H93" i="1"/>
  <c r="F137" i="28"/>
  <c r="H168" i="1"/>
  <c r="F242" i="28"/>
  <c r="H48" i="1"/>
  <c r="F197" i="28"/>
  <c r="H448" i="18"/>
  <c r="G68" i="25"/>
  <c r="E476" i="25"/>
  <c r="F1060" i="18"/>
  <c r="F1075" i="18" s="1"/>
  <c r="F1090" i="18" s="1"/>
  <c r="E193" i="25"/>
  <c r="F1046" i="18"/>
  <c r="H237" i="18"/>
  <c r="G79" i="25"/>
  <c r="F1118" i="18"/>
  <c r="E119" i="25"/>
  <c r="F1017" i="18"/>
  <c r="F1032" i="18" s="1"/>
  <c r="A209" i="1"/>
  <c r="K177" i="28"/>
  <c r="A74" i="1"/>
  <c r="K103" i="28" s="1"/>
  <c r="K102" i="28"/>
  <c r="E270" i="25"/>
  <c r="F974" i="18"/>
  <c r="F989" i="18" s="1"/>
  <c r="A164" i="1"/>
  <c r="K27" i="28"/>
  <c r="A194" i="1"/>
  <c r="K162" i="28"/>
  <c r="A135" i="1"/>
  <c r="K118" i="28"/>
  <c r="A14" i="1"/>
  <c r="K192" i="28"/>
  <c r="A89" i="1"/>
  <c r="K222" i="28"/>
  <c r="H3" i="1"/>
  <c r="H4" i="1" s="1"/>
  <c r="F182" i="28"/>
  <c r="G182" i="28" s="1"/>
  <c r="H198" i="1"/>
  <c r="G167" i="28" s="1"/>
  <c r="F167" i="28"/>
  <c r="F77" i="28"/>
  <c r="H258" i="1"/>
  <c r="G47" i="28" s="1"/>
  <c r="F47" i="28"/>
  <c r="H868" i="18"/>
  <c r="G41" i="25"/>
  <c r="E460" i="25"/>
  <c r="F1104" i="18"/>
  <c r="H494" i="18"/>
  <c r="G109" i="25" s="1"/>
  <c r="G108" i="25"/>
  <c r="E27" i="25"/>
  <c r="E12" i="25" s="1"/>
  <c r="F1003" i="18"/>
  <c r="E197" i="25"/>
  <c r="F1050" i="18"/>
  <c r="H224" i="18"/>
  <c r="H225" i="18" s="1"/>
  <c r="H226" i="18" s="1"/>
  <c r="N148" i="15"/>
  <c r="G221" i="1"/>
  <c r="F40" i="28" s="1"/>
  <c r="H183" i="1"/>
  <c r="G152" i="28" s="1"/>
  <c r="H123" i="1"/>
  <c r="G107" i="28" s="1"/>
  <c r="N133" i="15"/>
  <c r="G131" i="1"/>
  <c r="F115" i="28" s="1"/>
  <c r="N28" i="15"/>
  <c r="G26" i="1"/>
  <c r="F70" i="28" s="1"/>
  <c r="N103" i="15"/>
  <c r="N193" i="15"/>
  <c r="G191" i="1"/>
  <c r="F160" i="28" s="1"/>
  <c r="H213" i="1"/>
  <c r="G32" i="28" s="1"/>
  <c r="H63" i="1"/>
  <c r="G92" i="28" s="1"/>
  <c r="H108" i="1"/>
  <c r="G227" i="28" s="1"/>
  <c r="A45" i="1"/>
  <c r="H387" i="18"/>
  <c r="G239" i="25" s="1"/>
  <c r="H417" i="18"/>
  <c r="G493" i="25" s="1"/>
  <c r="H567" i="18"/>
  <c r="G433" i="25" s="1"/>
  <c r="H852" i="18"/>
  <c r="G343" i="25" s="1"/>
  <c r="H1092" i="18"/>
  <c r="G463" i="25" s="1"/>
  <c r="H672" i="18"/>
  <c r="H658" i="18"/>
  <c r="G389" i="25" s="1"/>
  <c r="H327" i="18"/>
  <c r="G508" i="25" s="1"/>
  <c r="H628" i="18"/>
  <c r="G93" i="25" s="1"/>
  <c r="H1003" i="18"/>
  <c r="H733" i="18"/>
  <c r="G449" i="25" s="1"/>
  <c r="H1107" i="18"/>
  <c r="H132" i="18"/>
  <c r="G403" i="25" s="1"/>
  <c r="H252" i="18"/>
  <c r="H1032" i="18"/>
  <c r="G194" i="25" s="1"/>
  <c r="H958" i="18"/>
  <c r="H357" i="18"/>
  <c r="G283" i="25" s="1"/>
  <c r="H1047" i="18"/>
  <c r="G478" i="25" s="1"/>
  <c r="H87" i="18"/>
  <c r="G313" i="25" s="1"/>
  <c r="H522" i="18"/>
  <c r="G53" i="25" s="1"/>
  <c r="H582" i="18"/>
  <c r="G134" i="25" s="1"/>
  <c r="H267" i="18"/>
  <c r="G149" i="25" s="1"/>
  <c r="H688" i="18"/>
  <c r="G254" i="25" s="1"/>
  <c r="H882" i="18"/>
  <c r="G373" i="25" s="1"/>
  <c r="H762" i="18"/>
  <c r="G179" i="25" s="1"/>
  <c r="H312" i="18"/>
  <c r="G418" i="25" s="1"/>
  <c r="H230" i="1"/>
  <c r="A149" i="1"/>
  <c r="K88" i="28" s="1"/>
  <c r="I19" i="17"/>
  <c r="K19" i="17" s="1"/>
  <c r="L62" i="16"/>
  <c r="L9" i="17"/>
  <c r="L10" i="17" s="1"/>
  <c r="L11" i="17" s="1"/>
  <c r="L12" i="17" s="1"/>
  <c r="L13" i="17" s="1"/>
  <c r="L14" i="17" s="1"/>
  <c r="H58" i="18" l="1"/>
  <c r="G329" i="25" s="1"/>
  <c r="G209" i="25"/>
  <c r="H808" i="18"/>
  <c r="H103" i="18"/>
  <c r="G165" i="25" s="1"/>
  <c r="H989" i="18"/>
  <c r="G28" i="25" s="1"/>
  <c r="G176" i="1"/>
  <c r="F250" i="28" s="1"/>
  <c r="K268" i="28"/>
  <c r="K73" i="28"/>
  <c r="H78" i="1"/>
  <c r="G212" i="28" s="1"/>
  <c r="K44" i="28"/>
  <c r="A226" i="1"/>
  <c r="K45" i="28" s="1"/>
  <c r="K269" i="28"/>
  <c r="A256" i="1"/>
  <c r="K270" i="28" s="1"/>
  <c r="K119" i="28"/>
  <c r="A136" i="1"/>
  <c r="K120" i="28" s="1"/>
  <c r="A14" i="28"/>
  <c r="B241" i="1"/>
  <c r="A15" i="28" s="1"/>
  <c r="K149" i="28"/>
  <c r="A106" i="1"/>
  <c r="K150" i="28" s="1"/>
  <c r="K74" i="28"/>
  <c r="A31" i="1"/>
  <c r="K75" i="28" s="1"/>
  <c r="K134" i="28"/>
  <c r="A46" i="1"/>
  <c r="K135" i="28" s="1"/>
  <c r="K59" i="28"/>
  <c r="A271" i="1"/>
  <c r="K60" i="28" s="1"/>
  <c r="G11" i="1"/>
  <c r="F190" i="28" s="1"/>
  <c r="G161" i="1"/>
  <c r="F25" i="28" s="1"/>
  <c r="G266" i="1"/>
  <c r="F55" i="28" s="1"/>
  <c r="H259" i="1"/>
  <c r="G48" i="28" s="1"/>
  <c r="G116" i="1"/>
  <c r="F235" i="28" s="1"/>
  <c r="G206" i="1"/>
  <c r="F175" i="28" s="1"/>
  <c r="G86" i="1"/>
  <c r="F220" i="28" s="1"/>
  <c r="G252" i="1"/>
  <c r="F266" i="28" s="1"/>
  <c r="G56" i="1"/>
  <c r="F205" i="28" s="1"/>
  <c r="G72" i="1"/>
  <c r="F101" i="28" s="1"/>
  <c r="F257" i="28"/>
  <c r="F62" i="28"/>
  <c r="G41" i="1"/>
  <c r="F130" i="28" s="1"/>
  <c r="K148" i="28"/>
  <c r="K43" i="28"/>
  <c r="K58" i="28"/>
  <c r="A75" i="1"/>
  <c r="A120" i="1"/>
  <c r="H154" i="1"/>
  <c r="G18" i="28" s="1"/>
  <c r="A60" i="1"/>
  <c r="H139" i="1"/>
  <c r="H869" i="18"/>
  <c r="G43" i="25" s="1"/>
  <c r="G42" i="25"/>
  <c r="H5" i="1"/>
  <c r="G183" i="28"/>
  <c r="A15" i="1"/>
  <c r="K193" i="28"/>
  <c r="K28" i="28"/>
  <c r="A165" i="1"/>
  <c r="K178" i="28"/>
  <c r="A210" i="1"/>
  <c r="H449" i="18"/>
  <c r="G70" i="25" s="1"/>
  <c r="G69" i="25"/>
  <c r="G62" i="28"/>
  <c r="H19" i="1"/>
  <c r="G257" i="28"/>
  <c r="H244" i="1"/>
  <c r="A180" i="1"/>
  <c r="K253" i="28"/>
  <c r="C240" i="1"/>
  <c r="B13" i="28"/>
  <c r="F122" i="28"/>
  <c r="H33" i="1"/>
  <c r="G122" i="28" s="1"/>
  <c r="E120" i="25"/>
  <c r="F1018" i="18"/>
  <c r="F1033" i="18" s="1"/>
  <c r="F1119" i="18"/>
  <c r="E28" i="25"/>
  <c r="E13" i="25" s="1"/>
  <c r="F1004" i="18"/>
  <c r="E194" i="25"/>
  <c r="F1047" i="18"/>
  <c r="E461" i="25"/>
  <c r="F1105" i="18"/>
  <c r="K223" i="28"/>
  <c r="A90" i="1"/>
  <c r="K163" i="28"/>
  <c r="A195" i="1"/>
  <c r="H238" i="18"/>
  <c r="G80" i="25"/>
  <c r="G197" i="28"/>
  <c r="H49" i="1"/>
  <c r="G242" i="28"/>
  <c r="H169" i="1"/>
  <c r="G137" i="28"/>
  <c r="H94" i="1"/>
  <c r="H184" i="1"/>
  <c r="H199" i="1"/>
  <c r="H124" i="1"/>
  <c r="E481" i="25"/>
  <c r="F1065" i="18"/>
  <c r="F1080" i="18" s="1"/>
  <c r="F1095" i="18" s="1"/>
  <c r="E477" i="25"/>
  <c r="F1061" i="18"/>
  <c r="F1076" i="18" s="1"/>
  <c r="F1091" i="18" s="1"/>
  <c r="F123" i="28"/>
  <c r="H214" i="1"/>
  <c r="G33" i="28" s="1"/>
  <c r="N29" i="15"/>
  <c r="G27" i="1"/>
  <c r="F71" i="28" s="1"/>
  <c r="N59" i="15"/>
  <c r="G57" i="1"/>
  <c r="F206" i="28" s="1"/>
  <c r="N179" i="15"/>
  <c r="G177" i="1"/>
  <c r="F251" i="28" s="1"/>
  <c r="N89" i="15"/>
  <c r="G87" i="1"/>
  <c r="F221" i="28" s="1"/>
  <c r="N194" i="15"/>
  <c r="G192" i="1"/>
  <c r="F161" i="28" s="1"/>
  <c r="N14" i="15"/>
  <c r="G12" i="1"/>
  <c r="F191" i="28" s="1"/>
  <c r="H109" i="1"/>
  <c r="G228" i="28" s="1"/>
  <c r="N104" i="15"/>
  <c r="G102" i="1"/>
  <c r="F146" i="28" s="1"/>
  <c r="N269" i="15"/>
  <c r="G267" i="1"/>
  <c r="F56" i="28" s="1"/>
  <c r="N164" i="15"/>
  <c r="G162" i="1"/>
  <c r="F26" i="28" s="1"/>
  <c r="N224" i="15"/>
  <c r="G222" i="1"/>
  <c r="F41" i="28" s="1"/>
  <c r="N44" i="15"/>
  <c r="G42" i="1"/>
  <c r="F131" i="28" s="1"/>
  <c r="N134" i="15"/>
  <c r="G132" i="1"/>
  <c r="F116" i="28" s="1"/>
  <c r="N119" i="15"/>
  <c r="G117" i="1"/>
  <c r="F236" i="28" s="1"/>
  <c r="H64" i="1"/>
  <c r="G93" i="28" s="1"/>
  <c r="N209" i="15"/>
  <c r="G207" i="1"/>
  <c r="F176" i="28" s="1"/>
  <c r="N255" i="15"/>
  <c r="G253" i="1"/>
  <c r="F267" i="28" s="1"/>
  <c r="N75" i="15"/>
  <c r="G73" i="1"/>
  <c r="F102" i="28" s="1"/>
  <c r="N149" i="15"/>
  <c r="G147" i="1"/>
  <c r="F86" i="28" s="1"/>
  <c r="H388" i="18"/>
  <c r="G240" i="25" s="1"/>
  <c r="H568" i="18"/>
  <c r="G434" i="25" s="1"/>
  <c r="H418" i="18"/>
  <c r="G494" i="25" s="1"/>
  <c r="H358" i="18"/>
  <c r="G284" i="25" s="1"/>
  <c r="H883" i="18"/>
  <c r="G374" i="25" s="1"/>
  <c r="H583" i="18"/>
  <c r="G135" i="25" s="1"/>
  <c r="H88" i="18"/>
  <c r="G314" i="25" s="1"/>
  <c r="H133" i="18"/>
  <c r="G404" i="25" s="1"/>
  <c r="H734" i="18"/>
  <c r="G450" i="25" s="1"/>
  <c r="H1004" i="18"/>
  <c r="H659" i="18"/>
  <c r="G390" i="25" s="1"/>
  <c r="H1093" i="18"/>
  <c r="G464" i="25" s="1"/>
  <c r="H853" i="18"/>
  <c r="G344" i="25" s="1"/>
  <c r="H523" i="18"/>
  <c r="G54" i="25" s="1"/>
  <c r="H1108" i="18"/>
  <c r="H328" i="18"/>
  <c r="G509" i="25" s="1"/>
  <c r="H673" i="18"/>
  <c r="H1033" i="18"/>
  <c r="G195" i="25" s="1"/>
  <c r="H313" i="18"/>
  <c r="G419" i="25" s="1"/>
  <c r="H763" i="18"/>
  <c r="G180" i="25" s="1"/>
  <c r="H689" i="18"/>
  <c r="G255" i="25" s="1"/>
  <c r="H268" i="18"/>
  <c r="G150" i="25" s="1"/>
  <c r="H1048" i="18"/>
  <c r="G479" i="25" s="1"/>
  <c r="H959" i="18"/>
  <c r="H253" i="18"/>
  <c r="H629" i="18"/>
  <c r="G94" i="25" s="1"/>
  <c r="H59" i="18"/>
  <c r="G330" i="25" s="1"/>
  <c r="H231" i="1"/>
  <c r="L15" i="17"/>
  <c r="M14" i="17"/>
  <c r="F3" i="1" s="1"/>
  <c r="E182" i="28" s="1"/>
  <c r="I20" i="17"/>
  <c r="K20" i="17" s="1"/>
  <c r="L63" i="16"/>
  <c r="A150" i="1"/>
  <c r="H990" i="18" l="1"/>
  <c r="H991" i="18" s="1"/>
  <c r="G30" i="25" s="1"/>
  <c r="H104" i="18"/>
  <c r="G166" i="25" s="1"/>
  <c r="G210" i="25"/>
  <c r="H809" i="18"/>
  <c r="G29" i="25"/>
  <c r="H79" i="1"/>
  <c r="G213" i="28" s="1"/>
  <c r="K209" i="28"/>
  <c r="A61" i="1"/>
  <c r="K210" i="28" s="1"/>
  <c r="B14" i="28"/>
  <c r="C241" i="1"/>
  <c r="B15" i="28" s="1"/>
  <c r="K89" i="28"/>
  <c r="A151" i="1"/>
  <c r="K90" i="28" s="1"/>
  <c r="K224" i="28"/>
  <c r="A91" i="1"/>
  <c r="K225" i="28" s="1"/>
  <c r="K254" i="28"/>
  <c r="A181" i="1"/>
  <c r="K255" i="28" s="1"/>
  <c r="K194" i="28"/>
  <c r="A16" i="1"/>
  <c r="K195" i="28" s="1"/>
  <c r="K239" i="28"/>
  <c r="A121" i="1"/>
  <c r="K240" i="28" s="1"/>
  <c r="K179" i="28"/>
  <c r="A211" i="1"/>
  <c r="K180" i="28" s="1"/>
  <c r="K164" i="28"/>
  <c r="A196" i="1"/>
  <c r="K165" i="28" s="1"/>
  <c r="K29" i="28"/>
  <c r="A166" i="1"/>
  <c r="K30" i="28" s="1"/>
  <c r="K104" i="28"/>
  <c r="A76" i="1"/>
  <c r="K105" i="28" s="1"/>
  <c r="H260" i="1"/>
  <c r="H155" i="1"/>
  <c r="G19" i="28" s="1"/>
  <c r="G78" i="28"/>
  <c r="H140" i="1"/>
  <c r="H34" i="1"/>
  <c r="H35" i="1" s="1"/>
  <c r="G138" i="28"/>
  <c r="H95" i="1"/>
  <c r="G198" i="28"/>
  <c r="H50" i="1"/>
  <c r="F1120" i="18"/>
  <c r="E121" i="25"/>
  <c r="F1019" i="18"/>
  <c r="F1034" i="18" s="1"/>
  <c r="E195" i="25"/>
  <c r="F1048" i="18"/>
  <c r="H245" i="1"/>
  <c r="G258" i="28"/>
  <c r="E462" i="25"/>
  <c r="F1106" i="18"/>
  <c r="G108" i="28"/>
  <c r="H125" i="1"/>
  <c r="G184" i="28"/>
  <c r="H6" i="1"/>
  <c r="G168" i="28"/>
  <c r="H200" i="1"/>
  <c r="G243" i="28"/>
  <c r="H170" i="1"/>
  <c r="E478" i="25"/>
  <c r="F1062" i="18"/>
  <c r="F1077" i="18" s="1"/>
  <c r="F1092" i="18" s="1"/>
  <c r="H20" i="1"/>
  <c r="G63" i="28"/>
  <c r="E466" i="25"/>
  <c r="F1110" i="18"/>
  <c r="G153" i="28"/>
  <c r="H185" i="1"/>
  <c r="H239" i="18"/>
  <c r="G82" i="25" s="1"/>
  <c r="G81" i="25"/>
  <c r="N76" i="15"/>
  <c r="N77" i="15" s="1"/>
  <c r="G76" i="1" s="1"/>
  <c r="F105" i="28" s="1"/>
  <c r="G74" i="1"/>
  <c r="F103" i="28" s="1"/>
  <c r="N210" i="15"/>
  <c r="G208" i="1"/>
  <c r="F177" i="28" s="1"/>
  <c r="N120" i="15"/>
  <c r="G118" i="1"/>
  <c r="F237" i="28" s="1"/>
  <c r="N45" i="15"/>
  <c r="G43" i="1"/>
  <c r="F132" i="28" s="1"/>
  <c r="N165" i="15"/>
  <c r="G163" i="1"/>
  <c r="F27" i="28" s="1"/>
  <c r="N105" i="15"/>
  <c r="G103" i="1"/>
  <c r="F147" i="28" s="1"/>
  <c r="N15" i="15"/>
  <c r="G13" i="1"/>
  <c r="F192" i="28" s="1"/>
  <c r="N90" i="15"/>
  <c r="G88" i="1"/>
  <c r="F222" i="28" s="1"/>
  <c r="N60" i="15"/>
  <c r="G58" i="1"/>
  <c r="F207" i="28" s="1"/>
  <c r="H215" i="1"/>
  <c r="G34" i="28" s="1"/>
  <c r="H65" i="1"/>
  <c r="G94" i="28" s="1"/>
  <c r="H110" i="1"/>
  <c r="G229" i="28" s="1"/>
  <c r="H80" i="1"/>
  <c r="G214" i="28" s="1"/>
  <c r="N150" i="15"/>
  <c r="G148" i="1"/>
  <c r="F87" i="28" s="1"/>
  <c r="N256" i="15"/>
  <c r="N257" i="15" s="1"/>
  <c r="G256" i="1" s="1"/>
  <c r="F270" i="28" s="1"/>
  <c r="G254" i="1"/>
  <c r="F268" i="28" s="1"/>
  <c r="N135" i="15"/>
  <c r="G133" i="1"/>
  <c r="F117" i="28" s="1"/>
  <c r="N225" i="15"/>
  <c r="G223" i="1"/>
  <c r="F42" i="28" s="1"/>
  <c r="N270" i="15"/>
  <c r="G268" i="1"/>
  <c r="F57" i="28" s="1"/>
  <c r="N195" i="15"/>
  <c r="G193" i="1"/>
  <c r="F162" i="28" s="1"/>
  <c r="N180" i="15"/>
  <c r="G178" i="1"/>
  <c r="F252" i="28" s="1"/>
  <c r="N30" i="15"/>
  <c r="G28" i="1"/>
  <c r="F72" i="28" s="1"/>
  <c r="H389" i="18"/>
  <c r="G241" i="25" s="1"/>
  <c r="H419" i="18"/>
  <c r="G495" i="25" s="1"/>
  <c r="H569" i="18"/>
  <c r="G435" i="25" s="1"/>
  <c r="H960" i="18"/>
  <c r="H764" i="18"/>
  <c r="G181" i="25" s="1"/>
  <c r="H359" i="18"/>
  <c r="G285" i="25" s="1"/>
  <c r="H60" i="18"/>
  <c r="H1034" i="18"/>
  <c r="G196" i="25" s="1"/>
  <c r="H524" i="18"/>
  <c r="G55" i="25" s="1"/>
  <c r="H735" i="18"/>
  <c r="H89" i="18"/>
  <c r="G315" i="25" s="1"/>
  <c r="H314" i="18"/>
  <c r="G420" i="25" s="1"/>
  <c r="H674" i="18"/>
  <c r="H854" i="18"/>
  <c r="G345" i="25" s="1"/>
  <c r="H584" i="18"/>
  <c r="G136" i="25" s="1"/>
  <c r="H269" i="18"/>
  <c r="G151" i="25" s="1"/>
  <c r="H329" i="18"/>
  <c r="G510" i="25" s="1"/>
  <c r="H1094" i="18"/>
  <c r="G465" i="25" s="1"/>
  <c r="H630" i="18"/>
  <c r="H254" i="18"/>
  <c r="H1049" i="18"/>
  <c r="G480" i="25" s="1"/>
  <c r="H690" i="18"/>
  <c r="H1109" i="18"/>
  <c r="H660" i="18"/>
  <c r="H1005" i="18"/>
  <c r="H134" i="18"/>
  <c r="G405" i="25" s="1"/>
  <c r="H884" i="18"/>
  <c r="G375" i="25" s="1"/>
  <c r="H232" i="1"/>
  <c r="I21" i="17"/>
  <c r="K21" i="17" s="1"/>
  <c r="L74" i="16"/>
  <c r="L76" i="16"/>
  <c r="L64" i="16"/>
  <c r="F18" i="1"/>
  <c r="L16" i="17"/>
  <c r="M15" i="17"/>
  <c r="F4" i="1" s="1"/>
  <c r="E183" i="28" s="1"/>
  <c r="H105" i="18" l="1"/>
  <c r="H106" i="18" s="1"/>
  <c r="G168" i="25" s="1"/>
  <c r="G211" i="25"/>
  <c r="H810" i="18"/>
  <c r="G391" i="25"/>
  <c r="H661" i="18"/>
  <c r="G392" i="25" s="1"/>
  <c r="G451" i="25"/>
  <c r="H736" i="18"/>
  <c r="G452" i="25" s="1"/>
  <c r="G95" i="25"/>
  <c r="H631" i="18"/>
  <c r="G96" i="25" s="1"/>
  <c r="H1006" i="18"/>
  <c r="G256" i="25"/>
  <c r="H691" i="18"/>
  <c r="G257" i="25" s="1"/>
  <c r="G331" i="25"/>
  <c r="H61" i="18"/>
  <c r="G332" i="25" s="1"/>
  <c r="H156" i="1"/>
  <c r="G20" i="28" s="1"/>
  <c r="H961" i="18"/>
  <c r="G49" i="28"/>
  <c r="H261" i="1"/>
  <c r="G123" i="28"/>
  <c r="G79" i="28"/>
  <c r="H141" i="1"/>
  <c r="G154" i="28"/>
  <c r="H186" i="1"/>
  <c r="E463" i="25"/>
  <c r="F1107" i="18"/>
  <c r="G169" i="28"/>
  <c r="H201" i="1"/>
  <c r="G109" i="28"/>
  <c r="H126" i="1"/>
  <c r="E196" i="25"/>
  <c r="F1049" i="18"/>
  <c r="G199" i="28"/>
  <c r="H51" i="1"/>
  <c r="G124" i="28"/>
  <c r="H36" i="1"/>
  <c r="G259" i="28"/>
  <c r="H246" i="1"/>
  <c r="F1125" i="18"/>
  <c r="G244" i="28"/>
  <c r="H171" i="1"/>
  <c r="G185" i="28"/>
  <c r="H7" i="1"/>
  <c r="F1121" i="18"/>
  <c r="E479" i="25"/>
  <c r="F1063" i="18"/>
  <c r="F1078" i="18" s="1"/>
  <c r="F1093" i="18" s="1"/>
  <c r="G139" i="28"/>
  <c r="H96" i="1"/>
  <c r="F33" i="1"/>
  <c r="E122" i="28" s="1"/>
  <c r="E62" i="28"/>
  <c r="G64" i="28"/>
  <c r="H21" i="1"/>
  <c r="H111" i="1"/>
  <c r="G230" i="28" s="1"/>
  <c r="N181" i="15"/>
  <c r="N182" i="15" s="1"/>
  <c r="G181" i="1" s="1"/>
  <c r="F255" i="28" s="1"/>
  <c r="G179" i="1"/>
  <c r="F253" i="28" s="1"/>
  <c r="N271" i="15"/>
  <c r="N272" i="15" s="1"/>
  <c r="G271" i="1" s="1"/>
  <c r="F60" i="28" s="1"/>
  <c r="G269" i="1"/>
  <c r="F58" i="28" s="1"/>
  <c r="N136" i="15"/>
  <c r="N137" i="15" s="1"/>
  <c r="G136" i="1" s="1"/>
  <c r="F120" i="28" s="1"/>
  <c r="G134" i="1"/>
  <c r="F118" i="28" s="1"/>
  <c r="N151" i="15"/>
  <c r="N152" i="15" s="1"/>
  <c r="G151" i="1" s="1"/>
  <c r="F90" i="28" s="1"/>
  <c r="G149" i="1"/>
  <c r="F88" i="28" s="1"/>
  <c r="H216" i="1"/>
  <c r="G35" i="28" s="1"/>
  <c r="N91" i="15"/>
  <c r="N92" i="15" s="1"/>
  <c r="G91" i="1" s="1"/>
  <c r="F225" i="28" s="1"/>
  <c r="G89" i="1"/>
  <c r="F223" i="28" s="1"/>
  <c r="N106" i="15"/>
  <c r="N107" i="15" s="1"/>
  <c r="G106" i="1" s="1"/>
  <c r="F150" i="28" s="1"/>
  <c r="G104" i="1"/>
  <c r="F148" i="28" s="1"/>
  <c r="N46" i="15"/>
  <c r="N47" i="15" s="1"/>
  <c r="G46" i="1" s="1"/>
  <c r="F135" i="28" s="1"/>
  <c r="G44" i="1"/>
  <c r="F133" i="28" s="1"/>
  <c r="N211" i="15"/>
  <c r="N212" i="15" s="1"/>
  <c r="G211" i="1" s="1"/>
  <c r="F180" i="28" s="1"/>
  <c r="G209" i="1"/>
  <c r="F178" i="28" s="1"/>
  <c r="H81" i="1"/>
  <c r="G215" i="28" s="1"/>
  <c r="H66" i="1"/>
  <c r="G95" i="28" s="1"/>
  <c r="N31" i="15"/>
  <c r="N32" i="15" s="1"/>
  <c r="G31" i="1" s="1"/>
  <c r="F75" i="28" s="1"/>
  <c r="G29" i="1"/>
  <c r="F73" i="28" s="1"/>
  <c r="N196" i="15"/>
  <c r="N197" i="15" s="1"/>
  <c r="G196" i="1" s="1"/>
  <c r="F165" i="28" s="1"/>
  <c r="G194" i="1"/>
  <c r="F163" i="28" s="1"/>
  <c r="N226" i="15"/>
  <c r="N227" i="15" s="1"/>
  <c r="G226" i="1" s="1"/>
  <c r="F45" i="28" s="1"/>
  <c r="G224" i="1"/>
  <c r="F43" i="28" s="1"/>
  <c r="G255" i="1"/>
  <c r="F269" i="28" s="1"/>
  <c r="N61" i="15"/>
  <c r="N62" i="15" s="1"/>
  <c r="G61" i="1" s="1"/>
  <c r="F210" i="28" s="1"/>
  <c r="G59" i="1"/>
  <c r="F208" i="28" s="1"/>
  <c r="N16" i="15"/>
  <c r="N17" i="15" s="1"/>
  <c r="G16" i="1" s="1"/>
  <c r="F195" i="28" s="1"/>
  <c r="G14" i="1"/>
  <c r="F193" i="28" s="1"/>
  <c r="N166" i="15"/>
  <c r="N167" i="15" s="1"/>
  <c r="G166" i="1" s="1"/>
  <c r="F30" i="28" s="1"/>
  <c r="G164" i="1"/>
  <c r="F28" i="28" s="1"/>
  <c r="N121" i="15"/>
  <c r="N122" i="15" s="1"/>
  <c r="G121" i="1" s="1"/>
  <c r="F240" i="28" s="1"/>
  <c r="G119" i="1"/>
  <c r="F238" i="28" s="1"/>
  <c r="G75" i="1"/>
  <c r="F104" i="28" s="1"/>
  <c r="H157" i="1"/>
  <c r="G21" i="28" s="1"/>
  <c r="H390" i="18"/>
  <c r="H570" i="18"/>
  <c r="H420" i="18"/>
  <c r="H90" i="18"/>
  <c r="H525" i="18"/>
  <c r="H330" i="18"/>
  <c r="H675" i="18"/>
  <c r="H765" i="18"/>
  <c r="H1110" i="18"/>
  <c r="H1050" i="18"/>
  <c r="H315" i="18"/>
  <c r="H255" i="18"/>
  <c r="H135" i="18"/>
  <c r="H585" i="18"/>
  <c r="H885" i="18"/>
  <c r="H1095" i="18"/>
  <c r="H270" i="18"/>
  <c r="H855" i="18"/>
  <c r="H1035" i="18"/>
  <c r="H360" i="18"/>
  <c r="H233" i="1"/>
  <c r="F19" i="1"/>
  <c r="L17" i="17"/>
  <c r="M16" i="17"/>
  <c r="F5" i="1" s="1"/>
  <c r="E184" i="28" s="1"/>
  <c r="L65" i="16"/>
  <c r="I22" i="17"/>
  <c r="K22" i="17" s="1"/>
  <c r="G167" i="25" l="1"/>
  <c r="G212" i="25"/>
  <c r="H811" i="18"/>
  <c r="G213" i="25" s="1"/>
  <c r="G406" i="25"/>
  <c r="H136" i="18"/>
  <c r="G407" i="25" s="1"/>
  <c r="G182" i="25"/>
  <c r="H766" i="18"/>
  <c r="G183" i="25" s="1"/>
  <c r="H1111" i="18"/>
  <c r="G242" i="25"/>
  <c r="H391" i="18"/>
  <c r="G243" i="25" s="1"/>
  <c r="G286" i="25"/>
  <c r="H361" i="18"/>
  <c r="G287" i="25" s="1"/>
  <c r="G197" i="25"/>
  <c r="H1036" i="18"/>
  <c r="G198" i="25" s="1"/>
  <c r="G376" i="25"/>
  <c r="H886" i="18"/>
  <c r="G377" i="25" s="1"/>
  <c r="G421" i="25"/>
  <c r="H316" i="18"/>
  <c r="G422" i="25" s="1"/>
  <c r="G152" i="25"/>
  <c r="H271" i="18"/>
  <c r="G153" i="25" s="1"/>
  <c r="G56" i="25"/>
  <c r="H526" i="18"/>
  <c r="G57" i="25" s="1"/>
  <c r="G466" i="25"/>
  <c r="H1096" i="18"/>
  <c r="G467" i="25" s="1"/>
  <c r="G316" i="25"/>
  <c r="H91" i="18"/>
  <c r="G317" i="25" s="1"/>
  <c r="G346" i="25"/>
  <c r="H856" i="18"/>
  <c r="G347" i="25" s="1"/>
  <c r="G481" i="25"/>
  <c r="H1051" i="18"/>
  <c r="G482" i="25" s="1"/>
  <c r="G511" i="25"/>
  <c r="H331" i="18"/>
  <c r="G512" i="25" s="1"/>
  <c r="G436" i="25"/>
  <c r="H571" i="18"/>
  <c r="G437" i="25" s="1"/>
  <c r="G496" i="25"/>
  <c r="H421" i="18"/>
  <c r="G497" i="25" s="1"/>
  <c r="G137" i="25"/>
  <c r="H586" i="18"/>
  <c r="G138" i="25" s="1"/>
  <c r="G50" i="28"/>
  <c r="H262" i="1"/>
  <c r="G80" i="28"/>
  <c r="H142" i="1"/>
  <c r="G65" i="28"/>
  <c r="H22" i="1"/>
  <c r="G140" i="28"/>
  <c r="H97" i="1"/>
  <c r="G245" i="28"/>
  <c r="H172" i="1"/>
  <c r="G260" i="28"/>
  <c r="H247" i="1"/>
  <c r="G200" i="28"/>
  <c r="H52" i="1"/>
  <c r="G110" i="28"/>
  <c r="H127" i="1"/>
  <c r="F1122" i="18"/>
  <c r="F34" i="1"/>
  <c r="E123" i="28" s="1"/>
  <c r="E63" i="28"/>
  <c r="E464" i="25"/>
  <c r="F1108" i="18"/>
  <c r="G186" i="28"/>
  <c r="H8" i="1"/>
  <c r="G125" i="28"/>
  <c r="H37" i="1"/>
  <c r="E480" i="25"/>
  <c r="F1064" i="18"/>
  <c r="F1079" i="18" s="1"/>
  <c r="F1094" i="18" s="1"/>
  <c r="G170" i="28"/>
  <c r="H202" i="1"/>
  <c r="G155" i="28"/>
  <c r="H187" i="1"/>
  <c r="H67" i="1"/>
  <c r="G96" i="28" s="1"/>
  <c r="H217" i="1"/>
  <c r="G36" i="28" s="1"/>
  <c r="G120" i="1"/>
  <c r="F239" i="28" s="1"/>
  <c r="G15" i="1"/>
  <c r="F194" i="28" s="1"/>
  <c r="G195" i="1"/>
  <c r="F164" i="28" s="1"/>
  <c r="G210" i="1"/>
  <c r="F179" i="28" s="1"/>
  <c r="G105" i="1"/>
  <c r="F149" i="28" s="1"/>
  <c r="G135" i="1"/>
  <c r="F119" i="28" s="1"/>
  <c r="G180" i="1"/>
  <c r="F254" i="28" s="1"/>
  <c r="H82" i="1"/>
  <c r="G216" i="28" s="1"/>
  <c r="G165" i="1"/>
  <c r="F29" i="28" s="1"/>
  <c r="G60" i="1"/>
  <c r="F209" i="28" s="1"/>
  <c r="G225" i="1"/>
  <c r="F44" i="28" s="1"/>
  <c r="G30" i="1"/>
  <c r="F74" i="28" s="1"/>
  <c r="G45" i="1"/>
  <c r="F134" i="28" s="1"/>
  <c r="G90" i="1"/>
  <c r="F224" i="28" s="1"/>
  <c r="G150" i="1"/>
  <c r="F89" i="28" s="1"/>
  <c r="G270" i="1"/>
  <c r="F59" i="28" s="1"/>
  <c r="H112" i="1"/>
  <c r="G231" i="28" s="1"/>
  <c r="H158" i="1"/>
  <c r="G22" i="28" s="1"/>
  <c r="H234" i="1"/>
  <c r="F20" i="1"/>
  <c r="F48" i="1"/>
  <c r="E197" i="28" s="1"/>
  <c r="I23" i="17"/>
  <c r="K23" i="17" s="1"/>
  <c r="L66" i="16"/>
  <c r="L18" i="17"/>
  <c r="M17" i="17"/>
  <c r="F6" i="1" s="1"/>
  <c r="E185" i="28" s="1"/>
  <c r="G51" i="28" l="1"/>
  <c r="H263" i="1"/>
  <c r="G81" i="28"/>
  <c r="H143" i="1"/>
  <c r="G156" i="28"/>
  <c r="H188" i="1"/>
  <c r="E465" i="25"/>
  <c r="F1109" i="18"/>
  <c r="G187" i="28"/>
  <c r="H9" i="1"/>
  <c r="G111" i="28"/>
  <c r="H128" i="1"/>
  <c r="G261" i="28"/>
  <c r="H248" i="1"/>
  <c r="G141" i="28"/>
  <c r="H98" i="1"/>
  <c r="G171" i="28"/>
  <c r="H203" i="1"/>
  <c r="G126" i="28"/>
  <c r="H38" i="1"/>
  <c r="F1123" i="18"/>
  <c r="G201" i="28"/>
  <c r="H53" i="1"/>
  <c r="G246" i="28"/>
  <c r="H173" i="1"/>
  <c r="G66" i="28"/>
  <c r="H23" i="1"/>
  <c r="F35" i="1"/>
  <c r="E124" i="28" s="1"/>
  <c r="E64" i="28"/>
  <c r="H218" i="1"/>
  <c r="G37" i="28" s="1"/>
  <c r="H83" i="1"/>
  <c r="G217" i="28" s="1"/>
  <c r="H113" i="1"/>
  <c r="G232" i="28" s="1"/>
  <c r="H68" i="1"/>
  <c r="G97" i="28" s="1"/>
  <c r="H159" i="1"/>
  <c r="G23" i="28" s="1"/>
  <c r="H235" i="1"/>
  <c r="F21" i="1"/>
  <c r="L19" i="17"/>
  <c r="M18" i="17"/>
  <c r="F7" i="1" s="1"/>
  <c r="E186" i="28" s="1"/>
  <c r="F63" i="1"/>
  <c r="F49" i="1"/>
  <c r="E198" i="28" s="1"/>
  <c r="I24" i="17"/>
  <c r="K24" i="17" s="1"/>
  <c r="L67" i="16"/>
  <c r="G52" i="28" l="1"/>
  <c r="H264" i="1"/>
  <c r="G82" i="28"/>
  <c r="H144" i="1"/>
  <c r="F36" i="1"/>
  <c r="E125" i="28" s="1"/>
  <c r="E65" i="28"/>
  <c r="G67" i="28"/>
  <c r="H24" i="1"/>
  <c r="G202" i="28"/>
  <c r="H54" i="1"/>
  <c r="G127" i="28"/>
  <c r="H39" i="1"/>
  <c r="G142" i="28"/>
  <c r="H99" i="1"/>
  <c r="G112" i="28"/>
  <c r="H129" i="1"/>
  <c r="F1124" i="18"/>
  <c r="F78" i="1"/>
  <c r="E212" i="28" s="1"/>
  <c r="E92" i="28"/>
  <c r="G247" i="28"/>
  <c r="H174" i="1"/>
  <c r="G172" i="28"/>
  <c r="H204" i="1"/>
  <c r="G262" i="28"/>
  <c r="H249" i="1"/>
  <c r="G188" i="28"/>
  <c r="H10" i="1"/>
  <c r="G157" i="28"/>
  <c r="H189" i="1"/>
  <c r="H84" i="1"/>
  <c r="G218" i="28" s="1"/>
  <c r="H114" i="1"/>
  <c r="G233" i="28" s="1"/>
  <c r="H219" i="1"/>
  <c r="G38" i="28" s="1"/>
  <c r="H69" i="1"/>
  <c r="G98" i="28" s="1"/>
  <c r="H160" i="1"/>
  <c r="G24" i="28" s="1"/>
  <c r="H236" i="1"/>
  <c r="I25" i="17"/>
  <c r="K25" i="17" s="1"/>
  <c r="L68" i="16"/>
  <c r="F50" i="1"/>
  <c r="E199" i="28" s="1"/>
  <c r="M19" i="17"/>
  <c r="F8" i="1" s="1"/>
  <c r="E187" i="28" s="1"/>
  <c r="L20" i="17"/>
  <c r="F22" i="1"/>
  <c r="F64" i="1"/>
  <c r="G53" i="28" l="1"/>
  <c r="H265" i="1"/>
  <c r="G83" i="28"/>
  <c r="H145" i="1"/>
  <c r="G189" i="28"/>
  <c r="H11" i="1"/>
  <c r="G173" i="28"/>
  <c r="H205" i="1"/>
  <c r="G113" i="28"/>
  <c r="H130" i="1"/>
  <c r="G128" i="28"/>
  <c r="H40" i="1"/>
  <c r="G68" i="28"/>
  <c r="H25" i="1"/>
  <c r="G158" i="28"/>
  <c r="H190" i="1"/>
  <c r="G263" i="28"/>
  <c r="H250" i="1"/>
  <c r="G248" i="28"/>
  <c r="H175" i="1"/>
  <c r="G143" i="28"/>
  <c r="H100" i="1"/>
  <c r="G203" i="28"/>
  <c r="H55" i="1"/>
  <c r="F79" i="1"/>
  <c r="E213" i="28" s="1"/>
  <c r="E93" i="28"/>
  <c r="F37" i="1"/>
  <c r="E126" i="28" s="1"/>
  <c r="E66" i="28"/>
  <c r="H115" i="1"/>
  <c r="G234" i="28" s="1"/>
  <c r="H220" i="1"/>
  <c r="G39" i="28" s="1"/>
  <c r="H85" i="1"/>
  <c r="G219" i="28" s="1"/>
  <c r="H70" i="1"/>
  <c r="G99" i="28" s="1"/>
  <c r="H161" i="1"/>
  <c r="G25" i="28" s="1"/>
  <c r="H237" i="1"/>
  <c r="F93" i="1"/>
  <c r="E137" i="28" s="1"/>
  <c r="F65" i="1"/>
  <c r="L69" i="16"/>
  <c r="I27" i="17" s="1"/>
  <c r="I26" i="17"/>
  <c r="K26" i="17" s="1"/>
  <c r="M20" i="17"/>
  <c r="F9" i="1" s="1"/>
  <c r="E188" i="28" s="1"/>
  <c r="L21" i="17"/>
  <c r="F51" i="1"/>
  <c r="E200" i="28" s="1"/>
  <c r="F23" i="1"/>
  <c r="G54" i="28" l="1"/>
  <c r="H266" i="1"/>
  <c r="G84" i="28"/>
  <c r="H146" i="1"/>
  <c r="G204" i="28"/>
  <c r="H56" i="1"/>
  <c r="G249" i="28"/>
  <c r="H176" i="1"/>
  <c r="G159" i="28"/>
  <c r="H191" i="1"/>
  <c r="G129" i="28"/>
  <c r="H41" i="1"/>
  <c r="G174" i="28"/>
  <c r="H206" i="1"/>
  <c r="F80" i="1"/>
  <c r="E214" i="28" s="1"/>
  <c r="E94" i="28"/>
  <c r="F38" i="1"/>
  <c r="E127" i="28" s="1"/>
  <c r="E67" i="28"/>
  <c r="G144" i="28"/>
  <c r="H101" i="1"/>
  <c r="G264" i="28"/>
  <c r="H251" i="1"/>
  <c r="G69" i="28"/>
  <c r="H26" i="1"/>
  <c r="G114" i="28"/>
  <c r="H131" i="1"/>
  <c r="G190" i="28"/>
  <c r="H12" i="1"/>
  <c r="H221" i="1"/>
  <c r="G40" i="28" s="1"/>
  <c r="H71" i="1"/>
  <c r="G100" i="28" s="1"/>
  <c r="H86" i="1"/>
  <c r="G220" i="28" s="1"/>
  <c r="H116" i="1"/>
  <c r="G235" i="28" s="1"/>
  <c r="H162" i="1"/>
  <c r="G26" i="28" s="1"/>
  <c r="H238" i="1"/>
  <c r="K27" i="17"/>
  <c r="F66" i="1"/>
  <c r="M21" i="17"/>
  <c r="F10" i="1" s="1"/>
  <c r="E189" i="28" s="1"/>
  <c r="L22" i="17"/>
  <c r="F94" i="1"/>
  <c r="E138" i="28" s="1"/>
  <c r="F24" i="1"/>
  <c r="F52" i="1"/>
  <c r="E201" i="28" s="1"/>
  <c r="F108" i="1"/>
  <c r="G55" i="28" l="1"/>
  <c r="H267" i="1"/>
  <c r="G85" i="28"/>
  <c r="H147" i="1"/>
  <c r="F123" i="1"/>
  <c r="E227" i="28"/>
  <c r="F81" i="1"/>
  <c r="E215" i="28" s="1"/>
  <c r="E95" i="28"/>
  <c r="G191" i="28"/>
  <c r="H13" i="1"/>
  <c r="G70" i="28"/>
  <c r="H27" i="1"/>
  <c r="G145" i="28"/>
  <c r="H102" i="1"/>
  <c r="G130" i="28"/>
  <c r="H42" i="1"/>
  <c r="G250" i="28"/>
  <c r="H177" i="1"/>
  <c r="F39" i="1"/>
  <c r="E128" i="28" s="1"/>
  <c r="E68" i="28"/>
  <c r="G115" i="28"/>
  <c r="H132" i="1"/>
  <c r="G265" i="28"/>
  <c r="H252" i="1"/>
  <c r="G175" i="28"/>
  <c r="H207" i="1"/>
  <c r="G160" i="28"/>
  <c r="H192" i="1"/>
  <c r="G205" i="28"/>
  <c r="H57" i="1"/>
  <c r="H117" i="1"/>
  <c r="G236" i="28" s="1"/>
  <c r="H87" i="1"/>
  <c r="G221" i="28" s="1"/>
  <c r="H222" i="1"/>
  <c r="G41" i="28" s="1"/>
  <c r="H72" i="1"/>
  <c r="G101" i="28" s="1"/>
  <c r="H163" i="1"/>
  <c r="G27" i="28" s="1"/>
  <c r="H239" i="1"/>
  <c r="F95" i="1"/>
  <c r="E139" i="28" s="1"/>
  <c r="F109" i="1"/>
  <c r="F25" i="1"/>
  <c r="F67" i="1"/>
  <c r="L23" i="17"/>
  <c r="M22" i="17"/>
  <c r="F11" i="1" s="1"/>
  <c r="E190" i="28" s="1"/>
  <c r="F53" i="1"/>
  <c r="E202" i="28" s="1"/>
  <c r="G56" i="28" l="1"/>
  <c r="H268" i="1"/>
  <c r="G86" i="28"/>
  <c r="H148" i="1"/>
  <c r="G161" i="28"/>
  <c r="H193" i="1"/>
  <c r="G266" i="28"/>
  <c r="H253" i="1"/>
  <c r="G131" i="28"/>
  <c r="H43" i="1"/>
  <c r="G71" i="28"/>
  <c r="H28" i="1"/>
  <c r="F124" i="1"/>
  <c r="E228" i="28"/>
  <c r="F82" i="1"/>
  <c r="E216" i="28" s="1"/>
  <c r="E96" i="28"/>
  <c r="F40" i="1"/>
  <c r="E129" i="28" s="1"/>
  <c r="E69" i="28"/>
  <c r="G206" i="28"/>
  <c r="H58" i="1"/>
  <c r="G176" i="28"/>
  <c r="H208" i="1"/>
  <c r="G116" i="28"/>
  <c r="H133" i="1"/>
  <c r="G251" i="28"/>
  <c r="H178" i="1"/>
  <c r="G146" i="28"/>
  <c r="H103" i="1"/>
  <c r="G192" i="28"/>
  <c r="H14" i="1"/>
  <c r="F138" i="1"/>
  <c r="E107" i="28"/>
  <c r="H88" i="1"/>
  <c r="G222" i="28" s="1"/>
  <c r="H73" i="1"/>
  <c r="G102" i="28" s="1"/>
  <c r="H223" i="1"/>
  <c r="G42" i="28" s="1"/>
  <c r="H118" i="1"/>
  <c r="G237" i="28" s="1"/>
  <c r="H164" i="1"/>
  <c r="G28" i="28" s="1"/>
  <c r="H240" i="1"/>
  <c r="H241" i="1" s="1"/>
  <c r="M23" i="17"/>
  <c r="F12" i="1" s="1"/>
  <c r="E191" i="28" s="1"/>
  <c r="L24" i="17"/>
  <c r="F96" i="1"/>
  <c r="E140" i="28" s="1"/>
  <c r="F54" i="1"/>
  <c r="E203" i="28" s="1"/>
  <c r="F26" i="1"/>
  <c r="F68" i="1"/>
  <c r="F110" i="1"/>
  <c r="G57" i="28" l="1"/>
  <c r="H269" i="1"/>
  <c r="G87" i="28"/>
  <c r="H149" i="1"/>
  <c r="F41" i="1"/>
  <c r="E130" i="28" s="1"/>
  <c r="E70" i="28"/>
  <c r="F125" i="1"/>
  <c r="E229" i="28"/>
  <c r="F83" i="1"/>
  <c r="E217" i="28" s="1"/>
  <c r="E97" i="28"/>
  <c r="G147" i="28"/>
  <c r="H104" i="1"/>
  <c r="G117" i="28"/>
  <c r="H134" i="1"/>
  <c r="G207" i="28"/>
  <c r="H59" i="1"/>
  <c r="G72" i="28"/>
  <c r="H29" i="1"/>
  <c r="G267" i="28"/>
  <c r="H254" i="1"/>
  <c r="F153" i="1"/>
  <c r="E77" i="28"/>
  <c r="G193" i="28"/>
  <c r="H15" i="1"/>
  <c r="G252" i="28"/>
  <c r="H179" i="1"/>
  <c r="G177" i="28"/>
  <c r="H209" i="1"/>
  <c r="G132" i="28"/>
  <c r="H44" i="1"/>
  <c r="G162" i="28"/>
  <c r="H194" i="1"/>
  <c r="F139" i="1"/>
  <c r="E108" i="28"/>
  <c r="H119" i="1"/>
  <c r="G238" i="28" s="1"/>
  <c r="H89" i="1"/>
  <c r="G223" i="28" s="1"/>
  <c r="H74" i="1"/>
  <c r="G103" i="28" s="1"/>
  <c r="H224" i="1"/>
  <c r="G43" i="28" s="1"/>
  <c r="H165" i="1"/>
  <c r="F97" i="1"/>
  <c r="E141" i="28" s="1"/>
  <c r="F69" i="1"/>
  <c r="F55" i="1"/>
  <c r="E204" i="28" s="1"/>
  <c r="M24" i="17"/>
  <c r="F13" i="1" s="1"/>
  <c r="E192" i="28" s="1"/>
  <c r="L25" i="17"/>
  <c r="F111" i="1"/>
  <c r="F27" i="1"/>
  <c r="G194" i="28" l="1"/>
  <c r="H16" i="1"/>
  <c r="G195" i="28" s="1"/>
  <c r="G29" i="28"/>
  <c r="H166" i="1"/>
  <c r="G30" i="28" s="1"/>
  <c r="G58" i="28"/>
  <c r="H270" i="1"/>
  <c r="G88" i="28"/>
  <c r="H150" i="1"/>
  <c r="G163" i="28"/>
  <c r="H195" i="1"/>
  <c r="G268" i="28"/>
  <c r="H255" i="1"/>
  <c r="G208" i="28"/>
  <c r="H60" i="1"/>
  <c r="G148" i="28"/>
  <c r="H105" i="1"/>
  <c r="F140" i="1"/>
  <c r="E109" i="28"/>
  <c r="G178" i="28"/>
  <c r="H210" i="1"/>
  <c r="F42" i="1"/>
  <c r="E131" i="28" s="1"/>
  <c r="E71" i="28"/>
  <c r="G133" i="28"/>
  <c r="H45" i="1"/>
  <c r="G253" i="28"/>
  <c r="H180" i="1"/>
  <c r="G73" i="28"/>
  <c r="H30" i="1"/>
  <c r="G118" i="28"/>
  <c r="H135" i="1"/>
  <c r="F126" i="1"/>
  <c r="E230" i="28"/>
  <c r="F84" i="1"/>
  <c r="E218" i="28" s="1"/>
  <c r="E98" i="28"/>
  <c r="F154" i="1"/>
  <c r="E78" i="28"/>
  <c r="F168" i="1"/>
  <c r="E242" i="28" s="1"/>
  <c r="E17" i="28"/>
  <c r="H225" i="1"/>
  <c r="H90" i="1"/>
  <c r="H75" i="1"/>
  <c r="H120" i="1"/>
  <c r="F28" i="1"/>
  <c r="F112" i="1"/>
  <c r="M25" i="17"/>
  <c r="F14" i="1" s="1"/>
  <c r="E193" i="28" s="1"/>
  <c r="L26" i="17"/>
  <c r="F56" i="1"/>
  <c r="E205" i="28" s="1"/>
  <c r="F70" i="1"/>
  <c r="F98" i="1"/>
  <c r="E142" i="28" s="1"/>
  <c r="G134" i="28" l="1"/>
  <c r="H46" i="1"/>
  <c r="G135" i="28" s="1"/>
  <c r="G149" i="28"/>
  <c r="H106" i="1"/>
  <c r="G150" i="28" s="1"/>
  <c r="G89" i="28"/>
  <c r="H151" i="1"/>
  <c r="G90" i="28" s="1"/>
  <c r="G44" i="28"/>
  <c r="H226" i="1"/>
  <c r="G45" i="28" s="1"/>
  <c r="G224" i="28"/>
  <c r="H91" i="1"/>
  <c r="G225" i="28" s="1"/>
  <c r="G74" i="28"/>
  <c r="H31" i="1"/>
  <c r="G75" i="28" s="1"/>
  <c r="G239" i="28"/>
  <c r="H121" i="1"/>
  <c r="G240" i="28" s="1"/>
  <c r="G119" i="28"/>
  <c r="H136" i="1"/>
  <c r="G120" i="28" s="1"/>
  <c r="G254" i="28"/>
  <c r="H181" i="1"/>
  <c r="G255" i="28" s="1"/>
  <c r="G209" i="28"/>
  <c r="H61" i="1"/>
  <c r="G210" i="28" s="1"/>
  <c r="G164" i="28"/>
  <c r="H196" i="1"/>
  <c r="G165" i="28" s="1"/>
  <c r="G59" i="28"/>
  <c r="H271" i="1"/>
  <c r="G60" i="28" s="1"/>
  <c r="G179" i="28"/>
  <c r="H211" i="1"/>
  <c r="G180" i="28" s="1"/>
  <c r="G269" i="28"/>
  <c r="H256" i="1"/>
  <c r="G270" i="28" s="1"/>
  <c r="G104" i="28"/>
  <c r="H76" i="1"/>
  <c r="G105" i="28" s="1"/>
  <c r="F85" i="1"/>
  <c r="E219" i="28" s="1"/>
  <c r="E99" i="28"/>
  <c r="F43" i="1"/>
  <c r="E132" i="28" s="1"/>
  <c r="E72" i="28"/>
  <c r="F169" i="1"/>
  <c r="E243" i="28" s="1"/>
  <c r="E18" i="28"/>
  <c r="F141" i="1"/>
  <c r="E110" i="28"/>
  <c r="F127" i="1"/>
  <c r="E231" i="28"/>
  <c r="F155" i="1"/>
  <c r="E79" i="28"/>
  <c r="F29" i="1"/>
  <c r="F99" i="1"/>
  <c r="E143" i="28" s="1"/>
  <c r="F183" i="1"/>
  <c r="E152" i="28" s="1"/>
  <c r="M26" i="17"/>
  <c r="F15" i="1" s="1"/>
  <c r="E194" i="28" s="1"/>
  <c r="L27" i="17"/>
  <c r="M27" i="17" s="1"/>
  <c r="F16" i="1" s="1"/>
  <c r="F71" i="1"/>
  <c r="F113" i="1"/>
  <c r="F57" i="1"/>
  <c r="E206" i="28" s="1"/>
  <c r="E195" i="28" l="1"/>
  <c r="F31" i="1"/>
  <c r="F128" i="1"/>
  <c r="E232" i="28"/>
  <c r="F156" i="1"/>
  <c r="E80" i="28"/>
  <c r="F170" i="1"/>
  <c r="E244" i="28" s="1"/>
  <c r="E19" i="28"/>
  <c r="F86" i="1"/>
  <c r="E220" i="28" s="1"/>
  <c r="E100" i="28"/>
  <c r="F44" i="1"/>
  <c r="E133" i="28" s="1"/>
  <c r="E73" i="28"/>
  <c r="F142" i="1"/>
  <c r="E111" i="28"/>
  <c r="F72" i="1"/>
  <c r="F100" i="1"/>
  <c r="E144" i="28" s="1"/>
  <c r="F184" i="1"/>
  <c r="E153" i="28" s="1"/>
  <c r="F114" i="1"/>
  <c r="F58" i="1"/>
  <c r="E207" i="28" s="1"/>
  <c r="F30" i="1"/>
  <c r="F198" i="1"/>
  <c r="E167" i="28" s="1"/>
  <c r="E75" i="28" l="1"/>
  <c r="F46" i="1"/>
  <c r="F129" i="1"/>
  <c r="E233" i="28"/>
  <c r="F157" i="1"/>
  <c r="E81" i="28"/>
  <c r="F171" i="1"/>
  <c r="E245" i="28" s="1"/>
  <c r="E20" i="28"/>
  <c r="F45" i="1"/>
  <c r="E134" i="28" s="1"/>
  <c r="E74" i="28"/>
  <c r="F87" i="1"/>
  <c r="E221" i="28" s="1"/>
  <c r="E101" i="28"/>
  <c r="F143" i="1"/>
  <c r="E112" i="28"/>
  <c r="F101" i="1"/>
  <c r="E145" i="28" s="1"/>
  <c r="F73" i="1"/>
  <c r="F199" i="1"/>
  <c r="E168" i="28" s="1"/>
  <c r="F213" i="1"/>
  <c r="E32" i="28" s="1"/>
  <c r="F59" i="1"/>
  <c r="E208" i="28" s="1"/>
  <c r="F185" i="1"/>
  <c r="E154" i="28" s="1"/>
  <c r="F115" i="1"/>
  <c r="F61" i="1" l="1"/>
  <c r="E135" i="28"/>
  <c r="F158" i="1"/>
  <c r="E82" i="28"/>
  <c r="F172" i="1"/>
  <c r="E246" i="28" s="1"/>
  <c r="E21" i="28"/>
  <c r="F130" i="1"/>
  <c r="E234" i="28"/>
  <c r="F88" i="1"/>
  <c r="E222" i="28" s="1"/>
  <c r="E102" i="28"/>
  <c r="F144" i="1"/>
  <c r="E113" i="28"/>
  <c r="F186" i="1"/>
  <c r="E155" i="28" s="1"/>
  <c r="F60" i="1"/>
  <c r="E209" i="28" s="1"/>
  <c r="F228" i="1"/>
  <c r="E2" i="28" s="1"/>
  <c r="F214" i="1"/>
  <c r="E33" i="28" s="1"/>
  <c r="F102" i="1"/>
  <c r="E146" i="28" s="1"/>
  <c r="F200" i="1"/>
  <c r="E169" i="28" s="1"/>
  <c r="F74" i="1"/>
  <c r="F116" i="1"/>
  <c r="E210" i="28" l="1"/>
  <c r="F76" i="1"/>
  <c r="F131" i="1"/>
  <c r="E235" i="28"/>
  <c r="F89" i="1"/>
  <c r="E223" i="28" s="1"/>
  <c r="E103" i="28"/>
  <c r="F159" i="1"/>
  <c r="E83" i="28"/>
  <c r="F145" i="1"/>
  <c r="E114" i="28"/>
  <c r="F173" i="1"/>
  <c r="E247" i="28" s="1"/>
  <c r="E22" i="28"/>
  <c r="F103" i="1"/>
  <c r="E147" i="28" s="1"/>
  <c r="F229" i="1"/>
  <c r="E3" i="28" s="1"/>
  <c r="F75" i="1"/>
  <c r="F215" i="1"/>
  <c r="E34" i="28" s="1"/>
  <c r="F117" i="1"/>
  <c r="F187" i="1"/>
  <c r="E156" i="28" s="1"/>
  <c r="F243" i="1"/>
  <c r="E257" i="28" s="1"/>
  <c r="E272" i="28" s="1"/>
  <c r="F201" i="1"/>
  <c r="E170" i="28" s="1"/>
  <c r="F91" i="1" l="1"/>
  <c r="E105" i="28"/>
  <c r="F132" i="1"/>
  <c r="E236" i="28"/>
  <c r="F160" i="1"/>
  <c r="E84" i="28"/>
  <c r="F90" i="1"/>
  <c r="E224" i="28" s="1"/>
  <c r="E104" i="28"/>
  <c r="F174" i="1"/>
  <c r="E248" i="28" s="1"/>
  <c r="E23" i="28"/>
  <c r="F146" i="1"/>
  <c r="E115" i="28"/>
  <c r="F258" i="1"/>
  <c r="F188" i="1"/>
  <c r="E157" i="28" s="1"/>
  <c r="F104" i="1"/>
  <c r="E148" i="28" s="1"/>
  <c r="F216" i="1"/>
  <c r="E35" i="28" s="1"/>
  <c r="F202" i="1"/>
  <c r="E171" i="28" s="1"/>
  <c r="F230" i="1"/>
  <c r="E4" i="28" s="1"/>
  <c r="F244" i="1"/>
  <c r="E258" i="28" s="1"/>
  <c r="E273" i="28" s="1"/>
  <c r="F118" i="1"/>
  <c r="E225" i="28" l="1"/>
  <c r="F106" i="1"/>
  <c r="F273" i="1"/>
  <c r="E47" i="28"/>
  <c r="F175" i="1"/>
  <c r="E249" i="28" s="1"/>
  <c r="E24" i="28"/>
  <c r="F133" i="1"/>
  <c r="E237" i="28"/>
  <c r="F161" i="1"/>
  <c r="E85" i="28"/>
  <c r="F147" i="1"/>
  <c r="E116" i="28"/>
  <c r="F217" i="1"/>
  <c r="E36" i="28" s="1"/>
  <c r="F119" i="1"/>
  <c r="F203" i="1"/>
  <c r="E172" i="28" s="1"/>
  <c r="F189" i="1"/>
  <c r="E158" i="28" s="1"/>
  <c r="F259" i="1"/>
  <c r="F245" i="1"/>
  <c r="E259" i="28" s="1"/>
  <c r="E274" i="28" s="1"/>
  <c r="F231" i="1"/>
  <c r="E5" i="28" s="1"/>
  <c r="F105" i="1"/>
  <c r="E149" i="28" s="1"/>
  <c r="E150" i="28" l="1"/>
  <c r="F121" i="1"/>
  <c r="F274" i="1"/>
  <c r="E48" i="28"/>
  <c r="F176" i="1"/>
  <c r="E250" i="28" s="1"/>
  <c r="E25" i="28"/>
  <c r="F134" i="1"/>
  <c r="E238" i="28"/>
  <c r="F162" i="1"/>
  <c r="E86" i="28"/>
  <c r="F148" i="1"/>
  <c r="E117" i="28"/>
  <c r="F190" i="1"/>
  <c r="E159" i="28" s="1"/>
  <c r="F246" i="1"/>
  <c r="E260" i="28" s="1"/>
  <c r="F204" i="1"/>
  <c r="E173" i="28" s="1"/>
  <c r="F232" i="1"/>
  <c r="E6" i="28" s="1"/>
  <c r="F120" i="1"/>
  <c r="F260" i="1"/>
  <c r="F218" i="1"/>
  <c r="E37" i="28" s="1"/>
  <c r="E240" i="28" l="1"/>
  <c r="F136" i="1"/>
  <c r="F177" i="1"/>
  <c r="E251" i="28" s="1"/>
  <c r="E26" i="28"/>
  <c r="F275" i="1"/>
  <c r="E49" i="28"/>
  <c r="F135" i="1"/>
  <c r="E239" i="28"/>
  <c r="F163" i="1"/>
  <c r="E87" i="28"/>
  <c r="F149" i="1"/>
  <c r="E118" i="28"/>
  <c r="F191" i="1"/>
  <c r="E160" i="28" s="1"/>
  <c r="F233" i="1"/>
  <c r="E7" i="28" s="1"/>
  <c r="F247" i="1"/>
  <c r="E261" i="28" s="1"/>
  <c r="F219" i="1"/>
  <c r="E38" i="28" s="1"/>
  <c r="F261" i="1"/>
  <c r="F205" i="1"/>
  <c r="E174" i="28" s="1"/>
  <c r="E120" i="28" l="1"/>
  <c r="F151" i="1"/>
  <c r="F276" i="1"/>
  <c r="E275" i="28" s="1"/>
  <c r="E50" i="28"/>
  <c r="F178" i="1"/>
  <c r="E252" i="28" s="1"/>
  <c r="E27" i="28"/>
  <c r="F164" i="1"/>
  <c r="E88" i="28"/>
  <c r="F150" i="1"/>
  <c r="E119" i="28"/>
  <c r="F262" i="1"/>
  <c r="F248" i="1"/>
  <c r="E262" i="28" s="1"/>
  <c r="F192" i="1"/>
  <c r="E161" i="28" s="1"/>
  <c r="F220" i="1"/>
  <c r="E39" i="28" s="1"/>
  <c r="F234" i="1"/>
  <c r="E8" i="28" s="1"/>
  <c r="F206" i="1"/>
  <c r="E175" i="28" s="1"/>
  <c r="E90" i="28" l="1"/>
  <c r="F166" i="1"/>
  <c r="F165" i="1"/>
  <c r="E89" i="28"/>
  <c r="F277" i="1"/>
  <c r="E276" i="28" s="1"/>
  <c r="E51" i="28"/>
  <c r="F179" i="1"/>
  <c r="E253" i="28" s="1"/>
  <c r="E28" i="28"/>
  <c r="F221" i="1"/>
  <c r="E40" i="28" s="1"/>
  <c r="F263" i="1"/>
  <c r="F193" i="1"/>
  <c r="E162" i="28" s="1"/>
  <c r="F249" i="1"/>
  <c r="E263" i="28" s="1"/>
  <c r="F235" i="1"/>
  <c r="E9" i="28" s="1"/>
  <c r="F207" i="1"/>
  <c r="E176" i="28" s="1"/>
  <c r="F181" i="1" l="1"/>
  <c r="E30" i="28"/>
  <c r="F278" i="1"/>
  <c r="E277" i="28" s="1"/>
  <c r="E52" i="28"/>
  <c r="F180" i="1"/>
  <c r="E254" i="28" s="1"/>
  <c r="E29" i="28"/>
  <c r="F208" i="1"/>
  <c r="E177" i="28" s="1"/>
  <c r="F250" i="1"/>
  <c r="E264" i="28" s="1"/>
  <c r="F194" i="1"/>
  <c r="E163" i="28" s="1"/>
  <c r="F222" i="1"/>
  <c r="E41" i="28" s="1"/>
  <c r="F264" i="1"/>
  <c r="F236" i="1"/>
  <c r="E10" i="28" s="1"/>
  <c r="E255" i="28" l="1"/>
  <c r="F196" i="1"/>
  <c r="F279" i="1"/>
  <c r="E278" i="28" s="1"/>
  <c r="E53" i="28"/>
  <c r="F251" i="1"/>
  <c r="E265" i="28" s="1"/>
  <c r="F209" i="1"/>
  <c r="E178" i="28" s="1"/>
  <c r="F223" i="1"/>
  <c r="E42" i="28" s="1"/>
  <c r="F237" i="1"/>
  <c r="E11" i="28" s="1"/>
  <c r="F265" i="1"/>
  <c r="F195" i="1"/>
  <c r="E164" i="28" s="1"/>
  <c r="E165" i="28" l="1"/>
  <c r="F211" i="1"/>
  <c r="F280" i="1"/>
  <c r="E279" i="28" s="1"/>
  <c r="E54" i="28"/>
  <c r="F224" i="1"/>
  <c r="E43" i="28" s="1"/>
  <c r="F210" i="1"/>
  <c r="E179" i="28" s="1"/>
  <c r="F252" i="1"/>
  <c r="E266" i="28" s="1"/>
  <c r="F238" i="1"/>
  <c r="E12" i="28" s="1"/>
  <c r="F266" i="1"/>
  <c r="E180" i="28" l="1"/>
  <c r="F226" i="1"/>
  <c r="F281" i="1"/>
  <c r="E280" i="28" s="1"/>
  <c r="E55" i="28"/>
  <c r="F267" i="1"/>
  <c r="F239" i="1"/>
  <c r="E13" i="28" s="1"/>
  <c r="F253" i="1"/>
  <c r="E267" i="28" s="1"/>
  <c r="F225" i="1"/>
  <c r="E44" i="28" s="1"/>
  <c r="E45" i="28" l="1"/>
  <c r="F241" i="1"/>
  <c r="F282" i="1"/>
  <c r="E281" i="28" s="1"/>
  <c r="E56" i="28"/>
  <c r="F268" i="1"/>
  <c r="F240" i="1"/>
  <c r="E14" i="28" s="1"/>
  <c r="F254" i="1"/>
  <c r="E268" i="28" s="1"/>
  <c r="E15" i="28" l="1"/>
  <c r="F256" i="1"/>
  <c r="F283" i="1"/>
  <c r="E282" i="28" s="1"/>
  <c r="E57" i="28"/>
  <c r="F269" i="1"/>
  <c r="F255" i="1"/>
  <c r="E269" i="28" s="1"/>
  <c r="F271" i="1" l="1"/>
  <c r="E270" i="28"/>
  <c r="F284" i="1"/>
  <c r="E283" i="28" s="1"/>
  <c r="E58" i="28"/>
  <c r="F270" i="1"/>
  <c r="E60" i="28" l="1"/>
  <c r="F286" i="1"/>
  <c r="E285" i="28" s="1"/>
  <c r="F285" i="1"/>
  <c r="E284" i="28" s="1"/>
  <c r="E59" i="28"/>
  <c r="L45" i="18"/>
  <c r="K73" i="25"/>
  <c r="K77" i="25"/>
  <c r="K72" i="25"/>
  <c r="K76" i="25"/>
  <c r="K80" i="25"/>
  <c r="K75" i="25"/>
  <c r="K81" i="25"/>
  <c r="K82" i="25"/>
  <c r="K74" i="25"/>
  <c r="K78" i="25"/>
  <c r="K237" i="18"/>
  <c r="J80" i="25" s="1"/>
  <c r="K233" i="18"/>
  <c r="J76" i="25" s="1"/>
  <c r="K229" i="18"/>
  <c r="J72" i="25" s="1"/>
  <c r="K232" i="18"/>
  <c r="J75" i="25" s="1"/>
  <c r="K239" i="18"/>
  <c r="J82" i="25" s="1"/>
  <c r="K235" i="18"/>
  <c r="J78" i="25" s="1"/>
  <c r="K231" i="18"/>
  <c r="J74" i="25" s="1"/>
  <c r="K238" i="18"/>
  <c r="J81" i="25" s="1"/>
  <c r="K234" i="18"/>
  <c r="J77" i="25" s="1"/>
  <c r="K230" i="18"/>
  <c r="J73" i="25" s="1"/>
  <c r="K71" i="25"/>
  <c r="K228" i="18"/>
  <c r="J71" i="25" s="1"/>
  <c r="K79" i="25"/>
  <c r="K236" i="18"/>
  <c r="J79"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Cunningham</author>
  </authors>
  <commentList>
    <comment ref="B286" authorId="0" shapeId="0" xr:uid="{1AF7BE09-E8AE-7643-BC41-7CDC9E0FDCF5}">
      <text>
        <r>
          <rPr>
            <b/>
            <sz val="10"/>
            <color rgb="FF000000"/>
            <rFont val="Tahoma"/>
            <family val="2"/>
          </rPr>
          <t>Michael Cunningham:</t>
        </r>
        <r>
          <rPr>
            <sz val="10"/>
            <color rgb="FF000000"/>
            <rFont val="Tahoma"/>
            <family val="2"/>
          </rPr>
          <t xml:space="preserve">
</t>
        </r>
        <r>
          <rPr>
            <sz val="10"/>
            <color rgb="FF000000"/>
            <rFont val="Tahoma"/>
            <family val="2"/>
          </rPr>
          <t>corrected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JK</author>
  </authors>
  <commentList>
    <comment ref="A81" authorId="0" shapeId="0" xr:uid="{00000000-0006-0000-0400-000001000000}">
      <text>
        <r>
          <rPr>
            <b/>
            <sz val="9"/>
            <color rgb="FF000000"/>
            <rFont val="Tahoma"/>
            <family val="2"/>
          </rPr>
          <t>JK:</t>
        </r>
        <r>
          <rPr>
            <sz val="9"/>
            <color rgb="FF000000"/>
            <rFont val="Tahoma"/>
            <family val="2"/>
          </rPr>
          <t xml:space="preserve">
</t>
        </r>
        <r>
          <rPr>
            <sz val="9"/>
            <color rgb="FF000000"/>
            <rFont val="Tahoma"/>
            <family val="2"/>
          </rPr>
          <t>Extension values pasted from LCI Jun 2018 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JK</author>
  </authors>
  <commentList>
    <comment ref="Q1" authorId="0" shapeId="0" xr:uid="{00000000-0006-0000-0500-000001000000}">
      <text>
        <r>
          <rPr>
            <b/>
            <sz val="9"/>
            <color indexed="81"/>
            <rFont val="Tahoma"/>
            <charset val="1"/>
          </rPr>
          <t>JK:</t>
        </r>
        <r>
          <rPr>
            <sz val="9"/>
            <color indexed="81"/>
            <rFont val="Tahoma"/>
            <charset val="1"/>
          </rPr>
          <t xml:space="preserve">
Download 17 Jun 2018 </t>
        </r>
      </text>
    </comment>
    <comment ref="T1" authorId="0" shapeId="0" xr:uid="{00000000-0006-0000-0500-000002000000}">
      <text>
        <r>
          <rPr>
            <b/>
            <sz val="9"/>
            <color indexed="81"/>
            <rFont val="Tahoma"/>
            <charset val="1"/>
          </rPr>
          <t>JK:</t>
        </r>
        <r>
          <rPr>
            <sz val="9"/>
            <color indexed="81"/>
            <rFont val="Tahoma"/>
            <charset val="1"/>
          </rPr>
          <t xml:space="preserve">
Download 17 Jun 2018</t>
        </r>
      </text>
    </comment>
    <comment ref="G2" authorId="0" shapeId="0" xr:uid="{00000000-0006-0000-0500-000003000000}">
      <text>
        <r>
          <rPr>
            <b/>
            <sz val="9"/>
            <color indexed="81"/>
            <rFont val="Tahoma"/>
            <family val="2"/>
          </rPr>
          <t>JK:</t>
        </r>
        <r>
          <rPr>
            <sz val="9"/>
            <color indexed="81"/>
            <rFont val="Tahoma"/>
            <family val="2"/>
          </rPr>
          <t xml:space="preserve">
Weighted by 0.38
</t>
        </r>
      </text>
    </comment>
    <comment ref="I2" authorId="0" shapeId="0" xr:uid="{00000000-0006-0000-0500-000004000000}">
      <text>
        <r>
          <rPr>
            <b/>
            <sz val="9"/>
            <color indexed="81"/>
            <rFont val="Tahoma"/>
            <family val="2"/>
          </rPr>
          <t>JK:</t>
        </r>
        <r>
          <rPr>
            <sz val="9"/>
            <color indexed="81"/>
            <rFont val="Tahoma"/>
            <family val="2"/>
          </rPr>
          <t xml:space="preserve">
Weighted by 0.62
</t>
        </r>
      </text>
    </comment>
    <comment ref="A77" authorId="0" shapeId="0" xr:uid="{00000000-0006-0000-0500-000005000000}">
      <text>
        <r>
          <rPr>
            <b/>
            <sz val="9"/>
            <color indexed="81"/>
            <rFont val="Tahoma"/>
            <family val="2"/>
          </rPr>
          <t>JK:</t>
        </r>
        <r>
          <rPr>
            <sz val="9"/>
            <color indexed="81"/>
            <rFont val="Tahoma"/>
            <family val="2"/>
          </rPr>
          <t xml:space="preserve">
Updated 17 Jun 2018
</t>
        </r>
      </text>
    </comment>
  </commentList>
</comments>
</file>

<file path=xl/sharedStrings.xml><?xml version="1.0" encoding="utf-8"?>
<sst xmlns="http://schemas.openxmlformats.org/spreadsheetml/2006/main" count="2192" uniqueCount="434">
  <si>
    <t>Customer Numbers</t>
  </si>
  <si>
    <t>Maximum Demand</t>
  </si>
  <si>
    <t>Opex</t>
  </si>
  <si>
    <t>Price Opex</t>
  </si>
  <si>
    <t>Ratched Maximum Demand</t>
  </si>
  <si>
    <t>Circuit Length</t>
  </si>
  <si>
    <t>Share of Underground Cables</t>
  </si>
  <si>
    <t>No</t>
  </si>
  <si>
    <t>$'000</t>
  </si>
  <si>
    <t>MW</t>
  </si>
  <si>
    <t>Index</t>
  </si>
  <si>
    <t>MVA</t>
  </si>
  <si>
    <t>kms</t>
  </si>
  <si>
    <t>Fraction</t>
  </si>
  <si>
    <t>DNSP</t>
  </si>
  <si>
    <t>Name</t>
  </si>
  <si>
    <t>EIID</t>
  </si>
  <si>
    <t>Year</t>
  </si>
  <si>
    <t>Country</t>
  </si>
  <si>
    <t>PrOpex</t>
  </si>
  <si>
    <t>MaxDem</t>
  </si>
  <si>
    <t>RMDemand</t>
  </si>
  <si>
    <t>CustNum</t>
  </si>
  <si>
    <t>CircLen</t>
  </si>
  <si>
    <t>ShareUGC</t>
  </si>
  <si>
    <t>ALGOMA POWER INC.</t>
  </si>
  <si>
    <t>ATIKOKAN HYDRO INC.</t>
  </si>
  <si>
    <t>BLUEWATER POWER DISTRIBUTION CORPORATION</t>
  </si>
  <si>
    <t>BRANT COUNTY POWER INC.</t>
  </si>
  <si>
    <t>BRANTFORD POWER INC.</t>
  </si>
  <si>
    <t>BURLINGTON HYDRO INC.</t>
  </si>
  <si>
    <t>CAMBRIDGE AND NORTH DUMFRIES HYDRO INC.</t>
  </si>
  <si>
    <t>CANADIAN NIAGARA POWER INC.</t>
  </si>
  <si>
    <t>CENTRE WELLINGTON HYDRO LTD.</t>
  </si>
  <si>
    <t>CHAPLEAU PUBLIC UTILITIES CORPORATION</t>
  </si>
  <si>
    <t>COOPERATIVE HYDRO EMBRUN INC.</t>
  </si>
  <si>
    <t>E.L.K. ENERGY INC.</t>
  </si>
  <si>
    <t>ENERSOURCE HYDRO MISSISSAUGA INC.</t>
  </si>
  <si>
    <t>ENWIN UTILITIES LTD.</t>
  </si>
  <si>
    <t>ERIE THAMES POWERLINES CORPORATION</t>
  </si>
  <si>
    <t>ESPANOLA REGIONAL HYDRO DISTRIBUTION CORPORATION</t>
  </si>
  <si>
    <t>ESSEX POWERLINES CORPORATION</t>
  </si>
  <si>
    <t>FESTIVAL HYDRO INC.</t>
  </si>
  <si>
    <t>FORT FRANCES POWER CORPORATION</t>
  </si>
  <si>
    <t>GREATER SUDBURY HYDRO INC.</t>
  </si>
  <si>
    <t>GRIMSBY POWER INCORPORATED</t>
  </si>
  <si>
    <t>GUELPH HYDRO ELECTRIC SYSTEMS INC.</t>
  </si>
  <si>
    <t>HALDIMAND COUNTY HYDRO INC.</t>
  </si>
  <si>
    <t>HALTON HILLS HYDRO INC.</t>
  </si>
  <si>
    <t>HEARST POWER DISTRIBUTION COMPANY LIMITED</t>
  </si>
  <si>
    <t>HORIZON UTILITIES CORPORATION</t>
  </si>
  <si>
    <t>HYDRO 2000 INC.</t>
  </si>
  <si>
    <t>HYDRO HAWKESBURY INC.</t>
  </si>
  <si>
    <t>HYDRO ONE BRAMPTON NETWORKS INC.</t>
  </si>
  <si>
    <t>HYDRO ONE NETWORKS INC.</t>
  </si>
  <si>
    <t>HYDRO OTTAWA LIMITED</t>
  </si>
  <si>
    <t>INNISFIL HYDRO DISTRIBUTION SYSTEMS LIMITED</t>
  </si>
  <si>
    <t>KENORA HYDRO ELECTRIC CORPORATION LTD.</t>
  </si>
  <si>
    <t>KINGSTON HYDRO CORPORATION</t>
  </si>
  <si>
    <t>KITCHENER-WILMOT HYDRO INC.</t>
  </si>
  <si>
    <t>LAKEFRONT UTILITIES INC.</t>
  </si>
  <si>
    <t>LAKELAND POWER DISTRIBUTION LTD.</t>
  </si>
  <si>
    <t>LONDON HYDRO INC.</t>
  </si>
  <si>
    <t>MIDLAND POWER UTILITY CORPORATION</t>
  </si>
  <si>
    <t>MILTON HYDRO DISTRIBUTION INC.</t>
  </si>
  <si>
    <t>NEWMARKET-TAY POWER DISTRIBUTION LTD.</t>
  </si>
  <si>
    <t>NIAGARA PENINSULA ENERGY INC.</t>
  </si>
  <si>
    <t>NIAGARA-ON-THE-LAKE HYDRO INC.</t>
  </si>
  <si>
    <t>NORFOLK POWER DISTRIBUTION INC.</t>
  </si>
  <si>
    <t>NORTH BAY HYDRO DISTRIBUTION LIMITED</t>
  </si>
  <si>
    <t>NORTHERN ONTARIO WIRES INC.</t>
  </si>
  <si>
    <t>OAKVILLE HYDRO ELECTRICITY DISTRIBUTION INC.</t>
  </si>
  <si>
    <t>ORANGEVILLE HYDRO LIMITED</t>
  </si>
  <si>
    <t>ORILLIA POWER DISTRIBUTION CORPORATION</t>
  </si>
  <si>
    <t>OSHAWA PUC NETWORKS INC.</t>
  </si>
  <si>
    <t>OTTAWA RIVER POWER CORPORATION</t>
  </si>
  <si>
    <t>PARRY SOUND POWER CORPORATION</t>
  </si>
  <si>
    <t>PETERBOROUGH DISTRIBUTION INCORPORATED</t>
  </si>
  <si>
    <t>POWERSTREAM INC.</t>
  </si>
  <si>
    <t>PUC DISTRIBUTION INC.</t>
  </si>
  <si>
    <t>RENFREW HYDRO INC.</t>
  </si>
  <si>
    <t>RIDEAU ST. LAWRENCE DISTRIBUTION INC.</t>
  </si>
  <si>
    <t>SIOUX LOOKOUT HYDRO INC.</t>
  </si>
  <si>
    <t>ST. THOMAS ENERGY INC.</t>
  </si>
  <si>
    <t>THUNDER BAY HYDRO ELECTRICITY DISTRIBUTION INC.</t>
  </si>
  <si>
    <t>TILLSONBURG HYDRO INC.</t>
  </si>
  <si>
    <t>TORONTO HYDRO-ELECTRIC SYSTEM LIMITED</t>
  </si>
  <si>
    <t>VERIDIAN CONNECTIONS INC.</t>
  </si>
  <si>
    <t>WASAGA DISTRIBUTION INC.</t>
  </si>
  <si>
    <t>WATERLOO NORTH HYDRO INC.</t>
  </si>
  <si>
    <t>WELLAND HYDRO-ELECTRIC SYSTEM CORP.</t>
  </si>
  <si>
    <t>WELLINGTON NORTH POWER INC.</t>
  </si>
  <si>
    <t>WEST COAST HURON ENERGY INC.</t>
  </si>
  <si>
    <t>WESTARIO POWER INC.</t>
  </si>
  <si>
    <t>WHITBY HYDRO ELECTRIC CORPORATION</t>
  </si>
  <si>
    <t>WOODSTOCK HYDRO SERVICES INC.</t>
  </si>
  <si>
    <t>COLLUS POWERSTREAM Corp.</t>
  </si>
  <si>
    <t>Entegrus Powerlines Inc.</t>
  </si>
  <si>
    <t>DATA FOR COMBINING DISTRIBUTORS</t>
  </si>
  <si>
    <t>Innpower Corporation</t>
  </si>
  <si>
    <t xml:space="preserve"> </t>
  </si>
  <si>
    <t xml:space="preserve">  </t>
  </si>
  <si>
    <t>GXP Demand - Maximum coincident system demand (MW)</t>
  </si>
  <si>
    <t>Embedded Generation Output at HV and Above</t>
  </si>
  <si>
    <t>Maximum System Demand</t>
  </si>
  <si>
    <t>GXP Demand - Non-coincident Sum of maximum demands (MW)</t>
  </si>
  <si>
    <t>Net Transfers to (from) Other EDBs at HV and Above - Non-coincident Sum of maximum demands (MW)</t>
  </si>
  <si>
    <t>Embedded Generation Output - Connected to Subtransmission System - Non-coincident Sum of maximum demands (MW)</t>
  </si>
  <si>
    <t>Net Transfers to (from) Other EDBs at Subtransmission Level Only</t>
  </si>
  <si>
    <t>Maximum Coincident System Demand</t>
  </si>
  <si>
    <t>Est Non-coincident MD excl EG - Calc by ratio of coincident</t>
  </si>
  <si>
    <t>Alpine Energy Limited</t>
  </si>
  <si>
    <t>Alpine Energy</t>
  </si>
  <si>
    <t>Aurora Energy</t>
  </si>
  <si>
    <t>Counties Power</t>
  </si>
  <si>
    <t>Eastland Network</t>
  </si>
  <si>
    <t>Electra Limited</t>
  </si>
  <si>
    <t>Electra</t>
  </si>
  <si>
    <t>Horizon Energy Distribution</t>
  </si>
  <si>
    <t>Horizon Energy</t>
  </si>
  <si>
    <t>Mainpower New Zealand</t>
  </si>
  <si>
    <t>MainPower</t>
  </si>
  <si>
    <t>Mainpower</t>
  </si>
  <si>
    <t>Marlborough Lines Limited</t>
  </si>
  <si>
    <t>Marlborough Lines</t>
  </si>
  <si>
    <t>Network Tasman Limited</t>
  </si>
  <si>
    <t>Network Tasman</t>
  </si>
  <si>
    <t>Northpower Limited</t>
  </si>
  <si>
    <t>Northpower</t>
  </si>
  <si>
    <t>Powerco Limited</t>
  </si>
  <si>
    <t>Powerco</t>
  </si>
  <si>
    <t>The Lines Company</t>
  </si>
  <si>
    <t>The Power Company</t>
  </si>
  <si>
    <t>Top Energy Limited</t>
  </si>
  <si>
    <t>Top Energy</t>
  </si>
  <si>
    <t>Unison Networks</t>
  </si>
  <si>
    <t>Unison</t>
  </si>
  <si>
    <t>Vector</t>
  </si>
  <si>
    <t>Waipa Networks Limited</t>
  </si>
  <si>
    <t>Waipa Networks</t>
  </si>
  <si>
    <t>WEL Networks</t>
  </si>
  <si>
    <t>Wellington</t>
  </si>
  <si>
    <t>All Sectors Combined and Industry Group (ANZSIC06)(Base: June 2009 qtr (=1000)) (Qrtly-Mar/Jun/Sep/Dec)</t>
  </si>
  <si>
    <t>All Salary and Wage Rates</t>
  </si>
  <si>
    <t>Electricity, Gas, Water and Waste Services</t>
  </si>
  <si>
    <t>All Industries Combined</t>
  </si>
  <si>
    <t>1995Q1</t>
  </si>
  <si>
    <t>..</t>
  </si>
  <si>
    <t>1995Q2</t>
  </si>
  <si>
    <t>1995Q3</t>
  </si>
  <si>
    <t>1995Q4</t>
  </si>
  <si>
    <t>1996Q1</t>
  </si>
  <si>
    <t>1996Q2</t>
  </si>
  <si>
    <t>1996Q3</t>
  </si>
  <si>
    <t>1996Q4</t>
  </si>
  <si>
    <t>1997Q1</t>
  </si>
  <si>
    <t>1997Q2</t>
  </si>
  <si>
    <t>1997Q3</t>
  </si>
  <si>
    <t>1997Q4</t>
  </si>
  <si>
    <t>1998Q1</t>
  </si>
  <si>
    <t>1998Q2</t>
  </si>
  <si>
    <t>1998Q3</t>
  </si>
  <si>
    <t>1998Q4</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</si>
  <si>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</si>
  <si>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</si>
  <si>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</si>
  <si>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</si>
  <si>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</si>
  <si>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</si>
  <si>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</si>
  <si>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</si>
  <si>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</si>
  <si>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</si>
  <si>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</si>
  <si>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</si>
  <si>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</si>
  <si>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</si>
  <si>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</si>
  <si>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</si>
  <si>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</si>
  <si>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</si>
  <si>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</si>
  <si>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</si>
  <si>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</si>
  <si>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</si>
  <si>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LCI (annualised)</t>
  </si>
  <si>
    <t>LCI</t>
  </si>
  <si>
    <t>2004Q3</t>
  </si>
  <si>
    <t>All Salaries &amp; Wages</t>
  </si>
  <si>
    <t>2004Q4</t>
  </si>
  <si>
    <t>EGW</t>
  </si>
  <si>
    <t>All Industries</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</si>
  <si>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</si>
  <si>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</si>
  <si>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</si>
  <si>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</si>
  <si>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</si>
  <si>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</si>
  <si>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</si>
  <si>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</si>
  <si>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</si>
  <si>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</si>
  <si>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</si>
  <si>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</si>
  <si>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</si>
  <si>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</si>
  <si>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</si>
  <si>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</si>
  <si>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</si>
  <si>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</si>
  <si>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t>
  </si>
  <si>
    <t>2009Q3</t>
  </si>
  <si>
    <t>2010</t>
  </si>
  <si>
    <t>2009Q4</t>
  </si>
  <si>
    <t>2011</t>
  </si>
  <si>
    <t>2010Q1</t>
  </si>
  <si>
    <t>2012</t>
  </si>
  <si>
    <t>2010Q2</t>
  </si>
  <si>
    <t>2013</t>
  </si>
  <si>
    <t>2010Q3</t>
  </si>
  <si>
    <t>2014</t>
  </si>
  <si>
    <t>2010Q4</t>
  </si>
  <si>
    <t>2015</t>
  </si>
  <si>
    <t>2011Q1</t>
  </si>
  <si>
    <t>2016</t>
  </si>
  <si>
    <t>2011Q2</t>
  </si>
  <si>
    <t>2017</t>
  </si>
  <si>
    <t>2011Q3</t>
  </si>
  <si>
    <t>2018</t>
  </si>
  <si>
    <t>2011Q4</t>
  </si>
  <si>
    <t>2019</t>
  </si>
  <si>
    <t>2012Q1</t>
  </si>
  <si>
    <t>2012Q2</t>
  </si>
  <si>
    <t>2012Q3</t>
  </si>
  <si>
    <t>Gr 96-13</t>
  </si>
  <si>
    <t>2012Q4</t>
  </si>
  <si>
    <t>Gr 96-04</t>
  </si>
  <si>
    <t>2013Q1</t>
  </si>
  <si>
    <t>Gr 04-13</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</si>
  <si>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</si>
  <si>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</si>
  <si>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</si>
  <si>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</si>
  <si>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</si>
  <si>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</si>
  <si>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</si>
  <si>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</si>
  <si>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</si>
  <si>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</si>
  <si>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</si>
  <si>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</si>
  <si>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</si>
  <si>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</si>
  <si>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</si>
  <si>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</si>
  <si>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</si>
  <si>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</si>
  <si>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</si>
  <si>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</si>
  <si>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</si>
  <si>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</si>
  <si>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</si>
  <si>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</si>
  <si>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DETAILS BELOW ARE FROM PREVIOUS (BLACK) DOWNLOAD</t>
  </si>
  <si>
    <t>SEE Sheet LCI Jun 2018 for later notes etc</t>
  </si>
  <si>
    <r>
      <t>Table information:</t>
    </r>
    <r>
      <rPr>
        <sz val="11"/>
        <color theme="1"/>
        <rFont val="Calibri"/>
        <family val="2"/>
        <scheme val="minor"/>
      </rPr>
      <t xml:space="preserve"> </t>
    </r>
  </si>
  <si>
    <t>Units:</t>
  </si>
  <si>
    <t>Index, Magnitude = Units</t>
  </si>
  <si>
    <t>Footnotes:</t>
  </si>
  <si>
    <t>Base: June 2009 Quarter (=1000)</t>
  </si>
  <si>
    <t>The measured sector (used in productivity statistics) is ANZSIC divisions A to K and P from 1978, and includes divisions LC (Business services) and Q (Personal and other community services) from 1996 onwards.</t>
  </si>
  <si>
    <t>The former measured sector (used in productivity statistics) is ANZSIC divisions A to K and P.</t>
  </si>
  <si>
    <t>Symbols:</t>
  </si>
  <si>
    <t>.. figure not available</t>
  </si>
  <si>
    <t>C: Confidential</t>
  </si>
  <si>
    <t>E: Early Estimate</t>
  </si>
  <si>
    <t>P: Provisional</t>
  </si>
  <si>
    <t>R: Revised</t>
  </si>
  <si>
    <t>S: Suppressed</t>
  </si>
  <si>
    <t>Status flags are not displayed</t>
  </si>
  <si>
    <t>Table reference:</t>
  </si>
  <si>
    <t>LCI028AA</t>
  </si>
  <si>
    <t>Last updated:</t>
  </si>
  <si>
    <t>Electricity, Gas, Water and Waste Services: 07 May 2014 10:45am</t>
  </si>
  <si>
    <t>All Industries Combined: 07 May 2014 10:45am</t>
  </si>
  <si>
    <t>Source: Statistics New Zealand</t>
  </si>
  <si>
    <t>Contact: Information Centre</t>
  </si>
  <si>
    <t>Telephone: 0508 525 525</t>
  </si>
  <si>
    <t>Email:info@stats.govt.nz</t>
  </si>
  <si>
    <t>Inputs (ANZSIC06) - NZSIOC level 1, Base: Dec. 2010 quarter (=1000) (Qrtly-Mar/Jun/Sep/Dec)</t>
  </si>
  <si>
    <t>ANNUALISED BASIS CALCULATED BELOW</t>
  </si>
  <si>
    <t>All Industries (PPI)</t>
  </si>
  <si>
    <t>Electricity, Gas, Water and Waste Services (PPI)</t>
  </si>
  <si>
    <t>All Industries PPI</t>
  </si>
  <si>
    <t>All Ind PPI Index to 1996</t>
  </si>
  <si>
    <t>EGW LCI</t>
  </si>
  <si>
    <t>Weighted Average Change</t>
  </si>
  <si>
    <t>Opex Price Index</t>
  </si>
  <si>
    <t>Opex Price Index rescaled to 2006</t>
  </si>
  <si>
    <t>SAME ?</t>
  </si>
  <si>
    <t>1996</t>
  </si>
  <si>
    <t>1997</t>
  </si>
  <si>
    <t>1998</t>
  </si>
  <si>
    <t>1999</t>
  </si>
  <si>
    <t>2000</t>
  </si>
  <si>
    <t>2001</t>
  </si>
  <si>
    <t>2002</t>
  </si>
  <si>
    <t>2003</t>
  </si>
  <si>
    <t>2004</t>
  </si>
  <si>
    <t>2005</t>
  </si>
  <si>
    <t>2006</t>
  </si>
  <si>
    <t>2007</t>
  </si>
  <si>
    <t>2008</t>
  </si>
  <si>
    <t>PPI019AA</t>
  </si>
  <si>
    <t>17 May 2018 10:45am</t>
  </si>
  <si>
    <t>20 February 2014 10:45am</t>
  </si>
  <si>
    <t>DNSP #2007 (Electra), year 2015, average customer nos from preceding and subsequent years</t>
  </si>
  <si>
    <t>DNSP #2010 (MainPower), year 2015, average customer nos from preceding and subsequent years</t>
  </si>
  <si>
    <t>Entegrus Powerlines</t>
  </si>
  <si>
    <t>INNPOWER CORPORATION</t>
  </si>
  <si>
    <t>ENERGY+</t>
  </si>
  <si>
    <t>ALECTRA UTILITIES CORPORATION</t>
  </si>
  <si>
    <t>Underground Length</t>
  </si>
  <si>
    <t>NORFOLK POWER DISTRIBUTION</t>
  </si>
  <si>
    <t>UGLen</t>
  </si>
  <si>
    <t xml:space="preserve"> OM&amp;A Input Price Inflation</t>
  </si>
  <si>
    <t>AWE- All Employees</t>
  </si>
  <si>
    <t>GDPIPI</t>
  </si>
  <si>
    <t>OM&amp;A Price Index</t>
  </si>
  <si>
    <t xml:space="preserve">Opex Index </t>
  </si>
  <si>
    <t xml:space="preserve"> Ontario</t>
  </si>
  <si>
    <t>Annual Growth</t>
  </si>
  <si>
    <t>Three Year Moving Average</t>
  </si>
  <si>
    <t>Canada</t>
  </si>
  <si>
    <t>Level</t>
  </si>
  <si>
    <t>.7 * AWE increase</t>
  </si>
  <si>
    <t>0.3 * GDP increase</t>
  </si>
  <si>
    <t>summation increase</t>
  </si>
  <si>
    <t>antilog of summation</t>
  </si>
  <si>
    <t>scaling to 100 at 2002</t>
  </si>
  <si>
    <t>scaling to 1.0 at 2005</t>
  </si>
  <si>
    <t>Below is from PEG original source &amp; format</t>
  </si>
  <si>
    <t>2004-2011 Average</t>
  </si>
  <si>
    <t>Standard Deviation</t>
  </si>
  <si>
    <t>Standard Deviation/ Average</t>
  </si>
  <si>
    <r>
      <t xml:space="preserve">NOTE - Alterations &amp; additions May 2018 in </t>
    </r>
    <r>
      <rPr>
        <sz val="11"/>
        <color rgb="FFFF0000"/>
        <rFont val="Calibri"/>
        <family val="2"/>
        <scheme val="minor"/>
      </rPr>
      <t>RED</t>
    </r>
  </si>
  <si>
    <t>Data from Cansim accessed 28 May 2018</t>
  </si>
  <si>
    <t>Previous Data from Cansim accessed 1,2, Sep2016</t>
  </si>
  <si>
    <t>ONTARIO DATA</t>
  </si>
  <si>
    <t>DNSP Amalgamations and Name Changes</t>
  </si>
  <si>
    <t>Note: In 2014 Parry Sound Power Corp (#3066) was sold to Lakeland Power Distribution (#3053) - neither DNSP is used in the Medium Database</t>
  </si>
  <si>
    <t xml:space="preserve">DNSP #3011 (Enwin), circuit length, underground length and share of underground smoothed for 2017. </t>
  </si>
  <si>
    <t xml:space="preserve">DNSP #3009 (Veridian), circuit length, underground length and share of underground smoothed for 2015. </t>
  </si>
  <si>
    <t xml:space="preserve">DNSP #3015 (Oshawa), circuit length, underground length and share of underground smoothed for 2005. </t>
  </si>
  <si>
    <t xml:space="preserve">DNSP #3028 (Milton), circuit length, underground length and share of underground smoothed for 2016-17. </t>
  </si>
  <si>
    <t xml:space="preserve">DNSP #3034 (Welland), circuit length, underground length and share of underground smoothed for 2011. </t>
  </si>
  <si>
    <t>DNSP #3002 (Toronto Hydro), circuit length, underground length and share of underground smoothed for 2005-2007 and 2016-17.</t>
  </si>
  <si>
    <t xml:space="preserve">NOTES </t>
  </si>
  <si>
    <t>Data are sourced from the file 'Benchmarking-Spreadsheet-Model-2017-revised.xlsx' prepared for the Ontario Energy Board by Pacific Economics Group. Earlier versions of this file and OEB Data Yearbooks were used in earlier versions of the database. Links to these files have been left in place. Data has been checked for consistency with 'Benchmarking-Spreadsheet-Model-2017-revised.xlsx' and updates made where data has been revised in the latest file.</t>
  </si>
  <si>
    <t>Opex is OM&amp;A from row 9 of sheet '2017 Benchmarking Calculations' in file 'Benchmarking-Spreadsheet-Model-2017-revised.xlsx'.</t>
  </si>
  <si>
    <t>The opex price index is formed from yearly increases for AWE  weighted by 0.7 and yearly increases for GDPIPI weight by 0.3. The annual increase is taken from row 68 of sheet '2017 Benchmarking Calculations' in file 'Benchmarking-Spreadsheet-Model-2017-revised.xlsx'.</t>
  </si>
  <si>
    <t>Maximum demand is Annual Peak Demand from row 60 of sheet '2017 Benchmarking Calculations' in file 'Benchmarking-Spreadsheet-Model-2017-revised.xlsx'.</t>
  </si>
  <si>
    <t>Customer numbers is from row 56 of sheet '2017 Benchmarking Calculations' in file 'Benchmarking-Spreadsheet-Model-2017-revised.xlsx'.</t>
  </si>
  <si>
    <t>Circuit length is taken from row 79 of sheet '2017 Utility Characteristics' in file 'Benchmarking-Spreadsheet-Model-2017-revised.xlsx'.</t>
  </si>
  <si>
    <t>Underground length is taken from row 81 of sheet '2017 Utility Characteristics' in file 'Benchmarking-Spreadsheet-Model-2017-revised.xlsx'.</t>
  </si>
  <si>
    <t>Share of underground is formed as the ratio of underground length to circuit length. Note for 2013 and prior years the OEB reported circuit length and the share of underground directly and underground length of those years is formed by multiplying circuit length by the share of underground.</t>
  </si>
  <si>
    <t xml:space="preserve">DNSP #3018 (Niagara Peninsula), circuit length, underground length and share of underground smoothed for 2007. </t>
  </si>
  <si>
    <t>Wellington Electricity</t>
  </si>
  <si>
    <t>Opex derived from pre-2008 IDD ratios</t>
  </si>
  <si>
    <t>End-year customer numbers</t>
  </si>
  <si>
    <t>Underground length</t>
  </si>
  <si>
    <t>Ratcheted Maximum Demand</t>
  </si>
  <si>
    <t>Vector &amp; Wellington</t>
  </si>
  <si>
    <t>From Measurement Performance Information Sheet of 2008-2012 IDD:</t>
  </si>
  <si>
    <t>Data Adjustments</t>
  </si>
  <si>
    <t>2018 ABR Opex</t>
  </si>
  <si>
    <t>NZ DATA</t>
  </si>
  <si>
    <t>Data for 2006-2012 is sourced from 'Economic Insights NZ EDB Database excl Orion 5Nov2014.xlsx' prepared for the Commerce Commission in 2014 based on Information Disclosure Data (IDD). Data for 2013-2018 is sourced from the Commerce Commission's latest IDD file 'Electricity-distributors-information-disclosure-data-20132018-23-October-2018.xlsm' and associated extract files derived from applying relevant filter.</t>
  </si>
  <si>
    <t xml:space="preserve">Opex for 2013-2018 is taken from 'Electricity-distributors-information-disclosure-data-20132018-23-October-2018.xlsm', section 6(b), line 17. Opex for 2006-2012 is derived by applying proportional changes from opex reported in 'Economic Insights NZ EDB Database excl Orion 5Nov2014.xlsx' to the 2013 opex from the latest IDD file. </t>
  </si>
  <si>
    <t xml:space="preserve">Customer Numbers for 2013-2013 are taken from 'Electricity-distributors-information-disclosure-data-20132018-23-October-2018.xlsx', section 8, line 28. They are average cutomer numbers for the year. Earlier IDD reported end-year customer numbers instead of average cusotmer numbers. We estimate average customer numbers for 2006-2012 by averaging the current and preceding year endyear customer numbers listed in 'Economic Insights NZ EDB Database excl Orion 5Nov2014.xlsx'. </t>
  </si>
  <si>
    <t>Circuit Length and Underground Length for 2013-2018 are taken from 'Electricity-distributors-information-disclosure-data-20132018-23-October-2018.xlsx', section 9(c), line 18. Total and underground circuit lengths for 2006-2012 are taken from 'Economic Insights NZ EDB Database excl Orion 5Nov2014.xlsx'. The share of underground is derived as the ratio of underground to total circuit length.</t>
  </si>
  <si>
    <t>Vector Lines</t>
  </si>
  <si>
    <t>In 2009 Vector sold off the Wellington component of its network. To facilitate data continuity, we disaggregate Vector data for 2006-2008 into Vector Lines (DNSP #2001) and Wellington Electricity Lines (DNSP #2019) components using their respective shares in 2009 data (2010 data in the case of opex and maximum demand).</t>
  </si>
  <si>
    <t>In the DNSP Ont Med sheet, in January 2017 Alectra Utilities Corp was formed by the merger of Enersource Hydro Mississauga (#3006), Horizon Utilities Corp (#3005), Hydro One Brampton Networks (#3008) and Powerstream Inc (#3003). We  include Alectra as DNSP #3038 in the medium database from 2017.</t>
  </si>
  <si>
    <t>In the DNSP Ont Med sheet, DNSP #3001 (Hydro One) acquired the small Norfolk Power (#3038) in 2015, Haldimand County (#3035) in 2016 and Woodstock Hydro (#3042) in 2016. We add #3001, #3038, #3035 and #3042 data together for all years and delete #3035 from the medium database.</t>
  </si>
  <si>
    <t>In the DNSP Med sheet, Cambridge and North Dumfries Hydro (#3016) acquired the small Brant County (#3051) in 2016 and from then traded as Energy+. We add #3016 and #3051 data together for all years 2005 to 2015 as DNSP #3016 and continue with Energy+ data from 2016 onwards as DNSP #3016.</t>
  </si>
  <si>
    <t>Note: In 2016 DNSP #3043 Innisfil Hydro Distribution System was renamed to Innpower Corp - not used in Medium Database</t>
  </si>
  <si>
    <t>Non-coincident maximum demand is not reported in the latest IDD. It was reported at the trnasmission connection points for the IDD in place between 2008 and 2012. We form an estimated non-coincident maximum demand series by extending the 2008-2012 data forwards to 2018 and backwards to 2006 based on proportion changes in total coincident maximum demand listed in 'Economic Insights NZ EDB Database excl Orion 5Nov2014.xlsx' and 'Electricity-distributors-information-disclosure-data-20132018-23-October-2018.xlsx', section 9(e), line 28.</t>
  </si>
  <si>
    <t>Source Files 2006-2018</t>
  </si>
  <si>
    <t>Same as 2018</t>
  </si>
  <si>
    <t>EPCOR Electricity Distribution Ontario Inc.</t>
  </si>
  <si>
    <t>ERTH Power Corporation</t>
  </si>
  <si>
    <t>Data are sourced from the file 'Benchmarking-2018-Spreadsheet-Model-20190815.xlsx' prepared for the Ontario Energy Board by Pacific Economics Group.</t>
  </si>
  <si>
    <t>Opex is OM&amp;A from row 10 of sheet '2018 Benchmarking Calculations'.</t>
  </si>
  <si>
    <t>The annual increases are taken from rows 67 and 68 of sheet '2018 Benchmarking Calculations'</t>
  </si>
  <si>
    <t>Maximum demand is Annual Peak Demand from row 61 of sheet '2018 Benchmarking Calculations'</t>
  </si>
  <si>
    <t>Customer numbers is from row 57 of sheet '2018 Benchmarking Calculations'</t>
  </si>
  <si>
    <t>Circuit length is taken from row 103 of sheet '2018 Utility Characteristics'</t>
  </si>
  <si>
    <t>Share of underground is formed as the ratio of underground length to circuit length.</t>
  </si>
  <si>
    <t>Source Files 2005-2017</t>
  </si>
  <si>
    <t>In the DNSP Med sheet, Entegrus Powerlines Inc (#3022) acquired the small St Thomas Energy Inc (#3040) in 2018 and from then traded as Entegrus Powerlines Inc. We add #3022 and #3040 data together for all years 2005 to 2017 as DNSP #3022 and continue with Entegrus Powerlines Inc data from 2018 onwards as DNSP #3022.</t>
  </si>
  <si>
    <t>In the DNSP Med sheet, Newmarket Tay Power Distribution Ltd (#3026) acquired the small Midlands Power Utility Corp (#3055) in 2018 and from then traded as Newmarket Tay Power Distribution Ltd. We add #3026 and #3055 data together for all years 2005 to 2017 as DNSP #3026 and continue with Newmarket Tay Power Distribution Ltd data from 2018 onwards as DNSP #3026.</t>
  </si>
  <si>
    <t>Note: In 2018 DNSP #3041 Collus Powerstream Corp was renamed to EPCOR Electricity Distribution Ontario Inc - not used in Medium Database</t>
  </si>
  <si>
    <t>Note: In 2018 DNSP #3039 Erie Thames Power Corporation was renamed to ERTH Power Corporation - not used in Medium Database</t>
  </si>
  <si>
    <t>Smoothing continued for 2018</t>
  </si>
  <si>
    <t>Revised data taken in for 2017 customer numbers for Chapleau (DNSP #3072 - not used), ELK Energy (DNSP #3048 - not used) and Hydro One Networks (DNSP #3001)</t>
  </si>
  <si>
    <t>Max demand for Halton Hills (DNSP #3036) for 2012 corrected by sourcing to PEG's 2012 data sheet for Annual Peak Demand rather than System Capacity</t>
  </si>
  <si>
    <t>2019Q2</t>
  </si>
  <si>
    <t>2019Q3</t>
  </si>
  <si>
    <t>2019Q4</t>
  </si>
  <si>
    <t>2020Q1</t>
  </si>
  <si>
    <t>2020Q2</t>
  </si>
  <si>
    <t>2020Q3</t>
  </si>
  <si>
    <t>2020Q4</t>
  </si>
  <si>
    <t>2020</t>
  </si>
  <si>
    <t>2021</t>
  </si>
  <si>
    <t>ELEXICON</t>
  </si>
  <si>
    <t>Same as 3019</t>
  </si>
  <si>
    <t>Data are sourced from the file 'Benchmarking-2019-Spreadsheet-Model-20200831.xlsx' prepared for the Ontario Energy Board by Pacific Economics Group.</t>
  </si>
  <si>
    <t>Opex is OM&amp;A from row 10 of sheet '2019 Benchmarking Calculations'.</t>
  </si>
  <si>
    <t>Maximum demand is Annual Peak Demand from row 61 of sheet '2019 Benchmarking Calculations'</t>
  </si>
  <si>
    <t>Customer numbers is from row 57 of sheet '2019 Benchmarking Calculations'</t>
  </si>
  <si>
    <t>Circuit length is taken from the sum of rows 16 and 18 of sheet '2019 Utility Characteristics'</t>
  </si>
  <si>
    <t>Underground length is taken from row 18 of sheet '2019 Utility Characteristics'</t>
  </si>
  <si>
    <t xml:space="preserve">In 2019 Alectra Utilities Corp (#038) acquired Guelph Hydro (#3017). </t>
  </si>
  <si>
    <t>Circuit length is taken from row 105 of sheet '2018 Utility Characteristics'</t>
  </si>
  <si>
    <t>In 2019 Thunder Bay Hydro Electric (#3019) and Kenora Hydro (#3061) merged to form Synergy North. We add #3019 and #3061 data together for 2005 to 2019 and list Synergy North as #3019.</t>
  </si>
  <si>
    <t>SYNERGY NORTH</t>
  </si>
  <si>
    <t>DNSP#3019 (Synergy North) has no U/G circuit length data for 2019 so assume share of U/G for 2019 was the same as that for 2018.</t>
  </si>
  <si>
    <t xml:space="preserve">In 2019 Veridian (#3009) and Whitby Hydro (#3021) merged to form Elexicon. We add #3009 and #3021 data together for 2005 to 2018 and list as Elexicon #3009. </t>
  </si>
  <si>
    <t>Smooth Elexicon line lengths for 2015</t>
  </si>
  <si>
    <t>In 2019 Erie Thames (#3039) and West Coast Huron (#3064) merged to form ERTH. We add #3039 and #3064 data together for 2005 to 2018 and list as ERTH #3039. Note neither Erie Thames nor West Coast Huron were previously included due to their small individual sizes.</t>
  </si>
  <si>
    <t>Checked population sizes and densities of cities covered by Toronto Hydro, ENWIN (serves Windsor, industrial city opposite Detroit) and Milton (serves south-western part of Toronto) to see whether recent line lengths should be spliced with older series (as currently done) or vice-versa. Current method gives most plausible customer densities given service areas covered.</t>
  </si>
  <si>
    <t>Same as for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</si>
</sst>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quot;-&quot;??_-;_-@_-"/>
    <numFmt numFmtId="165" formatCode="_(* #,##0_);_(* \(#,##0\);_(* &quot;-&quot;??_);_(@_)"/>
    <numFmt numFmtId="166" formatCode="\(#,##0\);\(#,##0\);\-"/>
    <numFmt numFmtId="167" formatCode="0.0000"/>
    <numFmt numFmtId="168" formatCode="0.000"/>
    <numFmt numFmtId="169" formatCode="0.000000"/>
    <numFmt numFmtId="170" formatCode="#,##0.000"/>
    <numFmt numFmtId="171" formatCode="#,##0.0000"/>
    <numFmt numFmtId="172" formatCode="0.0%"/>
  </numFmts>
  <fonts count="53">
    <font>
      <sz val="11"/>
      <color theme="1"/>
      <name val="Calibri"/>
      <family val="2"/>
      <scheme val="minor"/>
    </font>
    <font>
      <sz val="11"/>
      <color indexed="8"/>
      <name val="Calibri"/>
      <family val="2"/>
    </font>
    <font>
      <sz val="11"/>
      <color indexed="8"/>
      <name val="Calibri"/>
      <family val="2"/>
    </font>
    <font>
      <sz val="10"/>
      <name val="Calibri"/>
      <family val="2"/>
    </font>
    <font>
      <sz val="10"/>
      <name val="Arial"/>
      <family val="2"/>
    </font>
    <font>
      <b/>
      <sz val="11"/>
      <color indexed="8"/>
      <name val="Calibri"/>
      <family val="2"/>
    </font>
    <font>
      <sz val="11"/>
      <color indexed="10"/>
      <name val="Calibri"/>
      <family val="2"/>
    </font>
    <font>
      <sz val="10"/>
      <color indexed="8"/>
      <name val="Arial"/>
      <family val="2"/>
    </font>
    <font>
      <sz val="9"/>
      <color indexed="81"/>
      <name val="Tahoma"/>
      <family val="2"/>
    </font>
    <font>
      <b/>
      <sz val="9"/>
      <color indexed="81"/>
      <name val="Tahoma"/>
      <family val="2"/>
    </font>
    <font>
      <sz val="8"/>
      <name val="Calibri"/>
      <family val="2"/>
    </font>
    <font>
      <sz val="11"/>
      <name val="Calibri"/>
      <family val="2"/>
    </font>
    <font>
      <u/>
      <sz val="11"/>
      <color indexed="12"/>
      <name val="Calibri"/>
      <family val="2"/>
    </font>
    <font>
      <u/>
      <sz val="10"/>
      <color indexed="12"/>
      <name val="Arial"/>
      <family val="2"/>
    </font>
    <font>
      <b/>
      <sz val="10"/>
      <name val="Arial"/>
      <family val="2"/>
    </font>
    <font>
      <sz val="10"/>
      <color indexed="10"/>
      <name val="Arial"/>
      <family val="2"/>
    </font>
    <font>
      <b/>
      <sz val="9"/>
      <color indexed="81"/>
      <name val="Tahoma"/>
      <charset val="1"/>
    </font>
    <font>
      <sz val="9"/>
      <color indexed="81"/>
      <name val="Tahoma"/>
      <charset val="1"/>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0"/>
      <color rgb="FF0070C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font>
    <font>
      <b/>
      <sz val="11"/>
      <color theme="1"/>
      <name val="Calibri"/>
      <family val="2"/>
      <scheme val="minor"/>
    </font>
    <font>
      <sz val="11"/>
      <color rgb="FFFF0000"/>
      <name val="Calibri"/>
      <family val="2"/>
      <scheme val="minor"/>
    </font>
    <font>
      <b/>
      <sz val="18"/>
      <color indexed="8"/>
      <name val="Calibri"/>
      <family val="2"/>
    </font>
    <font>
      <sz val="18"/>
      <color indexed="8"/>
      <name val="Calibri"/>
      <family val="2"/>
    </font>
    <font>
      <b/>
      <sz val="18"/>
      <color indexed="8"/>
      <name val="Arial"/>
      <family val="2"/>
    </font>
    <font>
      <sz val="14"/>
      <color indexed="8"/>
      <name val="Arial"/>
      <family val="2"/>
    </font>
    <font>
      <sz val="14"/>
      <color indexed="8"/>
      <name val="Calibri"/>
      <family val="2"/>
    </font>
    <font>
      <sz val="10"/>
      <color theme="1"/>
      <name val="Arial"/>
      <family val="2"/>
    </font>
    <font>
      <sz val="11"/>
      <color rgb="FF0070C0"/>
      <name val="Calibri"/>
      <family val="2"/>
      <scheme val="minor"/>
    </font>
    <font>
      <sz val="10"/>
      <color rgb="FFFF0000"/>
      <name val="Arial"/>
      <family val="2"/>
    </font>
    <font>
      <b/>
      <sz val="10"/>
      <color indexed="8"/>
      <name val="Arial"/>
      <family val="2"/>
    </font>
    <font>
      <sz val="11"/>
      <color theme="1"/>
      <name val="Calibri"/>
      <family val="2"/>
    </font>
    <font>
      <sz val="18"/>
      <color theme="3"/>
      <name val="Cambria"/>
      <family val="2"/>
      <scheme val="major"/>
    </font>
    <font>
      <sz val="11"/>
      <color rgb="FF9C5700"/>
      <name val="Calibri"/>
      <family val="2"/>
      <scheme val="minor"/>
    </font>
    <font>
      <u/>
      <sz val="11"/>
      <color theme="10"/>
      <name val="Calibri"/>
      <family val="2"/>
      <scheme val="minor"/>
    </font>
    <font>
      <b/>
      <sz val="9"/>
      <color rgb="FF000000"/>
      <name val="Tahoma"/>
      <family val="2"/>
    </font>
    <font>
      <sz val="9"/>
      <color rgb="FF000000"/>
      <name val="Tahoma"/>
      <family val="2"/>
    </font>
    <font>
      <sz val="10"/>
      <color rgb="FF000000"/>
      <name val="Tahoma"/>
      <family val="2"/>
    </font>
    <font>
      <b/>
      <sz val="10"/>
      <color rgb="FF000000"/>
      <name val="Tahoma"/>
      <family val="2"/>
    </font>
  </fonts>
  <fills count="38">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FFFF99"/>
        <bgColor indexed="64"/>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rgb="FFFFC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indexed="64"/>
      </bottom>
      <diagonal/>
    </border>
    <border>
      <left style="thin">
        <color indexed="64"/>
      </left>
      <right/>
      <top style="thin">
        <color indexed="64"/>
      </top>
      <bottom style="thin">
        <color indexed="64"/>
      </bottom>
      <diagonal/>
    </border>
  </borders>
  <cellStyleXfs count="65">
    <xf numFmtId="0" fontId="0" fillId="0" borderId="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0" fillId="28" borderId="0" applyNumberFormat="0" applyBorder="0" applyAlignment="0" applyProtection="0"/>
    <xf numFmtId="0" fontId="21" fillId="29" borderId="3" applyNumberFormat="0" applyAlignment="0" applyProtection="0"/>
    <xf numFmtId="0" fontId="22" fillId="30" borderId="4" applyNumberFormat="0" applyAlignment="0" applyProtection="0"/>
    <xf numFmtId="43" fontId="1" fillId="0" borderId="0" applyFont="0" applyFill="0" applyBorder="0" applyAlignment="0" applyProtection="0"/>
    <xf numFmtId="166" fontId="3" fillId="31" borderId="0" applyFont="0" applyBorder="0" applyAlignment="0" applyProtection="0"/>
    <xf numFmtId="0" fontId="23" fillId="0" borderId="1">
      <protection locked="0"/>
    </xf>
    <xf numFmtId="0" fontId="24" fillId="0" borderId="0" applyNumberFormat="0" applyFill="0" applyBorder="0" applyAlignment="0" applyProtection="0"/>
    <xf numFmtId="0" fontId="25" fillId="32" borderId="0" applyNumberFormat="0" applyBorder="0" applyAlignment="0" applyProtection="0"/>
    <xf numFmtId="0" fontId="26" fillId="0" borderId="5" applyNumberFormat="0" applyFill="0" applyAlignment="0" applyProtection="0"/>
    <xf numFmtId="0" fontId="27" fillId="0" borderId="6" applyNumberFormat="0" applyFill="0" applyAlignment="0" applyProtection="0"/>
    <xf numFmtId="0" fontId="28" fillId="0" borderId="7" applyNumberFormat="0" applyFill="0" applyAlignment="0" applyProtection="0"/>
    <xf numFmtId="0" fontId="28" fillId="0" borderId="0" applyNumberFormat="0" applyFill="0" applyBorder="0" applyAlignment="0" applyProtection="0"/>
    <xf numFmtId="0" fontId="3" fillId="31" borderId="2" applyNumberFormat="0" applyFont="0" applyAlignment="0"/>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29" fillId="33" borderId="3" applyNumberFormat="0" applyAlignment="0" applyProtection="0"/>
    <xf numFmtId="0" fontId="30" fillId="0" borderId="8" applyNumberFormat="0" applyFill="0" applyAlignment="0" applyProtection="0"/>
    <xf numFmtId="0" fontId="31" fillId="34" borderId="0" applyNumberFormat="0" applyBorder="0" applyAlignment="0" applyProtection="0"/>
    <xf numFmtId="0" fontId="4" fillId="0" borderId="0"/>
    <xf numFmtId="0" fontId="4" fillId="0" borderId="0"/>
    <xf numFmtId="0" fontId="4" fillId="0" borderId="0"/>
    <xf numFmtId="0" fontId="2" fillId="35" borderId="9" applyNumberFormat="0" applyFont="0" applyAlignment="0" applyProtection="0"/>
    <xf numFmtId="0" fontId="32" fillId="29" borderId="10" applyNumberFormat="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0" borderId="0" applyNumberForma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4" fillId="0" borderId="0" applyFont="0" applyFill="0" applyBorder="0" applyAlignment="0" applyProtection="0"/>
    <xf numFmtId="0" fontId="18" fillId="0" borderId="0"/>
    <xf numFmtId="0" fontId="46" fillId="0" borderId="0" applyNumberFormat="0" applyFill="0" applyBorder="0" applyAlignment="0" applyProtection="0"/>
    <xf numFmtId="0" fontId="47" fillId="34" borderId="0" applyNumberFormat="0" applyBorder="0" applyAlignment="0" applyProtection="0"/>
    <xf numFmtId="0" fontId="18" fillId="35" borderId="9" applyNumberFormat="0" applyFont="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48" fillId="0" borderId="0" applyNumberFormat="0" applyFill="0" applyBorder="0" applyAlignment="0" applyProtection="0"/>
  </cellStyleXfs>
  <cellXfs count="160">
    <xf numFmtId="0" fontId="0" fillId="0" borderId="0" xfId="0"/>
    <xf numFmtId="4" fontId="0" fillId="0" borderId="0" xfId="0" applyNumberFormat="1"/>
    <xf numFmtId="1" fontId="0" fillId="0" borderId="0" xfId="0" applyNumberFormat="1"/>
    <xf numFmtId="3" fontId="0" fillId="0" borderId="0" xfId="0" applyNumberFormat="1"/>
    <xf numFmtId="165" fontId="0" fillId="0" borderId="0" xfId="0" applyNumberFormat="1"/>
    <xf numFmtId="167" fontId="0" fillId="0" borderId="0" xfId="0" applyNumberFormat="1"/>
    <xf numFmtId="0" fontId="4" fillId="0" borderId="0" xfId="45"/>
    <xf numFmtId="0" fontId="0" fillId="0" borderId="0" xfId="0" applyAlignment="1">
      <alignment wrapText="1"/>
    </xf>
    <xf numFmtId="0" fontId="4" fillId="0" borderId="0" xfId="45" applyAlignment="1">
      <alignment wrapText="1"/>
    </xf>
    <xf numFmtId="0" fontId="6" fillId="0" borderId="0" xfId="0" applyFont="1"/>
    <xf numFmtId="3" fontId="0" fillId="2" borderId="0" xfId="0" applyNumberFormat="1" applyFill="1"/>
    <xf numFmtId="167" fontId="0" fillId="2" borderId="0" xfId="0" applyNumberFormat="1" applyFill="1"/>
    <xf numFmtId="168" fontId="0" fillId="0" borderId="0" xfId="0" applyNumberFormat="1"/>
    <xf numFmtId="169" fontId="0" fillId="0" borderId="0" xfId="0" applyNumberFormat="1"/>
    <xf numFmtId="170" fontId="0" fillId="0" borderId="0" xfId="0" applyNumberFormat="1"/>
    <xf numFmtId="0" fontId="0" fillId="0" borderId="0" xfId="0" applyFill="1"/>
    <xf numFmtId="4" fontId="0" fillId="0" borderId="0" xfId="0" applyNumberFormat="1" applyFill="1"/>
    <xf numFmtId="170" fontId="0" fillId="0" borderId="0" xfId="0" applyNumberFormat="1" applyFill="1"/>
    <xf numFmtId="3" fontId="0" fillId="0" borderId="0" xfId="0" applyNumberFormat="1" applyFill="1"/>
    <xf numFmtId="167" fontId="0" fillId="0" borderId="0" xfId="0" applyNumberFormat="1" applyFill="1"/>
    <xf numFmtId="0" fontId="11" fillId="0" borderId="0" xfId="45" applyFont="1"/>
    <xf numFmtId="10" fontId="0" fillId="0" borderId="0" xfId="0" applyNumberFormat="1"/>
    <xf numFmtId="168" fontId="6" fillId="0" borderId="0" xfId="0" applyNumberFormat="1" applyFont="1"/>
    <xf numFmtId="49" fontId="14" fillId="0" borderId="0" xfId="0" applyNumberFormat="1" applyFont="1" applyAlignment="1">
      <alignment horizontal="center" vertical="center" wrapText="1"/>
    </xf>
    <xf numFmtId="49" fontId="0" fillId="0" borderId="0" xfId="0" applyNumberFormat="1" applyAlignment="1">
      <alignment vertical="center" wrapText="1"/>
    </xf>
    <xf numFmtId="0" fontId="0" fillId="0" borderId="0" xfId="0" applyAlignment="1">
      <alignment vertical="center"/>
    </xf>
    <xf numFmtId="0" fontId="14" fillId="0" borderId="0" xfId="0" applyFont="1"/>
    <xf numFmtId="49" fontId="6" fillId="0" borderId="0" xfId="0" applyNumberFormat="1" applyFont="1" applyAlignment="1">
      <alignment vertical="center" wrapText="1"/>
    </xf>
    <xf numFmtId="49" fontId="6" fillId="0" borderId="0" xfId="0" applyNumberFormat="1" applyFont="1" applyAlignment="1">
      <alignment vertical="center"/>
    </xf>
    <xf numFmtId="49" fontId="0" fillId="0" borderId="0" xfId="0" applyNumberFormat="1" applyAlignment="1">
      <alignment wrapText="1"/>
    </xf>
    <xf numFmtId="49" fontId="5" fillId="0" borderId="0" xfId="0" applyNumberFormat="1" applyFont="1" applyAlignment="1">
      <alignment horizontal="center" vertical="center" wrapText="1"/>
    </xf>
    <xf numFmtId="171" fontId="0" fillId="0" borderId="0" xfId="0" applyNumberFormat="1" applyFill="1"/>
    <xf numFmtId="169" fontId="4" fillId="0" borderId="0" xfId="0" applyNumberFormat="1" applyFont="1" applyFill="1" applyAlignment="1"/>
    <xf numFmtId="2" fontId="6" fillId="0" borderId="0" xfId="0" applyNumberFormat="1" applyFont="1"/>
    <xf numFmtId="167" fontId="6" fillId="0" borderId="0" xfId="0" applyNumberFormat="1" applyFont="1"/>
    <xf numFmtId="171" fontId="6" fillId="0" borderId="0" xfId="0" applyNumberFormat="1" applyFont="1" applyFill="1"/>
    <xf numFmtId="169" fontId="15" fillId="0" borderId="0" xfId="0" applyNumberFormat="1" applyFont="1" applyFill="1" applyAlignment="1"/>
    <xf numFmtId="0" fontId="5" fillId="0" borderId="0" xfId="0" applyFont="1" applyAlignment="1">
      <alignment wrapText="1"/>
    </xf>
    <xf numFmtId="0" fontId="5" fillId="0" borderId="0" xfId="0" applyFont="1"/>
    <xf numFmtId="0" fontId="5" fillId="0" borderId="0" xfId="0" applyFont="1"/>
    <xf numFmtId="0" fontId="0" fillId="0" borderId="0" xfId="0" applyAlignment="1">
      <alignment wrapText="1"/>
    </xf>
    <xf numFmtId="169" fontId="0" fillId="0" borderId="0" xfId="0" applyNumberFormat="1" applyFill="1"/>
    <xf numFmtId="0" fontId="6" fillId="0" borderId="0" xfId="0" applyFont="1" applyFill="1"/>
    <xf numFmtId="1" fontId="0" fillId="0" borderId="0" xfId="0" applyNumberFormat="1" applyFill="1"/>
    <xf numFmtId="168" fontId="0" fillId="0" borderId="0" xfId="0" applyNumberFormat="1" applyFill="1"/>
    <xf numFmtId="164" fontId="6" fillId="0" borderId="0" xfId="0" applyNumberFormat="1" applyFont="1" applyFill="1"/>
    <xf numFmtId="0" fontId="5" fillId="0" borderId="0" xfId="0" applyFont="1" applyFill="1"/>
    <xf numFmtId="0" fontId="7" fillId="0"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wrapText="1"/>
    </xf>
    <xf numFmtId="0" fontId="0" fillId="0" borderId="0" xfId="0" applyAlignment="1">
      <alignment wrapText="1"/>
    </xf>
    <xf numFmtId="0" fontId="36" fillId="0" borderId="0" xfId="0" applyFont="1" applyAlignment="1">
      <alignment horizontal="center"/>
    </xf>
    <xf numFmtId="0" fontId="37" fillId="0" borderId="0" xfId="0" applyFont="1"/>
    <xf numFmtId="0" fontId="39" fillId="0" borderId="0" xfId="0" applyFont="1"/>
    <xf numFmtId="0" fontId="39" fillId="0" borderId="0" xfId="0" applyFont="1" applyAlignment="1">
      <alignment horizontal="center"/>
    </xf>
    <xf numFmtId="0" fontId="40" fillId="0" borderId="0" xfId="0" applyFont="1" applyBorder="1" applyAlignment="1">
      <alignment horizontal="center"/>
    </xf>
    <xf numFmtId="0" fontId="40" fillId="0" borderId="0" xfId="0" applyFont="1"/>
    <xf numFmtId="0" fontId="40" fillId="0" borderId="0" xfId="0" applyFont="1" applyAlignment="1">
      <alignment horizontal="center" wrapText="1"/>
    </xf>
    <xf numFmtId="0" fontId="41" fillId="0" borderId="0" xfId="0" applyFont="1" applyAlignment="1">
      <alignment horizontal="center"/>
    </xf>
    <xf numFmtId="0" fontId="41" fillId="0" borderId="0" xfId="0" applyFont="1" applyFill="1" applyAlignment="1">
      <alignment horizontal="center" wrapText="1"/>
    </xf>
    <xf numFmtId="0" fontId="41" fillId="0" borderId="0" xfId="0" applyFont="1" applyAlignment="1">
      <alignment horizontal="center" wrapText="1"/>
    </xf>
    <xf numFmtId="0" fontId="41" fillId="3" borderId="0" xfId="0" applyFont="1" applyFill="1" applyAlignment="1">
      <alignment horizontal="center"/>
    </xf>
    <xf numFmtId="0" fontId="0" fillId="0" borderId="0" xfId="0" applyAlignment="1">
      <alignment horizontal="center"/>
    </xf>
    <xf numFmtId="0" fontId="42" fillId="0" borderId="0" xfId="0" applyFont="1" applyAlignment="1">
      <alignment wrapText="1"/>
    </xf>
    <xf numFmtId="0" fontId="41" fillId="0" borderId="0" xfId="0" applyFont="1"/>
    <xf numFmtId="0" fontId="42" fillId="0" borderId="0" xfId="0" applyFont="1"/>
    <xf numFmtId="2" fontId="41" fillId="0" borderId="0" xfId="0" applyNumberFormat="1" applyFont="1" applyAlignment="1">
      <alignment horizontal="center"/>
    </xf>
    <xf numFmtId="10" fontId="7" fillId="0" borderId="0" xfId="51" applyNumberFormat="1" applyFont="1" applyAlignment="1">
      <alignment horizontal="center"/>
    </xf>
    <xf numFmtId="10" fontId="41" fillId="0" borderId="0" xfId="0" applyNumberFormat="1" applyFont="1" applyAlignment="1">
      <alignment horizontal="center"/>
    </xf>
    <xf numFmtId="10" fontId="7" fillId="3" borderId="0" xfId="51" applyNumberFormat="1" applyFont="1" applyFill="1" applyAlignment="1">
      <alignment horizontal="center"/>
    </xf>
    <xf numFmtId="10" fontId="0" fillId="0" borderId="0" xfId="0" applyNumberFormat="1" applyAlignment="1">
      <alignment horizontal="center"/>
    </xf>
    <xf numFmtId="2" fontId="0" fillId="0" borderId="0" xfId="0" applyNumberFormat="1"/>
    <xf numFmtId="168" fontId="41" fillId="0" borderId="0" xfId="0" applyNumberFormat="1" applyFont="1" applyAlignment="1">
      <alignment horizontal="center"/>
    </xf>
    <xf numFmtId="0" fontId="35" fillId="0" borderId="0" xfId="0" applyFont="1"/>
    <xf numFmtId="2" fontId="35" fillId="0" borderId="0" xfId="0" applyNumberFormat="1" applyFont="1"/>
    <xf numFmtId="10" fontId="35" fillId="0" borderId="0" xfId="52" applyNumberFormat="1" applyFont="1"/>
    <xf numFmtId="10" fontId="0" fillId="0" borderId="0" xfId="52" applyNumberFormat="1" applyFont="1"/>
    <xf numFmtId="169" fontId="0" fillId="0" borderId="0" xfId="0" applyNumberFormat="1" applyAlignment="1"/>
    <xf numFmtId="169" fontId="42" fillId="0" borderId="0" xfId="0" applyNumberFormat="1" applyFont="1"/>
    <xf numFmtId="169" fontId="35" fillId="0" borderId="0" xfId="0" applyNumberFormat="1" applyFont="1"/>
    <xf numFmtId="168" fontId="43" fillId="0" borderId="0" xfId="0" applyNumberFormat="1" applyFont="1" applyAlignment="1">
      <alignment horizontal="center"/>
    </xf>
    <xf numFmtId="10" fontId="43" fillId="0" borderId="0" xfId="51" applyNumberFormat="1" applyFont="1" applyAlignment="1">
      <alignment horizontal="center"/>
    </xf>
    <xf numFmtId="10" fontId="14" fillId="0" borderId="0" xfId="53" applyNumberFormat="1" applyFont="1" applyFill="1" applyAlignment="1">
      <alignment horizontal="center"/>
    </xf>
    <xf numFmtId="0" fontId="44" fillId="0" borderId="0" xfId="0" applyFont="1"/>
    <xf numFmtId="0" fontId="5" fillId="0" borderId="0" xfId="0" applyFont="1" applyAlignment="1">
      <alignment horizontal="left"/>
    </xf>
    <xf numFmtId="0" fontId="43" fillId="0" borderId="0" xfId="0" applyFont="1" applyAlignment="1">
      <alignment horizontal="center"/>
    </xf>
    <xf numFmtId="0" fontId="41" fillId="0" borderId="0" xfId="0" applyFont="1" applyAlignment="1">
      <alignment horizontal="left"/>
    </xf>
    <xf numFmtId="10" fontId="1" fillId="0" borderId="0" xfId="0" applyNumberFormat="1" applyFont="1" applyAlignment="1">
      <alignment horizontal="center"/>
    </xf>
    <xf numFmtId="0" fontId="5" fillId="0" borderId="0" xfId="0" applyFont="1" applyAlignment="1">
      <alignment horizontal="left" wrapText="1"/>
    </xf>
    <xf numFmtId="10" fontId="1" fillId="0" borderId="0" xfId="51" applyNumberFormat="1" applyFont="1" applyAlignment="1">
      <alignment horizontal="center"/>
    </xf>
    <xf numFmtId="10" fontId="1" fillId="0" borderId="0" xfId="51" applyNumberFormat="1" applyFont="1" applyAlignment="1">
      <alignment horizontal="center" wrapText="1"/>
    </xf>
    <xf numFmtId="172" fontId="1" fillId="0" borderId="0" xfId="51" applyNumberFormat="1" applyFont="1" applyAlignment="1">
      <alignment horizontal="center"/>
    </xf>
    <xf numFmtId="10" fontId="1" fillId="0" borderId="0" xfId="0" applyNumberFormat="1" applyFont="1" applyAlignment="1">
      <alignment horizontal="center" wrapText="1"/>
    </xf>
    <xf numFmtId="0" fontId="0" fillId="0" borderId="1" xfId="0" applyBorder="1" applyAlignment="1">
      <alignment wrapText="1"/>
    </xf>
    <xf numFmtId="3" fontId="0" fillId="36" borderId="0" xfId="0" applyNumberFormat="1" applyFill="1"/>
    <xf numFmtId="168" fontId="0" fillId="36" borderId="0" xfId="0" applyNumberFormat="1" applyFill="1"/>
    <xf numFmtId="0" fontId="34" fillId="0" borderId="0" xfId="0" applyFont="1" applyAlignment="1">
      <alignment wrapText="1"/>
    </xf>
    <xf numFmtId="0" fontId="0" fillId="0" borderId="0" xfId="0" applyBorder="1" applyAlignment="1">
      <alignment wrapText="1"/>
    </xf>
    <xf numFmtId="0" fontId="0" fillId="0" borderId="0" xfId="0" applyFill="1" applyAlignment="1">
      <alignment wrapText="1"/>
    </xf>
    <xf numFmtId="170" fontId="0" fillId="0" borderId="0" xfId="0" applyNumberFormat="1" applyFill="1" applyAlignment="1">
      <alignment wrapText="1"/>
    </xf>
    <xf numFmtId="0" fontId="0" fillId="0" borderId="0" xfId="0" applyFont="1" applyAlignment="1">
      <alignment wrapText="1"/>
    </xf>
    <xf numFmtId="0" fontId="0" fillId="0" borderId="0" xfId="0" applyFont="1"/>
    <xf numFmtId="1" fontId="0" fillId="0" borderId="0" xfId="0" applyNumberFormat="1" applyFont="1"/>
    <xf numFmtId="3" fontId="0" fillId="0" borderId="0" xfId="0" applyNumberFormat="1" applyFont="1"/>
    <xf numFmtId="0" fontId="45" fillId="0" borderId="0" xfId="0" applyFont="1"/>
    <xf numFmtId="1" fontId="45" fillId="0" borderId="0" xfId="0" applyNumberFormat="1" applyFont="1"/>
    <xf numFmtId="168" fontId="0" fillId="0" borderId="0" xfId="0" applyNumberFormat="1" applyFill="1" applyAlignment="1">
      <alignment wrapText="1"/>
    </xf>
    <xf numFmtId="165" fontId="0" fillId="0" borderId="0" xfId="0" applyNumberFormat="1" applyFill="1"/>
    <xf numFmtId="0" fontId="34" fillId="0" borderId="0" xfId="0" applyFont="1" applyFill="1"/>
    <xf numFmtId="168" fontId="45" fillId="0" borderId="0" xfId="0" applyNumberFormat="1" applyFont="1" applyFill="1"/>
    <xf numFmtId="167" fontId="0" fillId="0" borderId="0" xfId="0" applyNumberFormat="1" applyAlignment="1">
      <alignment wrapText="1"/>
    </xf>
    <xf numFmtId="3" fontId="0" fillId="0" borderId="0" xfId="0" applyNumberFormat="1" applyFill="1" applyAlignment="1">
      <alignment wrapText="1"/>
    </xf>
    <xf numFmtId="3" fontId="0" fillId="0" borderId="0" xfId="0" applyNumberFormat="1" applyAlignment="1">
      <alignment wrapText="1"/>
    </xf>
    <xf numFmtId="167" fontId="0" fillId="0" borderId="0" xfId="0" applyNumberFormat="1" applyFill="1" applyAlignment="1">
      <alignment wrapText="1"/>
    </xf>
    <xf numFmtId="0" fontId="0" fillId="3" borderId="0" xfId="0" applyFont="1" applyFill="1" applyAlignment="1">
      <alignment wrapText="1"/>
    </xf>
    <xf numFmtId="0" fontId="45" fillId="0" borderId="0" xfId="45" applyFont="1" applyAlignment="1">
      <alignment wrapText="1"/>
    </xf>
    <xf numFmtId="0" fontId="41" fillId="0" borderId="0" xfId="45" applyFont="1" applyAlignment="1">
      <alignment wrapText="1"/>
    </xf>
    <xf numFmtId="164" fontId="0" fillId="0" borderId="0" xfId="0" applyNumberFormat="1" applyFont="1"/>
    <xf numFmtId="167" fontId="0" fillId="0" borderId="0" xfId="0" applyNumberFormat="1" applyFont="1"/>
    <xf numFmtId="0" fontId="45" fillId="0" borderId="0" xfId="45" applyFont="1"/>
    <xf numFmtId="0" fontId="41" fillId="0" borderId="0" xfId="45" applyFont="1"/>
    <xf numFmtId="3" fontId="45" fillId="0" borderId="0" xfId="0" applyNumberFormat="1" applyFont="1"/>
    <xf numFmtId="167" fontId="45" fillId="0" borderId="0" xfId="0" applyNumberFormat="1" applyFont="1"/>
    <xf numFmtId="0" fontId="0" fillId="0" borderId="0" xfId="0" applyFont="1" applyFill="1" applyAlignment="1">
      <alignment wrapText="1"/>
    </xf>
    <xf numFmtId="0" fontId="0" fillId="0" borderId="0" xfId="0" applyFont="1" applyFill="1"/>
    <xf numFmtId="1" fontId="0" fillId="0" borderId="0" xfId="0" applyNumberFormat="1" applyFont="1" applyFill="1"/>
    <xf numFmtId="0" fontId="45" fillId="0" borderId="0" xfId="0" applyFont="1" applyFill="1"/>
    <xf numFmtId="1" fontId="45" fillId="0" borderId="0" xfId="0" applyNumberFormat="1" applyFont="1" applyFill="1"/>
    <xf numFmtId="3" fontId="0" fillId="36" borderId="0" xfId="0" applyNumberFormat="1" applyFont="1" applyFill="1"/>
    <xf numFmtId="3" fontId="0" fillId="3" borderId="0" xfId="0" applyNumberFormat="1" applyFont="1" applyFill="1" applyAlignment="1">
      <alignment wrapText="1"/>
    </xf>
    <xf numFmtId="167" fontId="0" fillId="3" borderId="0" xfId="0" applyNumberFormat="1" applyFont="1" applyFill="1" applyAlignment="1">
      <alignment wrapText="1"/>
    </xf>
    <xf numFmtId="3" fontId="6" fillId="0" borderId="0" xfId="0" applyNumberFormat="1" applyFont="1" applyFill="1"/>
    <xf numFmtId="0" fontId="0" fillId="0" borderId="0" xfId="0" applyAlignment="1">
      <alignment wrapText="1"/>
    </xf>
    <xf numFmtId="0" fontId="34" fillId="0" borderId="0" xfId="0" applyFont="1" applyBorder="1" applyAlignment="1">
      <alignment wrapText="1"/>
    </xf>
    <xf numFmtId="0" fontId="0" fillId="0" borderId="13" xfId="0" applyBorder="1" applyAlignment="1">
      <alignment wrapText="1"/>
    </xf>
    <xf numFmtId="168" fontId="35" fillId="0" borderId="0" xfId="0" applyNumberFormat="1" applyFont="1" applyFill="1"/>
    <xf numFmtId="3" fontId="35" fillId="0" borderId="0" xfId="0" applyNumberFormat="1" applyFont="1" applyFill="1"/>
    <xf numFmtId="0" fontId="0" fillId="0" borderId="1" xfId="0" applyBorder="1"/>
    <xf numFmtId="168" fontId="45" fillId="36" borderId="0" xfId="0" applyNumberFormat="1" applyFont="1" applyFill="1"/>
    <xf numFmtId="0" fontId="0" fillId="0" borderId="0" xfId="0"/>
    <xf numFmtId="49" fontId="0" fillId="0" borderId="0" xfId="0" applyNumberFormat="1" applyAlignment="1">
      <alignment vertical="center" wrapText="1"/>
    </xf>
    <xf numFmtId="0" fontId="0" fillId="0" borderId="0" xfId="0" applyAlignment="1">
      <alignment wrapText="1"/>
    </xf>
    <xf numFmtId="0" fontId="0" fillId="0" borderId="0" xfId="0"/>
    <xf numFmtId="49" fontId="0" fillId="0" borderId="0" xfId="0" applyNumberFormat="1" applyAlignment="1">
      <alignment vertical="center" wrapText="1"/>
    </xf>
    <xf numFmtId="0" fontId="34" fillId="0" borderId="0" xfId="0" applyFont="1"/>
    <xf numFmtId="0" fontId="0" fillId="0" borderId="0" xfId="0" applyAlignment="1">
      <alignment wrapText="1"/>
    </xf>
    <xf numFmtId="0" fontId="13" fillId="0" borderId="0" xfId="39" applyAlignment="1" applyProtection="1">
      <alignment wrapText="1"/>
    </xf>
    <xf numFmtId="0" fontId="14" fillId="0" borderId="0" xfId="0" applyFont="1" applyAlignment="1">
      <alignment wrapText="1"/>
    </xf>
    <xf numFmtId="0" fontId="14" fillId="0" borderId="0" xfId="0" applyFont="1" applyAlignment="1">
      <alignment horizontal="center" vertical="center" wrapText="1"/>
    </xf>
    <xf numFmtId="49" fontId="0" fillId="0" borderId="0" xfId="0" applyNumberFormat="1" applyAlignment="1">
      <alignment wrapText="1"/>
    </xf>
    <xf numFmtId="49" fontId="14" fillId="0" borderId="0" xfId="0" applyNumberFormat="1"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wrapText="1"/>
    </xf>
    <xf numFmtId="0" fontId="12" fillId="0" borderId="0" xfId="38" applyAlignment="1" applyProtection="1">
      <alignment wrapText="1"/>
    </xf>
    <xf numFmtId="0" fontId="0" fillId="0" borderId="0" xfId="0" applyAlignment="1">
      <alignment horizontal="center" wrapText="1"/>
    </xf>
    <xf numFmtId="0" fontId="7" fillId="0" borderId="0" xfId="0" applyFont="1" applyAlignment="1">
      <alignment horizontal="center"/>
    </xf>
    <xf numFmtId="0" fontId="38" fillId="0" borderId="0" xfId="0" applyFont="1" applyAlignment="1">
      <alignment horizontal="center"/>
    </xf>
    <xf numFmtId="0" fontId="39" fillId="0" borderId="12" xfId="0" applyFont="1" applyBorder="1" applyAlignment="1">
      <alignment horizontal="center"/>
    </xf>
    <xf numFmtId="3" fontId="0" fillId="37" borderId="0" xfId="0" applyNumberFormat="1" applyFill="1"/>
    <xf numFmtId="0" fontId="0" fillId="0" borderId="0" xfId="0" applyAlignment="1">
      <alignment horizontal="right" wrapText="1"/>
    </xf>
  </cellXfs>
  <cellStyles count="6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58" xr:uid="{E93F3A5B-90AA-4DC6-B323-F99FCBA4E41D}"/>
    <cellStyle name="60% - Accent2" xfId="14" builtinId="36" customBuiltin="1"/>
    <cellStyle name="60% - Accent2 2" xfId="59" xr:uid="{02ABED69-5738-4733-A504-AD9290B368AC}"/>
    <cellStyle name="60% - Accent3" xfId="15" builtinId="40" customBuiltin="1"/>
    <cellStyle name="60% - Accent3 2" xfId="60" xr:uid="{6D2CC719-92EE-48BA-AFB8-7C4349125E10}"/>
    <cellStyle name="60% - Accent4" xfId="16" builtinId="44" customBuiltin="1"/>
    <cellStyle name="60% - Accent4 2" xfId="61" xr:uid="{FB1FA6AB-B302-4D07-8519-B91E96EBCC4F}"/>
    <cellStyle name="60% - Accent5" xfId="17" builtinId="48" customBuiltin="1"/>
    <cellStyle name="60% - Accent5 2" xfId="62" xr:uid="{7289BBB4-346A-4739-AD54-B846A117ECCF}"/>
    <cellStyle name="60% - Accent6" xfId="18" builtinId="52" customBuiltin="1"/>
    <cellStyle name="60% - Accent6 2" xfId="63" xr:uid="{C8337DDA-F578-4174-9FB6-5578EA8B6BEE}"/>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0)" xfId="29" xr:uid="{00000000-0005-0000-0000-00001C000000}"/>
    <cellStyle name="Data Input"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Heavy Box 2" xfId="37" xr:uid="{00000000-0005-0000-0000-000024000000}"/>
    <cellStyle name="Hyperlink" xfId="38" builtinId="8"/>
    <cellStyle name="Hyperlink 2" xfId="64" xr:uid="{E4615ACE-75A5-4C2C-A2DC-C5677DB69EFC}"/>
    <cellStyle name="Hyperlink_Opex Price Index 1Jun2014" xfId="39" xr:uid="{00000000-0005-0000-0000-000026000000}"/>
    <cellStyle name="Input" xfId="40" builtinId="20" customBuiltin="1"/>
    <cellStyle name="Linked Cell" xfId="41" builtinId="24" customBuiltin="1"/>
    <cellStyle name="Neutral" xfId="42" builtinId="28" customBuiltin="1"/>
    <cellStyle name="Neutral 2" xfId="56" xr:uid="{EE5B9DF2-0A5C-4336-B5C0-CD7B2129EDC6}"/>
    <cellStyle name="Normal" xfId="0" builtinId="0"/>
    <cellStyle name="Normal 2" xfId="43" xr:uid="{00000000-0005-0000-0000-00002B000000}"/>
    <cellStyle name="Normal 3 2" xfId="44" xr:uid="{00000000-0005-0000-0000-00002C000000}"/>
    <cellStyle name="Normal 46" xfId="54" xr:uid="{FDADD476-3B09-4991-AD9E-A243A96135AA}"/>
    <cellStyle name="Normal_DNSPAUNZONFull" xfId="45" xr:uid="{00000000-0005-0000-0000-00002D000000}"/>
    <cellStyle name="Note" xfId="46" builtinId="10" customBuiltin="1"/>
    <cellStyle name="Note 2" xfId="57" xr:uid="{B28BEC05-78BC-47C8-991E-66A8EC1914AE}"/>
    <cellStyle name="Output" xfId="47" builtinId="21" customBuiltin="1"/>
    <cellStyle name="Percent 2" xfId="52" xr:uid="{B6EE1384-FB5C-4CCC-B780-8907B0491671}"/>
    <cellStyle name="Percent 3" xfId="51" xr:uid="{5DAC88FC-1B8E-4044-B2E0-A1A5358CA3B3}"/>
    <cellStyle name="Percent 7" xfId="53" xr:uid="{7C32CE21-7F1F-4FBE-9B56-8CBE4DED5575}"/>
    <cellStyle name="Title" xfId="48" builtinId="15" customBuiltin="1"/>
    <cellStyle name="Title 2" xfId="55" xr:uid="{1A282660-1D1E-409B-9C67-C6811D0321D1}"/>
    <cellStyle name="Total" xfId="49" builtinId="25" customBuiltin="1"/>
    <cellStyle name="Warning Text" xfId="50"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9" Type="http://schemas.openxmlformats.org/officeDocument/2006/relationships/externalLink" Target="externalLinks/externalLink30.xml"/><Relationship Id="rId21" Type="http://schemas.openxmlformats.org/officeDocument/2006/relationships/externalLink" Target="externalLinks/externalLink12.xml"/><Relationship Id="rId34" Type="http://schemas.openxmlformats.org/officeDocument/2006/relationships/externalLink" Target="externalLinks/externalLink25.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7.xml"/><Relationship Id="rId29" Type="http://schemas.openxmlformats.org/officeDocument/2006/relationships/externalLink" Target="externalLinks/externalLink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37" Type="http://schemas.openxmlformats.org/officeDocument/2006/relationships/externalLink" Target="externalLinks/externalLink28.xml"/><Relationship Id="rId40" Type="http://schemas.openxmlformats.org/officeDocument/2006/relationships/externalLink" Target="externalLinks/externalLink3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externalLink" Target="externalLinks/externalLink27.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externalLink" Target="externalLinks/externalLink22.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externalLink" Target="externalLinks/externalLink24.xml"/><Relationship Id="rId38" Type="http://schemas.openxmlformats.org/officeDocument/2006/relationships/externalLink" Target="externalLinks/externalLink29.xml"/><Relationship Id="rId20" Type="http://schemas.openxmlformats.org/officeDocument/2006/relationships/externalLink" Target="externalLinks/externalLink11.xml"/><Relationship Id="rId41" Type="http://schemas.openxmlformats.org/officeDocument/2006/relationships/externalLink" Target="externalLinks/externalLink3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JJK/AppData/Local/Temp/Economic%20Insights%20NZ%20EDB%20Database%20excl%20Orion%205Nov2014%20at2Jun2015.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20%20Update/NZOnt%20Data/NZCC%202019%20IDD%20Extract%20Schedule%209c%20CircLengths.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Volumes/Mike2019/MC_CLIENTS/2021/ACCC%20Electricity%20Benchmarking/3%20Archive/DENIS%20AER%20FOLDERS%2024%20JUNE%202021/DNSPs%202021%20Update/NZOnt%20Data/NZCC%202020%20IDD%20Extract%20Schedule%206b%20Opex.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Volumes/Mike2019/MC_CLIENTS/2021/ACCC%20Electricity%20Benchmarking/3%20Archive/DENIS%20AER%20FOLDERS%2024%20JUNE%202021/DNSPs%202021%20Update/NZOnt%20Data/NZCC%202020%20IDD%20Extract%20Schedule%208%20Customer%20Nos.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Volumes/Mike2019/MC_CLIENTS/2021/ACCC%20Electricity%20Benchmarking/3%20Archive/DENIS%20AER%20FOLDERS%2024%20JUNE%202021/DNSPs%202021%20Update/NZOnt%20Data/NZCC%202020%20IDD%20Extract%20Schedule%209c%20CircLength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Benchmarking-Spreadsheet-Model-2017-revised.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OEB%202017_Yearbook_of_Electricity_Distributors.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20%20Update/NZOnt%20Data/OEB%20Benchmarking-2018-Spreadsheet-Model-201908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Volumes/Mike2019/MC_CLIENTS/2021/ACCC%20Electricity%20Benchmarking/3%20Archive/DENIS%20AER%20FOLDERS%2024%20JUNE%202021/DNSPs%202021%20Update/NZOnt%20Data/OEB%20Benchmarking-2019-Spreadsheet-Model-20200831.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d.docs.live.net/Users/Denis/Documents/Data%20Files/Projects/AER%202013/Other%20Reports/DNSPs/PEG%20OEB/EB-2010-0379.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d.docs.live.net/Economic%20Insights/2015%2006%20AER%20B'marking%20extn/DL%20Ontario/Enhanced_Benchmarking_Spreadsheet_Model_May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Economic%20Insights%20NZ%20EDB%20Database%20excl%20Orion%205Nov2014.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d.docs.live.net/Users/JJK/AppData/Local/Temp/PEG%202015%20Update%20extract%2030%20Aug%202016.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JJK/AppData/Local/Temp/OEB%202014_Yearbook_of_Electricity_Distributors_Excel%20JK%2030Aug2016.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d.docs.live.net/Users/JJK/AppData/Local/Temp/OEB%202015_Yearbook_of_Electricity_Distributors_Excel%20JK%2030Aug2016.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d.docs.live.net/Users/JJK/AppData/Roaming/Microsoft/Excel/2016_ONT%20Yrbk%2028bMay18.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OEB%202013_Yearbook_of_Electricity_Distributors_excel.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EB-2010-037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NZCC%202018%20IDD%20Extract%20Schedule%209e%20Max%20Demand.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20%20Update/NZOnt%20Data/NZCC%202019%20IDD%20Extract%20Schedule%209e%20Max%20Demand.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Volumes/Mike2019/MC_CLIENTS/2021/ACCC%20Electricity%20Benchmarking/3%20Archive/DENIS%20AER%20FOLDERS%2024%20JUNE%202021/DNSPs%202021%20Update/NZOnt%20Data/NZCC%202020%20IDD%20Extract%20Schedule%209e%20Max%20Demand.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d.docs.live.net/Users/Dave%20Hovde/AppData/Local/Microsoft/Windows/Temporary%20Internet%20Files/Content.Outlook/60JONDF5/Inflation%20Measure_final(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NZCC%202018%20IDD%20Extract%20Schedule%206b%20Opex.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d.docs.live.net/72ba6f25095013e2/Documents/Data%20Files/Projects/AER%202013/RINS/DNSPs%202018%20Update/NZOnt%20Data/AWE%20Ontario%2029May2018.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d.docs.live.net/72ba6f25095013e2/Documents/Data%20Files/Projects/AER%202013/RINS/DNSPs%202018%20Update/NZOnt%20Data/GDP%20IPI%20%2029May2018.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d.docs.live.net/Economic%20Insights/2016%2008%20AER%20Bmarking%20extn/EB-2010-0379%20Tabl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NZCC%202018%20IDD%20Extract%20Schedule%208%20Customer%20N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19%20Update/NZOnt%20Data/NZCC%202018%20IDD%20Extract%20Schedule%209c%20CircLength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JJK/AppData/Local/Temp/Economic%20Insights%20NZ%20EDB%20Database%20excl%20Orion%205Nov2014%20at2Jun201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Economic%20Insights/2016%2008%20AER%20Bmarking%20extn/NZCC%20Database%202013-2016%20of%20.16Oct2015%20extract%203%20Sep2016/NZCC%20Database%202013-2015%20of%2016%20Oct2015%20-%20extract%206Sep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20%20Update/NZOnt%20Data/NZCC%202019%20IDD%20Extract%20Schedule%206b%20Opex.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OneDrive/Documents/Data%20Files/Projects/AER%202013/RINS/DNSPs%202020%20Update/NZOnt%20Data/NZCC%202019%20IDD%20Extract%20Schedule%208%20Customer%20N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B Database"/>
      <sheetName val="alignment check"/>
      <sheetName val="Industry Amortisation"/>
      <sheetName val="Non-exempt Amortisation"/>
      <sheetName val="LCI"/>
      <sheetName val="PPI &amp; Opex Price"/>
      <sheetName val="CGPI"/>
    </sheetNames>
    <sheetDataSet>
      <sheetData sheetId="0" refreshError="1">
        <row r="14">
          <cell r="A14" t="str">
            <v>Alpine Energy</v>
          </cell>
          <cell r="B14">
            <v>2006</v>
          </cell>
        </row>
        <row r="15">
          <cell r="A15" t="str">
            <v>Alpine Energy</v>
          </cell>
          <cell r="B15">
            <v>2007</v>
          </cell>
        </row>
        <row r="16">
          <cell r="A16" t="str">
            <v>Alpine Energy</v>
          </cell>
          <cell r="B16">
            <v>2008</v>
          </cell>
        </row>
        <row r="17">
          <cell r="A17" t="str">
            <v>Alpine Energy</v>
          </cell>
          <cell r="B17">
            <v>2009</v>
          </cell>
        </row>
        <row r="18">
          <cell r="A18" t="str">
            <v>Alpine Energy</v>
          </cell>
          <cell r="B18">
            <v>2010</v>
          </cell>
        </row>
        <row r="19">
          <cell r="A19" t="str">
            <v>Alpine Energy</v>
          </cell>
          <cell r="B19">
            <v>2011</v>
          </cell>
        </row>
        <row r="20">
          <cell r="A20" t="str">
            <v>Alpine Energy</v>
          </cell>
          <cell r="B20">
            <v>2012</v>
          </cell>
        </row>
        <row r="21">
          <cell r="A21" t="str">
            <v>Alpine Energy</v>
          </cell>
          <cell r="B21">
            <v>2013</v>
          </cell>
        </row>
        <row r="22">
          <cell r="B22">
            <v>2014</v>
          </cell>
        </row>
        <row r="37">
          <cell r="A37" t="str">
            <v>Aurora Energy</v>
          </cell>
          <cell r="B37">
            <v>2006</v>
          </cell>
        </row>
        <row r="38">
          <cell r="A38" t="str">
            <v>Aurora Energy</v>
          </cell>
          <cell r="B38">
            <v>2007</v>
          </cell>
        </row>
        <row r="39">
          <cell r="A39" t="str">
            <v>Aurora Energy</v>
          </cell>
          <cell r="B39">
            <v>2008</v>
          </cell>
        </row>
        <row r="40">
          <cell r="A40" t="str">
            <v>Aurora Energy</v>
          </cell>
          <cell r="B40">
            <v>2009</v>
          </cell>
        </row>
        <row r="41">
          <cell r="A41" t="str">
            <v>Aurora Energy</v>
          </cell>
          <cell r="B41">
            <v>2010</v>
          </cell>
        </row>
        <row r="42">
          <cell r="A42" t="str">
            <v>Aurora Energy</v>
          </cell>
          <cell r="B42">
            <v>2011</v>
          </cell>
        </row>
        <row r="43">
          <cell r="A43" t="str">
            <v>Aurora Energy</v>
          </cell>
          <cell r="B43">
            <v>2012</v>
          </cell>
        </row>
        <row r="44">
          <cell r="A44" t="str">
            <v>Aurora Energy</v>
          </cell>
          <cell r="B44">
            <v>2013</v>
          </cell>
        </row>
        <row r="45">
          <cell r="A45" t="str">
            <v>Aurora Energy</v>
          </cell>
          <cell r="B45">
            <v>2014</v>
          </cell>
        </row>
        <row r="106">
          <cell r="A106" t="str">
            <v>Counties Power</v>
          </cell>
          <cell r="B106">
            <v>2006</v>
          </cell>
        </row>
        <row r="107">
          <cell r="A107" t="str">
            <v>Counties Power</v>
          </cell>
          <cell r="B107">
            <v>2007</v>
          </cell>
        </row>
        <row r="108">
          <cell r="A108" t="str">
            <v>Counties Power</v>
          </cell>
          <cell r="B108">
            <v>2008</v>
          </cell>
        </row>
        <row r="109">
          <cell r="A109" t="str">
            <v>Counties Power</v>
          </cell>
          <cell r="B109">
            <v>2009</v>
          </cell>
        </row>
        <row r="110">
          <cell r="A110" t="str">
            <v>Counties Power</v>
          </cell>
          <cell r="B110">
            <v>2010</v>
          </cell>
        </row>
        <row r="111">
          <cell r="A111" t="str">
            <v>Counties Power</v>
          </cell>
          <cell r="B111">
            <v>2011</v>
          </cell>
        </row>
        <row r="112">
          <cell r="A112" t="str">
            <v>Counties Power</v>
          </cell>
          <cell r="B112">
            <v>2012</v>
          </cell>
        </row>
        <row r="113">
          <cell r="A113" t="str">
            <v>Counties Power</v>
          </cell>
          <cell r="B113">
            <v>2013</v>
          </cell>
        </row>
        <row r="114">
          <cell r="A114" t="str">
            <v>Counties Power</v>
          </cell>
          <cell r="B114">
            <v>2014</v>
          </cell>
        </row>
        <row r="129">
          <cell r="A129" t="str">
            <v>Eastland Network</v>
          </cell>
          <cell r="B129">
            <v>2006</v>
          </cell>
        </row>
        <row r="130">
          <cell r="A130" t="str">
            <v>Eastland Network</v>
          </cell>
          <cell r="B130">
            <v>2007</v>
          </cell>
        </row>
        <row r="131">
          <cell r="A131" t="str">
            <v>Eastland Network</v>
          </cell>
          <cell r="B131">
            <v>2008</v>
          </cell>
        </row>
        <row r="132">
          <cell r="A132" t="str">
            <v>Eastland Network</v>
          </cell>
          <cell r="B132">
            <v>2009</v>
          </cell>
        </row>
        <row r="133">
          <cell r="A133" t="str">
            <v>Eastland Network</v>
          </cell>
          <cell r="B133">
            <v>2010</v>
          </cell>
        </row>
        <row r="134">
          <cell r="A134" t="str">
            <v>Eastland Network</v>
          </cell>
          <cell r="B134">
            <v>2011</v>
          </cell>
        </row>
        <row r="135">
          <cell r="A135" t="str">
            <v>Eastland Network</v>
          </cell>
          <cell r="B135">
            <v>2012</v>
          </cell>
        </row>
        <row r="136">
          <cell r="A136" t="str">
            <v>Eastland Network</v>
          </cell>
          <cell r="B136">
            <v>2013</v>
          </cell>
        </row>
        <row r="137">
          <cell r="A137" t="str">
            <v>Eastland Network</v>
          </cell>
          <cell r="B137">
            <v>2014</v>
          </cell>
        </row>
        <row r="152">
          <cell r="A152" t="str">
            <v>Electra</v>
          </cell>
          <cell r="B152">
            <v>2006</v>
          </cell>
        </row>
        <row r="153">
          <cell r="A153" t="str">
            <v>Electra</v>
          </cell>
          <cell r="B153">
            <v>2007</v>
          </cell>
        </row>
        <row r="154">
          <cell r="A154" t="str">
            <v>Electra</v>
          </cell>
          <cell r="B154">
            <v>2008</v>
          </cell>
        </row>
        <row r="155">
          <cell r="A155" t="str">
            <v>Electra</v>
          </cell>
          <cell r="B155">
            <v>2009</v>
          </cell>
        </row>
        <row r="156">
          <cell r="A156" t="str">
            <v>Electra</v>
          </cell>
          <cell r="B156">
            <v>2010</v>
          </cell>
        </row>
        <row r="157">
          <cell r="A157" t="str">
            <v>Electra</v>
          </cell>
          <cell r="B157">
            <v>2011</v>
          </cell>
        </row>
        <row r="158">
          <cell r="A158" t="str">
            <v>Electra</v>
          </cell>
          <cell r="B158">
            <v>2012</v>
          </cell>
        </row>
        <row r="159">
          <cell r="A159" t="str">
            <v>Electra</v>
          </cell>
          <cell r="B159">
            <v>2013</v>
          </cell>
        </row>
        <row r="160">
          <cell r="A160" t="str">
            <v>Electra</v>
          </cell>
          <cell r="B160">
            <v>2014</v>
          </cell>
        </row>
        <row r="221">
          <cell r="A221" t="str">
            <v>Horizon Energy</v>
          </cell>
          <cell r="B221">
            <v>2006</v>
          </cell>
        </row>
        <row r="222">
          <cell r="A222" t="str">
            <v>Horizon Energy</v>
          </cell>
          <cell r="B222">
            <v>2007</v>
          </cell>
        </row>
        <row r="223">
          <cell r="A223" t="str">
            <v>Horizon Energy</v>
          </cell>
          <cell r="B223">
            <v>2008</v>
          </cell>
        </row>
        <row r="224">
          <cell r="A224" t="str">
            <v>Horizon Energy</v>
          </cell>
          <cell r="B224">
            <v>2009</v>
          </cell>
        </row>
        <row r="225">
          <cell r="A225" t="str">
            <v>Horizon Energy</v>
          </cell>
          <cell r="B225">
            <v>2010</v>
          </cell>
        </row>
        <row r="226">
          <cell r="A226" t="str">
            <v>Horizon Energy</v>
          </cell>
          <cell r="B226">
            <v>2011</v>
          </cell>
        </row>
        <row r="227">
          <cell r="A227" t="str">
            <v>Horizon Energy</v>
          </cell>
          <cell r="B227">
            <v>2012</v>
          </cell>
        </row>
        <row r="228">
          <cell r="A228" t="str">
            <v>Horizon Energy</v>
          </cell>
          <cell r="B228">
            <v>2013</v>
          </cell>
        </row>
        <row r="229">
          <cell r="A229" t="str">
            <v>Horizon Energy</v>
          </cell>
          <cell r="B229">
            <v>2014</v>
          </cell>
        </row>
        <row r="244">
          <cell r="A244" t="str">
            <v>MainPower</v>
          </cell>
          <cell r="B244">
            <v>2006</v>
          </cell>
        </row>
        <row r="245">
          <cell r="A245" t="str">
            <v>MainPower</v>
          </cell>
          <cell r="B245">
            <v>2007</v>
          </cell>
        </row>
        <row r="246">
          <cell r="A246" t="str">
            <v>Mainpower</v>
          </cell>
          <cell r="B246">
            <v>2008</v>
          </cell>
        </row>
        <row r="247">
          <cell r="A247" t="str">
            <v>Mainpower</v>
          </cell>
          <cell r="B247">
            <v>2009</v>
          </cell>
        </row>
        <row r="248">
          <cell r="A248" t="str">
            <v>Mainpower</v>
          </cell>
          <cell r="B248">
            <v>2010</v>
          </cell>
        </row>
        <row r="249">
          <cell r="A249" t="str">
            <v>Mainpower</v>
          </cell>
          <cell r="B249">
            <v>2011</v>
          </cell>
        </row>
        <row r="250">
          <cell r="A250" t="str">
            <v>Mainpower</v>
          </cell>
          <cell r="B250">
            <v>2012</v>
          </cell>
        </row>
        <row r="251">
          <cell r="A251" t="str">
            <v>Mainpower</v>
          </cell>
          <cell r="B251">
            <v>2013</v>
          </cell>
        </row>
        <row r="252">
          <cell r="A252" t="str">
            <v>MainPower</v>
          </cell>
          <cell r="B252">
            <v>2014</v>
          </cell>
        </row>
        <row r="267">
          <cell r="A267" t="str">
            <v>Marlborough Lines</v>
          </cell>
          <cell r="B267">
            <v>2006</v>
          </cell>
        </row>
        <row r="268">
          <cell r="A268" t="str">
            <v>Marlborough Lines</v>
          </cell>
          <cell r="B268">
            <v>2007</v>
          </cell>
        </row>
        <row r="269">
          <cell r="A269" t="str">
            <v>Marlborough Lines</v>
          </cell>
          <cell r="B269">
            <v>2008</v>
          </cell>
        </row>
        <row r="270">
          <cell r="A270" t="str">
            <v>Marlborough Lines</v>
          </cell>
          <cell r="B270">
            <v>2009</v>
          </cell>
        </row>
        <row r="271">
          <cell r="A271" t="str">
            <v>Marlborough Lines</v>
          </cell>
          <cell r="B271">
            <v>2010</v>
          </cell>
        </row>
        <row r="272">
          <cell r="A272" t="str">
            <v>Marlborough Lines</v>
          </cell>
          <cell r="B272">
            <v>2011</v>
          </cell>
        </row>
        <row r="273">
          <cell r="A273" t="str">
            <v>Marlborough Lines</v>
          </cell>
          <cell r="B273">
            <v>2012</v>
          </cell>
        </row>
        <row r="274">
          <cell r="A274" t="str">
            <v>Marlborough Lines</v>
          </cell>
          <cell r="B274">
            <v>2013</v>
          </cell>
        </row>
        <row r="275">
          <cell r="A275" t="str">
            <v>Marlborough Lines</v>
          </cell>
          <cell r="B275">
            <v>2014</v>
          </cell>
        </row>
        <row r="313">
          <cell r="A313" t="str">
            <v>Network Tasman</v>
          </cell>
          <cell r="B313">
            <v>2006</v>
          </cell>
        </row>
        <row r="314">
          <cell r="A314" t="str">
            <v>Network Tasman</v>
          </cell>
          <cell r="B314">
            <v>2007</v>
          </cell>
        </row>
        <row r="315">
          <cell r="A315" t="str">
            <v>Network Tasman</v>
          </cell>
          <cell r="B315">
            <v>2008</v>
          </cell>
        </row>
        <row r="316">
          <cell r="A316" t="str">
            <v>Network Tasman</v>
          </cell>
          <cell r="B316">
            <v>2009</v>
          </cell>
        </row>
        <row r="317">
          <cell r="A317" t="str">
            <v>Network Tasman</v>
          </cell>
          <cell r="B317">
            <v>2010</v>
          </cell>
        </row>
        <row r="318">
          <cell r="A318" t="str">
            <v>Network Tasman</v>
          </cell>
          <cell r="B318">
            <v>2011</v>
          </cell>
        </row>
        <row r="319">
          <cell r="A319" t="str">
            <v>Network Tasman</v>
          </cell>
          <cell r="B319">
            <v>2012</v>
          </cell>
        </row>
        <row r="320">
          <cell r="A320" t="str">
            <v>Network Tasman</v>
          </cell>
          <cell r="B320">
            <v>2013</v>
          </cell>
        </row>
        <row r="321">
          <cell r="A321" t="str">
            <v>Network Tasman</v>
          </cell>
          <cell r="B321">
            <v>2014</v>
          </cell>
        </row>
        <row r="359">
          <cell r="A359" t="str">
            <v>Northpower</v>
          </cell>
          <cell r="B359">
            <v>2006</v>
          </cell>
        </row>
        <row r="360">
          <cell r="A360" t="str">
            <v>Northpower</v>
          </cell>
          <cell r="B360">
            <v>2007</v>
          </cell>
        </row>
        <row r="361">
          <cell r="A361" t="str">
            <v>Northpower</v>
          </cell>
          <cell r="B361">
            <v>2008</v>
          </cell>
        </row>
        <row r="362">
          <cell r="A362" t="str">
            <v>Northpower</v>
          </cell>
          <cell r="B362">
            <v>2009</v>
          </cell>
        </row>
        <row r="363">
          <cell r="A363" t="str">
            <v>Northpower</v>
          </cell>
          <cell r="B363">
            <v>2010</v>
          </cell>
        </row>
        <row r="364">
          <cell r="A364" t="str">
            <v>Northpower</v>
          </cell>
          <cell r="B364">
            <v>2011</v>
          </cell>
        </row>
        <row r="365">
          <cell r="A365" t="str">
            <v>Northpower</v>
          </cell>
          <cell r="B365">
            <v>2012</v>
          </cell>
        </row>
        <row r="366">
          <cell r="A366" t="str">
            <v>Northpower</v>
          </cell>
          <cell r="B366">
            <v>2013</v>
          </cell>
        </row>
        <row r="367">
          <cell r="A367" t="str">
            <v>Northpower</v>
          </cell>
          <cell r="B367">
            <v>2014</v>
          </cell>
        </row>
        <row r="428">
          <cell r="A428" t="str">
            <v>Powerco</v>
          </cell>
          <cell r="B428">
            <v>2006</v>
          </cell>
        </row>
        <row r="429">
          <cell r="A429" t="str">
            <v>Powerco</v>
          </cell>
          <cell r="B429">
            <v>2007</v>
          </cell>
        </row>
        <row r="430">
          <cell r="A430" t="str">
            <v>Powerco</v>
          </cell>
          <cell r="B430">
            <v>2008</v>
          </cell>
        </row>
        <row r="431">
          <cell r="A431" t="str">
            <v>Powerco</v>
          </cell>
          <cell r="B431">
            <v>2009</v>
          </cell>
        </row>
        <row r="432">
          <cell r="A432" t="str">
            <v>Powerco</v>
          </cell>
          <cell r="B432">
            <v>2010</v>
          </cell>
        </row>
        <row r="433">
          <cell r="A433" t="str">
            <v>Powerco</v>
          </cell>
          <cell r="B433">
            <v>2011</v>
          </cell>
        </row>
        <row r="434">
          <cell r="A434" t="str">
            <v>Powerco</v>
          </cell>
          <cell r="B434">
            <v>2012</v>
          </cell>
        </row>
        <row r="435">
          <cell r="A435" t="str">
            <v>Powerco</v>
          </cell>
          <cell r="B435">
            <v>2013</v>
          </cell>
        </row>
        <row r="436">
          <cell r="A436" t="str">
            <v>Powerco</v>
          </cell>
          <cell r="B436">
            <v>2014</v>
          </cell>
        </row>
        <row r="474">
          <cell r="A474" t="str">
            <v>The Lines Company</v>
          </cell>
          <cell r="B474">
            <v>2006</v>
          </cell>
        </row>
        <row r="475">
          <cell r="A475" t="str">
            <v>The Lines Company</v>
          </cell>
          <cell r="B475">
            <v>2007</v>
          </cell>
        </row>
        <row r="476">
          <cell r="A476" t="str">
            <v>The Lines Company</v>
          </cell>
          <cell r="B476">
            <v>2008</v>
          </cell>
        </row>
        <row r="477">
          <cell r="A477" t="str">
            <v>The Lines Company</v>
          </cell>
          <cell r="B477">
            <v>2009</v>
          </cell>
        </row>
        <row r="478">
          <cell r="A478" t="str">
            <v>The Lines Company</v>
          </cell>
          <cell r="B478">
            <v>2010</v>
          </cell>
        </row>
        <row r="479">
          <cell r="A479" t="str">
            <v>The Lines Company</v>
          </cell>
          <cell r="B479">
            <v>2011</v>
          </cell>
        </row>
        <row r="480">
          <cell r="A480" t="str">
            <v>The Lines Company</v>
          </cell>
          <cell r="B480">
            <v>2012</v>
          </cell>
        </row>
        <row r="481">
          <cell r="A481" t="str">
            <v>The Lines Company</v>
          </cell>
          <cell r="B481">
            <v>2013</v>
          </cell>
        </row>
        <row r="482">
          <cell r="A482" t="str">
            <v>The Lines Company</v>
          </cell>
          <cell r="B482">
            <v>2014</v>
          </cell>
        </row>
        <row r="497">
          <cell r="A497" t="str">
            <v>The Power Company</v>
          </cell>
          <cell r="B497">
            <v>2006</v>
          </cell>
        </row>
        <row r="498">
          <cell r="A498" t="str">
            <v>The Power Company</v>
          </cell>
          <cell r="B498">
            <v>2007</v>
          </cell>
        </row>
        <row r="499">
          <cell r="A499" t="str">
            <v>The Power Company</v>
          </cell>
          <cell r="B499">
            <v>2008</v>
          </cell>
        </row>
        <row r="500">
          <cell r="A500" t="str">
            <v>The Power Company</v>
          </cell>
          <cell r="B500">
            <v>2009</v>
          </cell>
        </row>
        <row r="501">
          <cell r="A501" t="str">
            <v>The Power Company</v>
          </cell>
          <cell r="B501">
            <v>2010</v>
          </cell>
        </row>
        <row r="502">
          <cell r="A502" t="str">
            <v>The Power Company</v>
          </cell>
          <cell r="B502">
            <v>2011</v>
          </cell>
        </row>
        <row r="503">
          <cell r="A503" t="str">
            <v>The Power Company</v>
          </cell>
          <cell r="B503">
            <v>2012</v>
          </cell>
        </row>
        <row r="504">
          <cell r="A504" t="str">
            <v>The Power Company</v>
          </cell>
          <cell r="B504">
            <v>2013</v>
          </cell>
        </row>
        <row r="505">
          <cell r="A505" t="str">
            <v>The Power Company</v>
          </cell>
          <cell r="B505">
            <v>2014</v>
          </cell>
        </row>
        <row r="520">
          <cell r="A520" t="str">
            <v>Top Energy</v>
          </cell>
          <cell r="B520">
            <v>2006</v>
          </cell>
        </row>
        <row r="521">
          <cell r="A521" t="str">
            <v>Top Energy</v>
          </cell>
          <cell r="B521">
            <v>2007</v>
          </cell>
        </row>
        <row r="522">
          <cell r="A522" t="str">
            <v>Top Energy</v>
          </cell>
          <cell r="B522">
            <v>2008</v>
          </cell>
        </row>
        <row r="523">
          <cell r="A523" t="str">
            <v>Top Energy</v>
          </cell>
          <cell r="B523">
            <v>2009</v>
          </cell>
        </row>
        <row r="524">
          <cell r="A524" t="str">
            <v>Top Energy</v>
          </cell>
          <cell r="B524">
            <v>2010</v>
          </cell>
        </row>
        <row r="525">
          <cell r="A525" t="str">
            <v>Top Energy</v>
          </cell>
          <cell r="B525">
            <v>2011</v>
          </cell>
        </row>
        <row r="526">
          <cell r="A526" t="str">
            <v>Top Energy</v>
          </cell>
          <cell r="B526">
            <v>2012</v>
          </cell>
        </row>
        <row r="527">
          <cell r="A527" t="str">
            <v>Top Energy</v>
          </cell>
          <cell r="B527">
            <v>2013</v>
          </cell>
        </row>
        <row r="528">
          <cell r="A528" t="str">
            <v>Top Energy</v>
          </cell>
          <cell r="B528">
            <v>2014</v>
          </cell>
        </row>
        <row r="543">
          <cell r="A543" t="str">
            <v>Unison</v>
          </cell>
          <cell r="B543">
            <v>2006</v>
          </cell>
        </row>
        <row r="544">
          <cell r="A544" t="str">
            <v>Unison</v>
          </cell>
          <cell r="B544">
            <v>2007</v>
          </cell>
        </row>
        <row r="545">
          <cell r="A545" t="str">
            <v>Unison</v>
          </cell>
          <cell r="B545">
            <v>2008</v>
          </cell>
        </row>
        <row r="546">
          <cell r="A546" t="str">
            <v>Unison</v>
          </cell>
          <cell r="B546">
            <v>2009</v>
          </cell>
        </row>
        <row r="547">
          <cell r="A547" t="str">
            <v>Unison</v>
          </cell>
          <cell r="B547">
            <v>2010</v>
          </cell>
        </row>
        <row r="548">
          <cell r="A548" t="str">
            <v>Unison</v>
          </cell>
          <cell r="B548">
            <v>2011</v>
          </cell>
        </row>
        <row r="549">
          <cell r="A549" t="str">
            <v>Unison</v>
          </cell>
          <cell r="B549">
            <v>2012</v>
          </cell>
        </row>
        <row r="550">
          <cell r="A550" t="str">
            <v>Unison</v>
          </cell>
          <cell r="B550">
            <v>2013</v>
          </cell>
        </row>
        <row r="551">
          <cell r="A551" t="str">
            <v>Unison Networks</v>
          </cell>
          <cell r="B551">
            <v>2014</v>
          </cell>
        </row>
        <row r="589">
          <cell r="A589" t="str">
            <v>Vector</v>
          </cell>
          <cell r="B589">
            <v>2006</v>
          </cell>
        </row>
        <row r="590">
          <cell r="A590" t="str">
            <v>Vector</v>
          </cell>
          <cell r="B590">
            <v>2007</v>
          </cell>
        </row>
        <row r="591">
          <cell r="A591" t="str">
            <v>Vector</v>
          </cell>
          <cell r="B591">
            <v>2008</v>
          </cell>
        </row>
        <row r="592">
          <cell r="A592" t="str">
            <v>Vector</v>
          </cell>
          <cell r="B592">
            <v>2009</v>
          </cell>
        </row>
        <row r="593">
          <cell r="A593" t="str">
            <v>Vector</v>
          </cell>
          <cell r="B593">
            <v>2010</v>
          </cell>
        </row>
        <row r="594">
          <cell r="A594" t="str">
            <v>Vector</v>
          </cell>
          <cell r="B594">
            <v>2011</v>
          </cell>
        </row>
        <row r="595">
          <cell r="A595" t="str">
            <v>Vector</v>
          </cell>
          <cell r="B595">
            <v>2012</v>
          </cell>
        </row>
        <row r="596">
          <cell r="A596" t="str">
            <v>Vector</v>
          </cell>
          <cell r="B596">
            <v>2013</v>
          </cell>
        </row>
        <row r="597">
          <cell r="A597" t="str">
            <v>Vector Lines</v>
          </cell>
          <cell r="B597">
            <v>2014</v>
          </cell>
        </row>
        <row r="612">
          <cell r="A612" t="str">
            <v>Waipa Networks</v>
          </cell>
          <cell r="B612">
            <v>2006</v>
          </cell>
        </row>
        <row r="613">
          <cell r="A613" t="str">
            <v>Waipa Networks</v>
          </cell>
          <cell r="B613">
            <v>2007</v>
          </cell>
        </row>
        <row r="614">
          <cell r="A614" t="str">
            <v>Waipa Networks</v>
          </cell>
          <cell r="B614">
            <v>2008</v>
          </cell>
        </row>
        <row r="615">
          <cell r="A615" t="str">
            <v>Waipa Networks</v>
          </cell>
          <cell r="B615">
            <v>2009</v>
          </cell>
        </row>
        <row r="616">
          <cell r="A616" t="str">
            <v>Waipa Networks</v>
          </cell>
          <cell r="B616">
            <v>2010</v>
          </cell>
        </row>
        <row r="617">
          <cell r="A617" t="str">
            <v>Waipa Networks</v>
          </cell>
          <cell r="B617">
            <v>2011</v>
          </cell>
        </row>
        <row r="618">
          <cell r="A618" t="str">
            <v>Waipa Networks</v>
          </cell>
          <cell r="B618">
            <v>2012</v>
          </cell>
        </row>
        <row r="619">
          <cell r="A619" t="str">
            <v>Waipa Networks</v>
          </cell>
          <cell r="B619">
            <v>2013</v>
          </cell>
        </row>
        <row r="620">
          <cell r="A620" t="str">
            <v>Waipa Networks</v>
          </cell>
          <cell r="B620">
            <v>2014</v>
          </cell>
        </row>
        <row r="635">
          <cell r="A635" t="str">
            <v>WEL Networks</v>
          </cell>
          <cell r="B635">
            <v>2006</v>
          </cell>
        </row>
        <row r="636">
          <cell r="A636" t="str">
            <v>WEL Networks</v>
          </cell>
          <cell r="B636">
            <v>2007</v>
          </cell>
        </row>
        <row r="637">
          <cell r="A637" t="str">
            <v>WEL Networks</v>
          </cell>
          <cell r="B637">
            <v>2008</v>
          </cell>
        </row>
        <row r="638">
          <cell r="A638" t="str">
            <v>WEL Networks</v>
          </cell>
          <cell r="B638">
            <v>2009</v>
          </cell>
        </row>
        <row r="639">
          <cell r="A639" t="str">
            <v>WEL Networks</v>
          </cell>
          <cell r="B639">
            <v>2010</v>
          </cell>
        </row>
        <row r="640">
          <cell r="A640" t="str">
            <v>WEL Networks</v>
          </cell>
          <cell r="B640">
            <v>2011</v>
          </cell>
        </row>
        <row r="641">
          <cell r="A641" t="str">
            <v>WEL Networks</v>
          </cell>
          <cell r="B641">
            <v>2012</v>
          </cell>
        </row>
        <row r="642">
          <cell r="A642" t="str">
            <v>WEL Networks</v>
          </cell>
          <cell r="B642">
            <v>2013</v>
          </cell>
        </row>
        <row r="643">
          <cell r="A643" t="str">
            <v>WEL Networks</v>
          </cell>
          <cell r="B643">
            <v>2014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4316.9399999999996</v>
          </cell>
        </row>
        <row r="3">
          <cell r="M3">
            <v>795.03</v>
          </cell>
        </row>
        <row r="4">
          <cell r="M4">
            <v>2167.529760353028</v>
          </cell>
        </row>
        <row r="5">
          <cell r="M5">
            <v>6575.0028240628853</v>
          </cell>
        </row>
        <row r="10">
          <cell r="M10">
            <v>925.66533091013707</v>
          </cell>
        </row>
        <row r="11">
          <cell r="M11">
            <v>3251.2265001792989</v>
          </cell>
        </row>
        <row r="14">
          <cell r="M14">
            <v>3948.8112600313329</v>
          </cell>
        </row>
        <row r="15">
          <cell r="M15">
            <v>406.66836900000033</v>
          </cell>
        </row>
        <row r="16">
          <cell r="M16">
            <v>2288.9655210294582</v>
          </cell>
        </row>
        <row r="17">
          <cell r="M17">
            <v>764.57637152812208</v>
          </cell>
        </row>
        <row r="20">
          <cell r="M20">
            <v>2588</v>
          </cell>
        </row>
        <row r="21">
          <cell r="M21">
            <v>574</v>
          </cell>
        </row>
        <row r="22">
          <cell r="M22">
            <v>990.7</v>
          </cell>
        </row>
        <row r="23">
          <cell r="M23">
            <v>5021.3000000000011</v>
          </cell>
        </row>
        <row r="24">
          <cell r="M24">
            <v>541.99616119496204</v>
          </cell>
        </row>
        <row r="25">
          <cell r="M25">
            <v>3359.8644887701412</v>
          </cell>
        </row>
        <row r="28">
          <cell r="M28">
            <v>3613.6</v>
          </cell>
        </row>
        <row r="29">
          <cell r="M29">
            <v>940.80000000000007</v>
          </cell>
        </row>
        <row r="32">
          <cell r="M32">
            <v>6053.210810000005</v>
          </cell>
        </row>
        <row r="33">
          <cell r="M33">
            <v>1044.591580000005</v>
          </cell>
        </row>
        <row r="38">
          <cell r="M38">
            <v>6666.7073060000002</v>
          </cell>
        </row>
        <row r="39">
          <cell r="M39">
            <v>28322.220612000001</v>
          </cell>
        </row>
        <row r="42">
          <cell r="M42">
            <v>320.03111999999999</v>
          </cell>
        </row>
        <row r="43">
          <cell r="M43">
            <v>4384.6258900000003</v>
          </cell>
        </row>
        <row r="44">
          <cell r="M44">
            <v>8852.9111926390706</v>
          </cell>
        </row>
        <row r="45">
          <cell r="M45">
            <v>391.65104000000008</v>
          </cell>
        </row>
        <row r="46">
          <cell r="M46">
            <v>895.98</v>
          </cell>
        </row>
        <row r="47">
          <cell r="M47">
            <v>4061.91</v>
          </cell>
        </row>
        <row r="48">
          <cell r="M48">
            <v>3717.8904619999998</v>
          </cell>
        </row>
        <row r="49">
          <cell r="M49">
            <v>9290.3517289999872</v>
          </cell>
        </row>
        <row r="50">
          <cell r="M50">
            <v>10525.802</v>
          </cell>
        </row>
        <row r="51">
          <cell r="M51">
            <v>18707.657999999999</v>
          </cell>
        </row>
        <row r="52">
          <cell r="M52">
            <v>5456.8046929999991</v>
          </cell>
        </row>
        <row r="53">
          <cell r="M53">
            <v>2307.8018529999999</v>
          </cell>
        </row>
        <row r="54">
          <cell r="M54">
            <v>458.68133000000017</v>
          </cell>
        </row>
        <row r="55">
          <cell r="M55">
            <v>2230.6557299999981</v>
          </cell>
        </row>
        <row r="56">
          <cell r="M56">
            <v>4745.5310250958164</v>
          </cell>
        </row>
        <row r="57">
          <cell r="M57">
            <v>3019.1777694738839</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21343.088019999988</v>
          </cell>
        </row>
        <row r="3">
          <cell r="M3">
            <v>48022.637669999996</v>
          </cell>
        </row>
        <row r="6">
          <cell r="M6">
            <v>15741</v>
          </cell>
        </row>
        <row r="8">
          <cell r="M8">
            <v>11381.92239</v>
          </cell>
        </row>
        <row r="9">
          <cell r="M9">
            <v>13019.239627223</v>
          </cell>
        </row>
        <row r="11">
          <cell r="M11">
            <v>10290.29167519387</v>
          </cell>
        </row>
        <row r="12">
          <cell r="M12">
            <v>18627.521000000001</v>
          </cell>
        </row>
        <row r="13">
          <cell r="M13">
            <v>16437</v>
          </cell>
        </row>
        <row r="15">
          <cell r="M15">
            <v>11230</v>
          </cell>
        </row>
        <row r="17">
          <cell r="M17">
            <v>27046.588762438081</v>
          </cell>
        </row>
        <row r="20">
          <cell r="M20">
            <v>89783.684829999998</v>
          </cell>
        </row>
        <row r="22">
          <cell r="M22">
            <v>15991.2442477</v>
          </cell>
        </row>
        <row r="23">
          <cell r="M23">
            <v>17279.3</v>
          </cell>
        </row>
        <row r="24">
          <cell r="M24">
            <v>19109.370495048741</v>
          </cell>
        </row>
        <row r="25">
          <cell r="M25">
            <v>43157.792000000001</v>
          </cell>
        </row>
        <row r="26">
          <cell r="M26">
            <v>129235</v>
          </cell>
        </row>
        <row r="27">
          <cell r="M27">
            <v>25400.55825265294</v>
          </cell>
        </row>
        <row r="28">
          <cell r="M28">
            <v>8321</v>
          </cell>
        </row>
        <row r="29">
          <cell r="M29">
            <v>32190.232476399429</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33445.5</v>
          </cell>
        </row>
        <row r="3">
          <cell r="M3">
            <v>91071</v>
          </cell>
        </row>
        <row r="7">
          <cell r="M7">
            <v>25658</v>
          </cell>
        </row>
        <row r="8">
          <cell r="M8">
            <v>45192.159090909103</v>
          </cell>
        </row>
        <row r="10">
          <cell r="M10">
            <v>25854.75</v>
          </cell>
        </row>
        <row r="13">
          <cell r="M13">
            <v>60267</v>
          </cell>
        </row>
        <row r="16">
          <cell r="M16">
            <v>344184</v>
          </cell>
        </row>
        <row r="18">
          <cell r="M18">
            <v>36282</v>
          </cell>
        </row>
        <row r="19">
          <cell r="M19">
            <v>114599</v>
          </cell>
        </row>
        <row r="20">
          <cell r="M20">
            <v>93502</v>
          </cell>
        </row>
        <row r="21">
          <cell r="M21">
            <v>27217</v>
          </cell>
        </row>
        <row r="22">
          <cell r="M22">
            <v>169045.16666666669</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816.76</v>
          </cell>
        </row>
        <row r="3">
          <cell r="M3">
            <v>4322.84</v>
          </cell>
        </row>
        <row r="4">
          <cell r="M4">
            <v>2232.9688430229262</v>
          </cell>
        </row>
        <row r="5">
          <cell r="M5">
            <v>6101.0862593712754</v>
          </cell>
        </row>
        <row r="10">
          <cell r="M10">
            <v>1051.1766166759819</v>
          </cell>
        </row>
        <row r="11">
          <cell r="M11">
            <v>3369.35659883889</v>
          </cell>
        </row>
        <row r="14">
          <cell r="M14">
            <v>3948.6204266991272</v>
          </cell>
        </row>
        <row r="15">
          <cell r="M15">
            <v>412.94861100000128</v>
          </cell>
        </row>
        <row r="16">
          <cell r="M16">
            <v>769.06883716531797</v>
          </cell>
        </row>
        <row r="20">
          <cell r="M20">
            <v>2597.3216600000001</v>
          </cell>
        </row>
        <row r="21">
          <cell r="M21">
            <v>593.70418999999993</v>
          </cell>
        </row>
        <row r="22">
          <cell r="M22">
            <v>1027</v>
          </cell>
        </row>
        <row r="23">
          <cell r="M23">
            <v>5038.8</v>
          </cell>
        </row>
        <row r="24">
          <cell r="M24">
            <v>3412</v>
          </cell>
        </row>
        <row r="25">
          <cell r="M25">
            <v>582</v>
          </cell>
        </row>
        <row r="28">
          <cell r="M28">
            <v>972.5</v>
          </cell>
        </row>
        <row r="29">
          <cell r="M29">
            <v>3640.6</v>
          </cell>
        </row>
        <row r="32">
          <cell r="M32">
            <v>1078.2918199999999</v>
          </cell>
        </row>
        <row r="33">
          <cell r="M33">
            <v>6085.7238399999997</v>
          </cell>
        </row>
        <row r="38">
          <cell r="M38">
            <v>28441.207031000002</v>
          </cell>
        </row>
        <row r="39">
          <cell r="M39">
            <v>6806.0307409999996</v>
          </cell>
        </row>
        <row r="42">
          <cell r="M42">
            <v>323.09899999999999</v>
          </cell>
        </row>
        <row r="43">
          <cell r="M43">
            <v>4313.7070000000003</v>
          </cell>
        </row>
        <row r="44">
          <cell r="M44">
            <v>382.57175999999993</v>
          </cell>
        </row>
        <row r="45">
          <cell r="M45">
            <v>8839.3990249999624</v>
          </cell>
        </row>
        <row r="46">
          <cell r="M46">
            <v>4060.64</v>
          </cell>
        </row>
        <row r="47">
          <cell r="M47">
            <v>906.46999999999991</v>
          </cell>
        </row>
        <row r="48">
          <cell r="M48">
            <v>9312.795652999981</v>
          </cell>
        </row>
        <row r="49">
          <cell r="M49">
            <v>3750.4252400000169</v>
          </cell>
        </row>
        <row r="50">
          <cell r="M50">
            <v>10654.742</v>
          </cell>
        </row>
        <row r="51">
          <cell r="M51">
            <v>18949.526000000002</v>
          </cell>
        </row>
        <row r="52">
          <cell r="M52">
            <v>5515.2000000000007</v>
          </cell>
        </row>
        <row r="53">
          <cell r="M53">
            <v>2381.1999999999998</v>
          </cell>
        </row>
        <row r="54">
          <cell r="M54">
            <v>2268.1144199999972</v>
          </cell>
        </row>
        <row r="55">
          <cell r="M55">
            <v>491.81110000000012</v>
          </cell>
        </row>
        <row r="56">
          <cell r="M56">
            <v>3041.9264267147951</v>
          </cell>
        </row>
        <row r="57">
          <cell r="M57">
            <v>4764.9287489763756</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of Contents 2017"/>
      <sheetName val="Validation 2017"/>
      <sheetName val="Validation 2017 (HON)"/>
      <sheetName val="Validation 2017 (Energy+)"/>
      <sheetName val="Validation 2017 (Alectra)"/>
      <sheetName val="Forecasting 2017"/>
      <sheetName val="2017 Benchmarking Calculations"/>
      <sheetName val="2017 Alectra Merger"/>
      <sheetName val="Scorecard Data 2017"/>
      <sheetName val="Table 1 2017"/>
      <sheetName val="Table 2 2017"/>
      <sheetName val="Table 3a 2017"/>
      <sheetName val="Table 3b 2017"/>
      <sheetName val="Table 4 2017"/>
      <sheetName val="Table 5 2017"/>
      <sheetName val="2017 LV Charges"/>
      <sheetName val="2017 Customers"/>
      <sheetName val="2017 Metered kWh"/>
      <sheetName val="2017 Metered kW"/>
      <sheetName val="2017 Distr Rev"/>
      <sheetName val="2017 Utility Characteristics"/>
      <sheetName val="2017 Capital Data"/>
      <sheetName val="2017 Trial Balance"/>
      <sheetName val="2017 List of LDCs"/>
      <sheetName val="2017 LDC Revisions"/>
      <sheetName val="end of 2017 worksheets"/>
      <sheetName val="Table of Contents 2016"/>
      <sheetName val="Validation 2016"/>
      <sheetName val="Validation 2016 (Energy Plus)"/>
      <sheetName val="Validation 2016 (HON)"/>
      <sheetName val="Forecasting 2016"/>
      <sheetName val="2016 Benchmarking Calculations"/>
      <sheetName val="Merger Calculations"/>
      <sheetName val="Scorecard Data 2016"/>
      <sheetName val="Table 1 2016"/>
      <sheetName val="Table 2 2016"/>
      <sheetName val="Table 3a 2016"/>
      <sheetName val="Table 3b 2016"/>
      <sheetName val="Table 4 2016"/>
      <sheetName val="Table 5 2016"/>
      <sheetName val="2016 Customers"/>
      <sheetName val="2016 Metered kWh"/>
      <sheetName val="2016 Metered kW"/>
      <sheetName val="2016 Distr Rev"/>
      <sheetName val="2016 Utility Characteristics"/>
      <sheetName val="2016 Trial Balance"/>
      <sheetName val="2016 Capital Data"/>
      <sheetName val="2016 LV Charges"/>
      <sheetName val="2016 LDC Revisions"/>
      <sheetName val="end of 2016 worksheets"/>
      <sheetName val="Table of Contents 2015"/>
      <sheetName val="Forecasting 2015"/>
      <sheetName val="Validation 2015"/>
      <sheetName val="2015 Benchmarking Calculations"/>
      <sheetName val="Scorecard Data 2015"/>
      <sheetName val="Table 1 2015"/>
      <sheetName val="Table 2 2015"/>
      <sheetName val="Table 3a 2015"/>
      <sheetName val="Table 3b 2015"/>
      <sheetName val="Table 4 2015"/>
      <sheetName val="Table 5 2015"/>
      <sheetName val="HON-Norfolk Merger"/>
      <sheetName val="2015 Customers"/>
      <sheetName val="2015 Metered kWh"/>
      <sheetName val="2015 Metered kW"/>
      <sheetName val="2015 Distr Rev"/>
      <sheetName val="2015 Utility Characteristics"/>
      <sheetName val="2015 Capital"/>
      <sheetName val="2015 Trial Balance"/>
      <sheetName val="2015 LV Charges"/>
      <sheetName val="2015 LDC Revisions"/>
      <sheetName val="end of 2015 worksheets"/>
      <sheetName val="Overview of Worksheets"/>
      <sheetName val="GDP IPI FDD"/>
      <sheetName val="AWE"/>
      <sheetName val="Electricity Cost of Capital"/>
      <sheetName val="EUCPI"/>
      <sheetName val="2012 BM Database"/>
      <sheetName val="end of updated worksheets"/>
      <sheetName val="Table of Contents 2014"/>
      <sheetName val="Validation 2014"/>
      <sheetName val="Forecasting 2014"/>
      <sheetName val="2014 Benchmarking Calculations"/>
      <sheetName val="Table 1 2014"/>
      <sheetName val="Table 2 2014"/>
      <sheetName val="Table 3a 2014"/>
      <sheetName val="Table 3b 2014"/>
      <sheetName val="Table 4 2014"/>
      <sheetName val="Table 5 2014"/>
      <sheetName val="Scorecard Data 2014"/>
      <sheetName val="2014 Customers"/>
      <sheetName val="2014 kWh"/>
      <sheetName val="2014 217 Trial Balance"/>
      <sheetName val="2014 PBR Data"/>
      <sheetName val="2014 Capital"/>
      <sheetName val="Smart Meter DR 2014"/>
      <sheetName val="Smart Meter DR 2013"/>
      <sheetName val="2014 LV Charges"/>
      <sheetName val="Revisions-Jul 2014 to Jun 2015"/>
      <sheetName val="Lakeland Merger"/>
      <sheetName val="2014 215 Metered kW"/>
      <sheetName val="2014 215 Distr Rev"/>
      <sheetName val="end of 2014 worksheets"/>
      <sheetName val="Table of Contents 2013"/>
      <sheetName val="Validation"/>
      <sheetName val="Forecasting"/>
      <sheetName val="Assumptions for Forecasting"/>
      <sheetName val="Generic LDC Worksheet"/>
      <sheetName val="2013 Benchmarking Calculations"/>
      <sheetName val="2. BM Database"/>
      <sheetName val="2.1.2 Total Customer Numbers"/>
      <sheetName val="2013 PBR data "/>
      <sheetName val="2.1.7 Roll Up "/>
      <sheetName val="HV Charges"/>
      <sheetName val="Acct 5014 5015 and 5112 "/>
      <sheetName val="LV charges"/>
      <sheetName val="LV Pivot"/>
      <sheetName val="HON LV Charges"/>
      <sheetName val="Additional 2013 Data 1"/>
      <sheetName val="Additional 2013 Data 2"/>
      <sheetName val="Additional 2013 Data 3"/>
      <sheetName val="Additional 2013 Data 4"/>
      <sheetName val="Additional 2013 Data 5"/>
      <sheetName val="Table 1"/>
      <sheetName val="Table 2"/>
      <sheetName val="Table 3"/>
      <sheetName val="Table 4"/>
      <sheetName val="Table 5"/>
      <sheetName val="scorecard data"/>
      <sheetName val="end of 2013 worksheets"/>
      <sheetName val="6. Capital Calculations for BM"/>
      <sheetName val="end of IRM-worksheet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9">
          <cell r="I9">
            <v>253135397.59</v>
          </cell>
          <cell r="J9">
            <v>11949456.149999997</v>
          </cell>
          <cell r="K9">
            <v>1128041</v>
          </cell>
          <cell r="L9">
            <v>13327256.450000001</v>
          </cell>
          <cell r="N9">
            <v>9372903.3100000005</v>
          </cell>
          <cell r="O9">
            <v>17672918.210000001</v>
          </cell>
          <cell r="Q9">
            <v>8980024.9199999999</v>
          </cell>
          <cell r="R9">
            <v>2366911.4499999997</v>
          </cell>
          <cell r="S9">
            <v>714794.32000000007</v>
          </cell>
          <cell r="T9">
            <v>4564267.2</v>
          </cell>
          <cell r="U9">
            <v>666865.57999999996</v>
          </cell>
          <cell r="V9">
            <v>2601206.89</v>
          </cell>
          <cell r="W9">
            <v>17339704.309999999</v>
          </cell>
          <cell r="Y9">
            <v>9247188.4999999981</v>
          </cell>
          <cell r="Z9">
            <v>26481205.32</v>
          </cell>
          <cell r="AA9">
            <v>6303144.4799999995</v>
          </cell>
          <cell r="AB9">
            <v>1452179.3185000001</v>
          </cell>
          <cell r="AC9">
            <v>6904037.9000000004</v>
          </cell>
          <cell r="AD9">
            <v>5423943.6699999999</v>
          </cell>
          <cell r="AE9">
            <v>1624396.7700000003</v>
          </cell>
          <cell r="AF9">
            <v>13736802.530000001</v>
          </cell>
          <cell r="AG9">
            <v>2934568.57</v>
          </cell>
          <cell r="AH9">
            <v>14940538.639999999</v>
          </cell>
          <cell r="AJ9">
            <v>5991469.6100000003</v>
          </cell>
          <cell r="AK9">
            <v>1097095.2200000002</v>
          </cell>
          <cell r="AM9">
            <v>573243.86</v>
          </cell>
          <cell r="AN9">
            <v>1067938.33</v>
          </cell>
          <cell r="AP9">
            <v>531008997.35999995</v>
          </cell>
          <cell r="AQ9">
            <v>76585426.71949999</v>
          </cell>
          <cell r="AR9">
            <v>5967673.79</v>
          </cell>
          <cell r="AS9">
            <v>2196843</v>
          </cell>
          <cell r="AT9">
            <v>6668210</v>
          </cell>
          <cell r="AU9">
            <v>16163456.33</v>
          </cell>
          <cell r="AV9">
            <v>2292335.04</v>
          </cell>
          <cell r="AW9">
            <v>4833158.66</v>
          </cell>
          <cell r="AX9">
            <v>35729769.309999995</v>
          </cell>
          <cell r="AY9">
            <v>2588786.7700000005</v>
          </cell>
          <cell r="AZ9">
            <v>8862186</v>
          </cell>
          <cell r="BA9">
            <v>9160875.4400000013</v>
          </cell>
          <cell r="BB9">
            <v>17622603.480000004</v>
          </cell>
          <cell r="BC9">
            <v>2530464.23</v>
          </cell>
          <cell r="BE9">
            <v>6227379.8600000003</v>
          </cell>
          <cell r="BF9">
            <v>2621077.0815000003</v>
          </cell>
          <cell r="BG9">
            <v>17537918.539999999</v>
          </cell>
          <cell r="BH9">
            <v>3299287.6700000004</v>
          </cell>
          <cell r="BI9">
            <v>4709486</v>
          </cell>
          <cell r="BJ9">
            <v>12150794.340000002</v>
          </cell>
          <cell r="BK9">
            <v>3169086.7299999995</v>
          </cell>
          <cell r="BM9">
            <v>8616790.1100000013</v>
          </cell>
          <cell r="BO9">
            <v>10685848.140000001</v>
          </cell>
          <cell r="BP9">
            <v>1406741.5099999998</v>
          </cell>
          <cell r="BQ9">
            <v>2228631.8000000007</v>
          </cell>
          <cell r="BR9">
            <v>1559987.2999999996</v>
          </cell>
          <cell r="BS9">
            <v>3841606.6500000004</v>
          </cell>
          <cell r="BT9">
            <v>15384698.060000001</v>
          </cell>
          <cell r="BU9">
            <v>2631316.12</v>
          </cell>
          <cell r="BV9">
            <v>234078557.25999996</v>
          </cell>
          <cell r="BW9">
            <v>26716783.620000001</v>
          </cell>
          <cell r="BX9">
            <v>3094040.5900000008</v>
          </cell>
          <cell r="BY9">
            <v>12895779.060000001</v>
          </cell>
          <cell r="BZ9">
            <v>6597232.0999999996</v>
          </cell>
          <cell r="CA9">
            <v>1707930.99</v>
          </cell>
          <cell r="CB9">
            <v>1630646</v>
          </cell>
          <cell r="CC9">
            <v>6113555.0099999998</v>
          </cell>
          <cell r="CD9">
            <v>11961256</v>
          </cell>
        </row>
        <row r="56">
          <cell r="I56">
            <v>982023</v>
          </cell>
          <cell r="J56">
            <v>11724</v>
          </cell>
          <cell r="K56">
            <v>1637</v>
          </cell>
          <cell r="N56">
            <v>39623</v>
          </cell>
          <cell r="Q56">
            <v>29057</v>
          </cell>
          <cell r="R56">
            <v>6916</v>
          </cell>
          <cell r="T56">
            <v>17172</v>
          </cell>
          <cell r="U56">
            <v>2242</v>
          </cell>
          <cell r="W56">
            <v>64726</v>
          </cell>
          <cell r="Y56">
            <v>41143</v>
          </cell>
          <cell r="AA56">
            <v>18952</v>
          </cell>
          <cell r="AB56">
            <v>3288</v>
          </cell>
          <cell r="AE56">
            <v>3748</v>
          </cell>
          <cell r="AG56">
            <v>11354</v>
          </cell>
          <cell r="AK56">
            <v>2697</v>
          </cell>
          <cell r="AM56">
            <v>1254</v>
          </cell>
          <cell r="AN56">
            <v>5534</v>
          </cell>
          <cell r="AR56">
            <v>17228</v>
          </cell>
          <cell r="AS56">
            <v>5581</v>
          </cell>
          <cell r="AU56">
            <v>95758</v>
          </cell>
          <cell r="AV56">
            <v>10349</v>
          </cell>
          <cell r="AW56">
            <v>13491</v>
          </cell>
          <cell r="AY56">
            <v>7267</v>
          </cell>
          <cell r="BC56">
            <v>9377</v>
          </cell>
          <cell r="BF56">
            <v>5980</v>
          </cell>
          <cell r="BG56">
            <v>70492</v>
          </cell>
          <cell r="BH56">
            <v>12365</v>
          </cell>
          <cell r="BI56">
            <v>13830</v>
          </cell>
          <cell r="BK56">
            <v>11109</v>
          </cell>
          <cell r="BP56">
            <v>4300</v>
          </cell>
          <cell r="BQ56">
            <v>5893</v>
          </cell>
          <cell r="BR56">
            <v>2842</v>
          </cell>
          <cell r="BS56">
            <v>17519</v>
          </cell>
          <cell r="BU56">
            <v>7201</v>
          </cell>
          <cell r="BX56">
            <v>13592</v>
          </cell>
          <cell r="BY56">
            <v>57042</v>
          </cell>
          <cell r="CA56">
            <v>3770</v>
          </cell>
          <cell r="CB56">
            <v>3877</v>
          </cell>
        </row>
        <row r="60">
          <cell r="J60">
            <v>41832</v>
          </cell>
          <cell r="K60">
            <v>8634</v>
          </cell>
          <cell r="R60">
            <v>24770</v>
          </cell>
          <cell r="S60">
            <v>6489</v>
          </cell>
          <cell r="T60">
            <v>51563</v>
          </cell>
          <cell r="U60">
            <v>6517</v>
          </cell>
          <cell r="V60">
            <v>57221</v>
          </cell>
          <cell r="W60">
            <v>305718</v>
          </cell>
          <cell r="AA60">
            <v>81295</v>
          </cell>
          <cell r="AB60">
            <v>11586</v>
          </cell>
          <cell r="AE60">
            <v>15025</v>
          </cell>
          <cell r="AG60">
            <v>50033</v>
          </cell>
          <cell r="AK60">
            <v>15428</v>
          </cell>
          <cell r="AM60">
            <v>5590</v>
          </cell>
          <cell r="AN60">
            <v>27794</v>
          </cell>
          <cell r="AR60">
            <v>51036</v>
          </cell>
          <cell r="AS60">
            <v>18576</v>
          </cell>
          <cell r="AU60">
            <v>325691</v>
          </cell>
          <cell r="AV60">
            <v>40516</v>
          </cell>
          <cell r="AW60">
            <v>50947</v>
          </cell>
          <cell r="AY60">
            <v>33691</v>
          </cell>
          <cell r="BC60">
            <v>39670</v>
          </cell>
          <cell r="BF60">
            <v>23708</v>
          </cell>
          <cell r="BH60">
            <v>46147</v>
          </cell>
          <cell r="BI60">
            <v>53469</v>
          </cell>
          <cell r="BK60">
            <v>34903</v>
          </cell>
          <cell r="BP60">
            <v>13888</v>
          </cell>
          <cell r="BQ60">
            <v>23593</v>
          </cell>
          <cell r="BR60">
            <v>19015</v>
          </cell>
          <cell r="BS60">
            <v>54276</v>
          </cell>
          <cell r="BU60">
            <v>35939</v>
          </cell>
          <cell r="BX60">
            <v>26920</v>
          </cell>
          <cell r="CA60">
            <v>16381</v>
          </cell>
          <cell r="CB60">
            <v>27235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79">
          <cell r="C79">
            <v>1850</v>
          </cell>
          <cell r="D79">
            <v>92</v>
          </cell>
          <cell r="J79">
            <v>156</v>
          </cell>
          <cell r="K79">
            <v>30</v>
          </cell>
          <cell r="L79">
            <v>347</v>
          </cell>
          <cell r="M79">
            <v>36</v>
          </cell>
          <cell r="N79">
            <v>157</v>
          </cell>
          <cell r="O79">
            <v>1487</v>
          </cell>
          <cell r="R79">
            <v>347</v>
          </cell>
          <cell r="S79">
            <v>141</v>
          </cell>
          <cell r="V79">
            <v>81</v>
          </cell>
          <cell r="X79">
            <v>677</v>
          </cell>
          <cell r="AB79">
            <v>87</v>
          </cell>
          <cell r="AD79">
            <v>21</v>
          </cell>
          <cell r="AE79">
            <v>69</v>
          </cell>
          <cell r="AI79">
            <v>862</v>
          </cell>
          <cell r="AJ79">
            <v>98</v>
          </cell>
          <cell r="AM79">
            <v>219</v>
          </cell>
          <cell r="AN79">
            <v>358</v>
          </cell>
          <cell r="AP79">
            <v>130</v>
          </cell>
          <cell r="AT79">
            <v>333</v>
          </cell>
          <cell r="AW79">
            <v>370</v>
          </cell>
          <cell r="AY79">
            <v>221</v>
          </cell>
          <cell r="AZ79">
            <v>242</v>
          </cell>
          <cell r="BB79">
            <v>490</v>
          </cell>
          <cell r="BG79">
            <v>80</v>
          </cell>
          <cell r="BH79">
            <v>107</v>
          </cell>
          <cell r="BI79">
            <v>711</v>
          </cell>
          <cell r="BJ79">
            <v>248</v>
          </cell>
          <cell r="BL79">
            <v>134</v>
          </cell>
          <cell r="BO79">
            <v>278</v>
          </cell>
          <cell r="BR79">
            <v>79</v>
          </cell>
          <cell r="BS79">
            <v>61</v>
          </cell>
        </row>
        <row r="81">
          <cell r="C81">
            <v>14</v>
          </cell>
          <cell r="D81">
            <v>2</v>
          </cell>
          <cell r="J81">
            <v>77</v>
          </cell>
          <cell r="K81">
            <v>2</v>
          </cell>
          <cell r="L81">
            <v>136</v>
          </cell>
          <cell r="M81">
            <v>18</v>
          </cell>
          <cell r="N81">
            <v>68</v>
          </cell>
          <cell r="O81">
            <v>507</v>
          </cell>
          <cell r="R81">
            <v>108</v>
          </cell>
          <cell r="S81">
            <v>11</v>
          </cell>
          <cell r="V81">
            <v>10</v>
          </cell>
          <cell r="X81">
            <v>321</v>
          </cell>
          <cell r="AB81">
            <v>16</v>
          </cell>
          <cell r="AD81">
            <v>3</v>
          </cell>
          <cell r="AE81">
            <v>12</v>
          </cell>
          <cell r="AI81">
            <v>200</v>
          </cell>
          <cell r="AJ81">
            <v>10</v>
          </cell>
          <cell r="AM81">
            <v>63</v>
          </cell>
          <cell r="AN81">
            <v>87</v>
          </cell>
          <cell r="AP81">
            <v>46</v>
          </cell>
          <cell r="AT81">
            <v>98</v>
          </cell>
          <cell r="AW81">
            <v>3</v>
          </cell>
          <cell r="AY81">
            <v>144</v>
          </cell>
          <cell r="AZ81">
            <v>70</v>
          </cell>
          <cell r="BB81">
            <v>126</v>
          </cell>
          <cell r="BG81">
            <v>8</v>
          </cell>
          <cell r="BH81">
            <v>12</v>
          </cell>
          <cell r="BI81">
            <v>67</v>
          </cell>
          <cell r="BJ81">
            <v>109</v>
          </cell>
          <cell r="BL81">
            <v>59</v>
          </cell>
          <cell r="BO81">
            <v>113</v>
          </cell>
          <cell r="BR81">
            <v>10</v>
          </cell>
          <cell r="BS81">
            <v>14</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8">
          <cell r="I8">
            <v>11621712.58</v>
          </cell>
          <cell r="J8">
            <v>1064079.7399999998</v>
          </cell>
          <cell r="K8">
            <v>13631005.370000001</v>
          </cell>
          <cell r="M8">
            <v>9685238.2899999991</v>
          </cell>
          <cell r="N8">
            <v>17539019.809999999</v>
          </cell>
          <cell r="O8">
            <v>16658607.539999997</v>
          </cell>
          <cell r="P8">
            <v>9308936.4199999981</v>
          </cell>
          <cell r="Q8">
            <v>2176402.8399999994</v>
          </cell>
          <cell r="R8">
            <v>735273.37</v>
          </cell>
          <cell r="S8">
            <v>4888198.5899999989</v>
          </cell>
          <cell r="T8">
            <v>602880.82000000007</v>
          </cell>
          <cell r="U8">
            <v>2512511.3600000003</v>
          </cell>
          <cell r="V8">
            <v>60562293.410000004</v>
          </cell>
          <cell r="W8">
            <v>9372230.0299999993</v>
          </cell>
          <cell r="X8">
            <v>24226655.849999998</v>
          </cell>
          <cell r="Y8">
            <v>6058023.2599999998</v>
          </cell>
          <cell r="Z8">
            <v>1459268.6189999999</v>
          </cell>
          <cell r="AA8">
            <v>6535075.5533999978</v>
          </cell>
          <cell r="AB8">
            <v>5538913.7599999998</v>
          </cell>
          <cell r="AC8">
            <v>1673934</v>
          </cell>
          <cell r="AD8">
            <v>14059731.199999999</v>
          </cell>
          <cell r="AE8">
            <v>3318208.3700000006</v>
          </cell>
          <cell r="AF8">
            <v>14197517.030000003</v>
          </cell>
          <cell r="AH8">
            <v>6128245.2800000003</v>
          </cell>
          <cell r="AI8">
            <v>1052200.6400000001</v>
          </cell>
          <cell r="AJ8">
            <v>60084978.629999995</v>
          </cell>
          <cell r="AK8">
            <v>514942.20999999996</v>
          </cell>
          <cell r="AL8">
            <v>956642.97</v>
          </cell>
          <cell r="AM8">
            <v>30304363.84</v>
          </cell>
          <cell r="AN8">
            <v>544519280.41999984</v>
          </cell>
          <cell r="AO8">
            <v>77473478.329000011</v>
          </cell>
          <cell r="AP8">
            <v>5712209.3399999999</v>
          </cell>
          <cell r="AQ8">
            <v>1999114</v>
          </cell>
          <cell r="AR8">
            <v>6596789</v>
          </cell>
          <cell r="AS8">
            <v>15268931.720000001</v>
          </cell>
          <cell r="AT8">
            <v>2257872.29</v>
          </cell>
          <cell r="AU8">
            <v>5084703.1100000003</v>
          </cell>
          <cell r="AV8">
            <v>34906074.07</v>
          </cell>
          <cell r="AW8">
            <v>2508991.0500000003</v>
          </cell>
          <cell r="AX8">
            <v>9598087</v>
          </cell>
          <cell r="AY8">
            <v>7692179.21</v>
          </cell>
          <cell r="AZ8">
            <v>16422964.600000001</v>
          </cell>
          <cell r="BA8">
            <v>2393370.98</v>
          </cell>
          <cell r="BC8">
            <v>6303292.6299999999</v>
          </cell>
          <cell r="BD8">
            <v>2473361.8800000004</v>
          </cell>
          <cell r="BE8">
            <v>17048726.920000002</v>
          </cell>
          <cell r="BF8">
            <v>3309330.76</v>
          </cell>
          <cell r="BG8">
            <v>4682094</v>
          </cell>
          <cell r="BH8">
            <v>11720224.76</v>
          </cell>
          <cell r="BI8">
            <v>2904015.1899999995</v>
          </cell>
          <cell r="BK8">
            <v>8836492.3599999975</v>
          </cell>
          <cell r="BL8">
            <v>86719085.359999999</v>
          </cell>
          <cell r="BM8">
            <v>10775065.450000001</v>
          </cell>
          <cell r="BN8">
            <v>1393600.56</v>
          </cell>
          <cell r="BO8">
            <v>2086630.0999999996</v>
          </cell>
          <cell r="BP8">
            <v>1510499.9200000002</v>
          </cell>
          <cell r="BQ8">
            <v>4219822.2600000007</v>
          </cell>
          <cell r="BR8">
            <v>15166728.839999998</v>
          </cell>
          <cell r="BS8">
            <v>2676347.2000000002</v>
          </cell>
          <cell r="BT8">
            <v>232383928.43999997</v>
          </cell>
          <cell r="BU8">
            <v>26930113.57</v>
          </cell>
          <cell r="BV8">
            <v>2992340.7</v>
          </cell>
          <cell r="BW8">
            <v>12139696.300000001</v>
          </cell>
          <cell r="BX8">
            <v>6568599.3899999997</v>
          </cell>
          <cell r="BY8">
            <v>1732024.9300000002</v>
          </cell>
          <cell r="BZ8">
            <v>1782044</v>
          </cell>
          <cell r="CA8">
            <v>5716494.71</v>
          </cell>
          <cell r="CB8">
            <v>11510496.859999999</v>
          </cell>
        </row>
        <row r="55">
          <cell r="M55">
            <v>39406</v>
          </cell>
          <cell r="O55">
            <v>64125</v>
          </cell>
          <cell r="U55">
            <v>11795</v>
          </cell>
          <cell r="W55">
            <v>40834</v>
          </cell>
          <cell r="Y55">
            <v>18641</v>
          </cell>
          <cell r="AM55">
            <v>158631</v>
          </cell>
          <cell r="AN55">
            <v>1307906</v>
          </cell>
          <cell r="AS55">
            <v>94059</v>
          </cell>
          <cell r="BE55">
            <v>68811</v>
          </cell>
          <cell r="BW55">
            <v>56231</v>
          </cell>
        </row>
        <row r="59">
          <cell r="O59">
            <v>334471</v>
          </cell>
        </row>
        <row r="73">
          <cell r="AX73">
            <v>2559</v>
          </cell>
          <cell r="BT73">
            <v>28605</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45">
          <cell r="H45">
            <v>1727</v>
          </cell>
        </row>
        <row r="47">
          <cell r="H47">
            <v>532</v>
          </cell>
          <cell r="AQ47">
            <v>1811</v>
          </cell>
          <cell r="BM47">
            <v>13044</v>
          </cell>
        </row>
      </sheetData>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8">
          <cell r="K8">
            <v>13155344.66</v>
          </cell>
          <cell r="L8">
            <v>3053613.39</v>
          </cell>
          <cell r="AU8">
            <v>5369253.2800000003</v>
          </cell>
        </row>
        <row r="55">
          <cell r="L55">
            <v>10058</v>
          </cell>
          <cell r="M55">
            <v>39128</v>
          </cell>
          <cell r="O55">
            <v>53108</v>
          </cell>
          <cell r="U55">
            <v>11705</v>
          </cell>
          <cell r="Y55">
            <v>18438</v>
          </cell>
          <cell r="AG55">
            <v>21415</v>
          </cell>
          <cell r="AM55">
            <v>154106</v>
          </cell>
          <cell r="AN55">
            <v>1257467</v>
          </cell>
          <cell r="AS55">
            <v>92405</v>
          </cell>
          <cell r="BE55">
            <v>67388</v>
          </cell>
          <cell r="BW55">
            <v>55417</v>
          </cell>
        </row>
        <row r="59">
          <cell r="L59">
            <v>57253</v>
          </cell>
          <cell r="N59">
            <v>340352</v>
          </cell>
          <cell r="Q59">
            <v>25540.82</v>
          </cell>
          <cell r="AN59">
            <v>6305684.9978430755</v>
          </cell>
        </row>
        <row r="73">
          <cell r="L73">
            <v>556</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ow r="32">
          <cell r="E32">
            <v>85</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ow r="8">
          <cell r="L8">
            <v>3605385.8200000003</v>
          </cell>
          <cell r="AU8">
            <v>5334464.93</v>
          </cell>
          <cell r="BB8">
            <v>7140804.2100000009</v>
          </cell>
        </row>
        <row r="55">
          <cell r="L55">
            <v>9971</v>
          </cell>
          <cell r="M55">
            <v>38790</v>
          </cell>
          <cell r="O55">
            <v>52686</v>
          </cell>
          <cell r="Y55">
            <v>18269</v>
          </cell>
          <cell r="AG55">
            <v>21331</v>
          </cell>
          <cell r="AN55">
            <v>1219670</v>
          </cell>
          <cell r="AS55">
            <v>91144</v>
          </cell>
          <cell r="AU55">
            <v>13264</v>
          </cell>
          <cell r="BB55">
            <v>19564</v>
          </cell>
          <cell r="BE55">
            <v>66531</v>
          </cell>
          <cell r="BW55">
            <v>54675</v>
          </cell>
        </row>
        <row r="59">
          <cell r="L59">
            <v>56197</v>
          </cell>
          <cell r="AN59">
            <v>5908454.3687728196</v>
          </cell>
          <cell r="AU59">
            <v>62606</v>
          </cell>
          <cell r="BB59">
            <v>68652</v>
          </cell>
          <cell r="BR59">
            <v>180090</v>
          </cell>
        </row>
        <row r="73">
          <cell r="L73">
            <v>554</v>
          </cell>
          <cell r="AN73">
            <v>119392</v>
          </cell>
          <cell r="AU73">
            <v>375</v>
          </cell>
          <cell r="BB73">
            <v>793</v>
          </cell>
        </row>
      </sheetData>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ow r="44">
          <cell r="E44">
            <v>85</v>
          </cell>
          <cell r="AG44">
            <v>8660</v>
          </cell>
          <cell r="AN44">
            <v>88</v>
          </cell>
          <cell r="AU44">
            <v>130</v>
          </cell>
        </row>
      </sheetData>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8">
          <cell r="L8">
            <v>3899113.0499999993</v>
          </cell>
          <cell r="W8">
            <v>8926221.6799999997</v>
          </cell>
          <cell r="AN8">
            <v>561763829.69000006</v>
          </cell>
          <cell r="BB8">
            <v>5932696.370000001</v>
          </cell>
          <cell r="BR8">
            <v>12965009.029999997</v>
          </cell>
        </row>
        <row r="55">
          <cell r="L55">
            <v>9858</v>
          </cell>
          <cell r="AN55">
            <v>1220476</v>
          </cell>
          <cell r="BB55">
            <v>19342</v>
          </cell>
        </row>
        <row r="59">
          <cell r="L59">
            <v>60448</v>
          </cell>
          <cell r="AN59">
            <v>5657333.7621250357</v>
          </cell>
          <cell r="BB59">
            <v>77138</v>
          </cell>
        </row>
        <row r="73">
          <cell r="L73">
            <v>517</v>
          </cell>
          <cell r="AN73">
            <v>119516</v>
          </cell>
          <cell r="BB73">
            <v>788</v>
          </cell>
        </row>
      </sheetData>
      <sheetData sheetId="110">
        <row r="40">
          <cell r="F40">
            <v>2977851.7199999997</v>
          </cell>
          <cell r="L40">
            <v>9149</v>
          </cell>
          <cell r="P40">
            <v>46125</v>
          </cell>
          <cell r="R40">
            <v>432</v>
          </cell>
          <cell r="T40">
            <v>6.25E-2</v>
          </cell>
        </row>
        <row r="41">
          <cell r="F41">
            <v>3267333.3499999996</v>
          </cell>
          <cell r="L41">
            <v>9284</v>
          </cell>
          <cell r="P41">
            <v>46817</v>
          </cell>
          <cell r="R41">
            <v>321</v>
          </cell>
          <cell r="T41">
            <v>0.11838006230529595</v>
          </cell>
        </row>
        <row r="42">
          <cell r="F42">
            <v>1466877.4800000002</v>
          </cell>
          <cell r="L42">
            <v>9339</v>
          </cell>
          <cell r="P42">
            <v>46817</v>
          </cell>
          <cell r="R42">
            <v>290</v>
          </cell>
          <cell r="T42">
            <v>0.1310344827586207</v>
          </cell>
        </row>
        <row r="43">
          <cell r="F43">
            <v>3364521.5700000003</v>
          </cell>
          <cell r="L43">
            <v>9456</v>
          </cell>
          <cell r="P43">
            <v>46817</v>
          </cell>
          <cell r="R43">
            <v>320</v>
          </cell>
          <cell r="T43">
            <v>0.11874999999999999</v>
          </cell>
        </row>
        <row r="44">
          <cell r="F44">
            <v>4410218.62</v>
          </cell>
          <cell r="L44">
            <v>9563</v>
          </cell>
          <cell r="P44">
            <v>46817</v>
          </cell>
          <cell r="R44">
            <v>320</v>
          </cell>
          <cell r="T44">
            <v>0.11874999999999999</v>
          </cell>
        </row>
        <row r="45">
          <cell r="F45">
            <v>4195114.4800000004</v>
          </cell>
          <cell r="L45">
            <v>9667</v>
          </cell>
          <cell r="P45">
            <v>46817</v>
          </cell>
          <cell r="R45">
            <v>320</v>
          </cell>
          <cell r="T45">
            <v>0.11874999999999999</v>
          </cell>
        </row>
        <row r="46">
          <cell r="F46">
            <v>4777036.38</v>
          </cell>
          <cell r="L46">
            <v>9741</v>
          </cell>
          <cell r="P46">
            <v>57677</v>
          </cell>
          <cell r="R46">
            <v>332</v>
          </cell>
          <cell r="T46">
            <v>0.12650602409638553</v>
          </cell>
        </row>
        <row r="47">
          <cell r="F47">
            <v>4034569.8598999996</v>
          </cell>
          <cell r="L47">
            <v>9783</v>
          </cell>
          <cell r="P47">
            <v>57677</v>
          </cell>
          <cell r="R47">
            <v>493</v>
          </cell>
          <cell r="T47">
            <v>0.15415821501014199</v>
          </cell>
        </row>
        <row r="359">
          <cell r="F359">
            <v>329243826.68000001</v>
          </cell>
          <cell r="L359">
            <v>1152927</v>
          </cell>
          <cell r="P359">
            <v>4407238</v>
          </cell>
          <cell r="R359">
            <v>119650</v>
          </cell>
          <cell r="T359">
            <v>3.5269536147095694E-2</v>
          </cell>
        </row>
        <row r="360">
          <cell r="F360">
            <v>371996261.61000001</v>
          </cell>
          <cell r="L360">
            <v>1164887</v>
          </cell>
          <cell r="P360">
            <v>4163173</v>
          </cell>
          <cell r="R360">
            <v>119879</v>
          </cell>
          <cell r="T360">
            <v>3.5285579626123005E-2</v>
          </cell>
        </row>
        <row r="361">
          <cell r="F361">
            <v>454177447.30000001</v>
          </cell>
          <cell r="L361">
            <v>1173360</v>
          </cell>
          <cell r="P361">
            <v>4146927</v>
          </cell>
          <cell r="R361">
            <v>120231</v>
          </cell>
          <cell r="T361">
            <v>3.5273764669677535E-2</v>
          </cell>
        </row>
        <row r="362">
          <cell r="F362">
            <v>446088021.48000002</v>
          </cell>
          <cell r="L362">
            <v>1187253</v>
          </cell>
          <cell r="P362">
            <v>3867055</v>
          </cell>
          <cell r="R362">
            <v>120516</v>
          </cell>
          <cell r="T362">
            <v>3.527332470377377E-2</v>
          </cell>
        </row>
        <row r="363">
          <cell r="F363">
            <v>482799623.98389995</v>
          </cell>
          <cell r="L363">
            <v>1193767</v>
          </cell>
          <cell r="P363">
            <v>4143339</v>
          </cell>
          <cell r="R363">
            <v>120750</v>
          </cell>
          <cell r="T363">
            <v>3.5271221532091099E-2</v>
          </cell>
        </row>
        <row r="364">
          <cell r="F364">
            <v>519892967.51999998</v>
          </cell>
          <cell r="L364">
            <v>1203030</v>
          </cell>
          <cell r="P364">
            <v>4180551</v>
          </cell>
          <cell r="R364">
            <v>120921</v>
          </cell>
          <cell r="T364">
            <v>3.527096203306291E-2</v>
          </cell>
        </row>
        <row r="365">
          <cell r="F365">
            <v>522934642.77000004</v>
          </cell>
          <cell r="L365">
            <v>1211071</v>
          </cell>
          <cell r="P365">
            <v>3923771</v>
          </cell>
          <cell r="R365">
            <v>117385</v>
          </cell>
          <cell r="T365">
            <v>6.7180644886484647E-2</v>
          </cell>
        </row>
        <row r="366">
          <cell r="F366">
            <v>509039133.18000001</v>
          </cell>
          <cell r="L366">
            <v>1221411</v>
          </cell>
          <cell r="P366">
            <v>3716700</v>
          </cell>
          <cell r="R366">
            <v>118340</v>
          </cell>
          <cell r="T366">
            <v>6.8505999661990877E-2</v>
          </cell>
        </row>
        <row r="524">
          <cell r="F524">
            <v>3651125.03</v>
          </cell>
          <cell r="L524">
            <v>18171</v>
          </cell>
          <cell r="P524">
            <v>73575</v>
          </cell>
          <cell r="R524">
            <v>771</v>
          </cell>
          <cell r="T524">
            <v>0.10116731517509728</v>
          </cell>
        </row>
        <row r="525">
          <cell r="F525">
            <v>3957087.72</v>
          </cell>
          <cell r="L525">
            <v>18384</v>
          </cell>
          <cell r="P525">
            <v>75689</v>
          </cell>
          <cell r="R525">
            <v>653</v>
          </cell>
          <cell r="T525">
            <v>0.1225114854517611</v>
          </cell>
        </row>
        <row r="526">
          <cell r="F526">
            <v>4733896.5999999996</v>
          </cell>
          <cell r="L526">
            <v>18641</v>
          </cell>
          <cell r="P526">
            <v>77718</v>
          </cell>
          <cell r="R526">
            <v>655</v>
          </cell>
          <cell r="T526">
            <v>0.1251908396946565</v>
          </cell>
        </row>
        <row r="527">
          <cell r="F527">
            <v>5327426.6499999985</v>
          </cell>
          <cell r="L527">
            <v>18806</v>
          </cell>
          <cell r="P527">
            <v>75381</v>
          </cell>
          <cell r="R527">
            <v>691</v>
          </cell>
          <cell r="T527">
            <v>0.12156295224312591</v>
          </cell>
        </row>
        <row r="528">
          <cell r="F528">
            <v>4369672.34</v>
          </cell>
          <cell r="L528">
            <v>18893</v>
          </cell>
          <cell r="P528">
            <v>92162</v>
          </cell>
          <cell r="R528">
            <v>765</v>
          </cell>
          <cell r="T528">
            <v>0.14117647058823529</v>
          </cell>
        </row>
        <row r="529">
          <cell r="F529">
            <v>4649652.49</v>
          </cell>
          <cell r="L529">
            <v>18940</v>
          </cell>
          <cell r="P529">
            <v>87941</v>
          </cell>
          <cell r="R529">
            <v>768</v>
          </cell>
          <cell r="T529">
            <v>0.140625</v>
          </cell>
        </row>
        <row r="530">
          <cell r="F530">
            <v>4646785.1900000004</v>
          </cell>
          <cell r="L530">
            <v>19032</v>
          </cell>
          <cell r="P530">
            <v>80766</v>
          </cell>
          <cell r="R530">
            <v>770</v>
          </cell>
          <cell r="T530">
            <v>0.14805194805194805</v>
          </cell>
        </row>
        <row r="531">
          <cell r="F531">
            <v>5957976.0117999995</v>
          </cell>
          <cell r="L531">
            <v>19075</v>
          </cell>
          <cell r="P531">
            <v>86338</v>
          </cell>
          <cell r="R531">
            <v>779</v>
          </cell>
          <cell r="T531">
            <v>0.14890885750962773</v>
          </cell>
        </row>
      </sheetData>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
      <sheetName val="ToC "/>
      <sheetName val="Notes"/>
      <sheetName val="Snapshot"/>
      <sheetName val="Industry BS"/>
      <sheetName val="Industry IS"/>
      <sheetName val="Industry Gen"/>
      <sheetName val="BS"/>
      <sheetName val="IS"/>
      <sheetName val="Ratios"/>
      <sheetName val="General"/>
      <sheetName val="Unitized"/>
      <sheetName val="Stats by Class"/>
      <sheetName val="SQR"/>
      <sheetName val="System Reliability"/>
      <sheetName val="Glossary"/>
    </sheetNames>
    <sheetDataSet>
      <sheetData sheetId="0"/>
      <sheetData sheetId="1"/>
      <sheetData sheetId="2"/>
      <sheetData sheetId="3"/>
      <sheetData sheetId="4"/>
      <sheetData sheetId="5"/>
      <sheetData sheetId="6"/>
      <sheetData sheetId="7"/>
      <sheetData sheetId="8">
        <row r="13">
          <cell r="B13">
            <v>55776104.910000004</v>
          </cell>
        </row>
      </sheetData>
      <sheetData sheetId="9"/>
      <sheetData sheetId="10">
        <row r="9">
          <cell r="B9">
            <v>982022</v>
          </cell>
          <cell r="E9">
            <v>36585</v>
          </cell>
          <cell r="G9">
            <v>67122</v>
          </cell>
          <cell r="P9">
            <v>88422</v>
          </cell>
          <cell r="S9">
            <v>29756</v>
          </cell>
          <cell r="T9">
            <v>21108</v>
          </cell>
          <cell r="V9">
            <v>47427</v>
          </cell>
          <cell r="X9">
            <v>55239</v>
          </cell>
          <cell r="Y9">
            <v>22195</v>
          </cell>
          <cell r="AD9">
            <v>331777</v>
          </cell>
          <cell r="AG9">
            <v>27582</v>
          </cell>
          <cell r="AK9">
            <v>157188</v>
          </cell>
          <cell r="AM9">
            <v>37895</v>
          </cell>
          <cell r="AN9">
            <v>35712</v>
          </cell>
          <cell r="AO9">
            <v>54919</v>
          </cell>
          <cell r="AQ9">
            <v>24117</v>
          </cell>
          <cell r="AV9">
            <v>57584</v>
          </cell>
          <cell r="AX9">
            <v>37349</v>
          </cell>
          <cell r="AY9">
            <v>33579</v>
          </cell>
          <cell r="BD9">
            <v>50844</v>
          </cell>
          <cell r="BF9">
            <v>767946</v>
          </cell>
          <cell r="BG9">
            <v>120457</v>
          </cell>
          <cell r="BJ9">
            <v>23048</v>
          </cell>
          <cell r="BM9">
            <v>23373</v>
          </cell>
          <cell r="BN9">
            <v>42498</v>
          </cell>
        </row>
        <row r="16">
          <cell r="B16">
            <v>13167</v>
          </cell>
          <cell r="E16">
            <v>209</v>
          </cell>
          <cell r="F16">
            <v>238</v>
          </cell>
          <cell r="G16">
            <v>679</v>
          </cell>
          <cell r="H16">
            <v>85</v>
          </cell>
          <cell r="O16">
            <v>291</v>
          </cell>
          <cell r="P16">
            <v>2074</v>
          </cell>
          <cell r="S16">
            <v>265</v>
          </cell>
          <cell r="T16">
            <v>97</v>
          </cell>
          <cell r="V16">
            <v>251</v>
          </cell>
          <cell r="X16">
            <v>716</v>
          </cell>
          <cell r="Y16">
            <v>724</v>
          </cell>
          <cell r="AC16">
            <v>9365</v>
          </cell>
          <cell r="AD16">
            <v>2980</v>
          </cell>
          <cell r="AG16">
            <v>108</v>
          </cell>
          <cell r="AH16">
            <v>950</v>
          </cell>
          <cell r="AK16">
            <v>1518</v>
          </cell>
          <cell r="AM16">
            <v>1866</v>
          </cell>
          <cell r="AN16">
            <v>496</v>
          </cell>
          <cell r="AO16">
            <v>557</v>
          </cell>
          <cell r="AQ16">
            <v>79</v>
          </cell>
          <cell r="AS16">
            <v>1421</v>
          </cell>
          <cell r="AV16">
            <v>460</v>
          </cell>
          <cell r="AX16">
            <v>187</v>
          </cell>
          <cell r="AY16">
            <v>123</v>
          </cell>
          <cell r="BD16">
            <v>254</v>
          </cell>
          <cell r="BF16">
            <v>13220</v>
          </cell>
          <cell r="BG16">
            <v>1168</v>
          </cell>
          <cell r="BI16">
            <v>566</v>
          </cell>
          <cell r="BJ16">
            <v>142</v>
          </cell>
          <cell r="BM16">
            <v>157</v>
          </cell>
          <cell r="BN16">
            <v>599</v>
          </cell>
        </row>
        <row r="17">
          <cell r="B17">
            <v>19779</v>
          </cell>
          <cell r="E17">
            <v>775</v>
          </cell>
          <cell r="F17">
            <v>507</v>
          </cell>
          <cell r="G17">
            <v>1534</v>
          </cell>
          <cell r="H17">
            <v>1027</v>
          </cell>
          <cell r="O17">
            <v>988</v>
          </cell>
          <cell r="P17">
            <v>4777</v>
          </cell>
          <cell r="S17">
            <v>455</v>
          </cell>
          <cell r="T17">
            <v>262</v>
          </cell>
          <cell r="V17">
            <v>1005</v>
          </cell>
          <cell r="X17">
            <v>1143</v>
          </cell>
          <cell r="Y17">
            <v>1645</v>
          </cell>
          <cell r="AC17">
            <v>123119</v>
          </cell>
          <cell r="AD17">
            <v>5712</v>
          </cell>
          <cell r="AG17">
            <v>334</v>
          </cell>
          <cell r="AH17">
            <v>1968</v>
          </cell>
          <cell r="AK17">
            <v>2884</v>
          </cell>
          <cell r="AM17">
            <v>2615</v>
          </cell>
          <cell r="AN17">
            <v>855</v>
          </cell>
          <cell r="AO17">
            <v>2005</v>
          </cell>
          <cell r="AQ17">
            <v>574</v>
          </cell>
          <cell r="AS17">
            <v>1912</v>
          </cell>
          <cell r="AV17">
            <v>980</v>
          </cell>
          <cell r="AX17">
            <v>571</v>
          </cell>
          <cell r="AY17">
            <v>740</v>
          </cell>
          <cell r="BD17">
            <v>1159</v>
          </cell>
          <cell r="BF17">
            <v>28763</v>
          </cell>
          <cell r="BG17">
            <v>2634</v>
          </cell>
          <cell r="BI17">
            <v>1646</v>
          </cell>
          <cell r="BJ17">
            <v>479</v>
          </cell>
          <cell r="BM17">
            <v>541</v>
          </cell>
          <cell r="BN17">
            <v>1104</v>
          </cell>
        </row>
        <row r="19">
          <cell r="V19">
            <v>163611</v>
          </cell>
          <cell r="AC19">
            <v>5361992</v>
          </cell>
          <cell r="AG19">
            <v>117931</v>
          </cell>
          <cell r="AQ19">
            <v>93113</v>
          </cell>
          <cell r="AY19">
            <v>125683</v>
          </cell>
          <cell r="BD19">
            <v>154390</v>
          </cell>
          <cell r="BM19">
            <v>74293</v>
          </cell>
        </row>
        <row r="20">
          <cell r="B20">
            <v>4721254</v>
          </cell>
          <cell r="E20">
            <v>154393</v>
          </cell>
          <cell r="F20">
            <v>172881</v>
          </cell>
          <cell r="G20">
            <v>321211</v>
          </cell>
          <cell r="H20">
            <v>88875</v>
          </cell>
          <cell r="O20">
            <v>173916</v>
          </cell>
          <cell r="P20">
            <v>464200</v>
          </cell>
          <cell r="S20">
            <v>109252</v>
          </cell>
          <cell r="T20">
            <v>104450</v>
          </cell>
          <cell r="X20">
            <v>277330</v>
          </cell>
          <cell r="Y20">
            <v>95399</v>
          </cell>
          <cell r="AD20">
            <v>1360318</v>
          </cell>
          <cell r="AK20">
            <v>633604</v>
          </cell>
          <cell r="AM20">
            <v>162865</v>
          </cell>
          <cell r="AN20">
            <v>132749</v>
          </cell>
          <cell r="AO20">
            <v>234890</v>
          </cell>
          <cell r="AS20">
            <v>312509</v>
          </cell>
          <cell r="AV20">
            <v>208627</v>
          </cell>
          <cell r="AX20">
            <v>126759</v>
          </cell>
          <cell r="BF20">
            <v>4246688</v>
          </cell>
          <cell r="BG20">
            <v>450688</v>
          </cell>
          <cell r="BI20">
            <v>270341</v>
          </cell>
          <cell r="BJ20">
            <v>73021</v>
          </cell>
          <cell r="BN20">
            <v>175818</v>
          </cell>
        </row>
      </sheetData>
      <sheetData sheetId="11">
        <row r="10">
          <cell r="B10">
            <v>25245229407</v>
          </cell>
        </row>
      </sheetData>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2018"/>
      <sheetName val="2018 Benchmarking Calculations"/>
      <sheetName val="Scorecard Data 2018"/>
      <sheetName val="Validation 2018"/>
      <sheetName val="Forecasting 2018"/>
      <sheetName val="Table 1 2018"/>
      <sheetName val="Table 2 2018"/>
      <sheetName val="Table 3a 2018"/>
      <sheetName val="Table 3b 2018"/>
      <sheetName val="Table 4 2018"/>
      <sheetName val="Table 5 2018"/>
      <sheetName val="Amalgamations 2018"/>
      <sheetName val="Backcast of 2018 Mergers"/>
      <sheetName val="2018 Alectra Merger"/>
      <sheetName val="2018 Customers"/>
      <sheetName val="2018 Metered kWh"/>
      <sheetName val="2018 Metered kW"/>
      <sheetName val="2018 Distr Rev"/>
      <sheetName val="2018 Utility Characteristics"/>
      <sheetName val="2018 Capital Data"/>
      <sheetName val="2018 Trial Balance"/>
      <sheetName val="2018 LV Charges"/>
      <sheetName val="2018 List of LDCs"/>
      <sheetName val="2018 revisions to 2016 data"/>
      <sheetName val="2018 Revisions to 2017 Data"/>
      <sheetName val="end of 2018 worksheets"/>
      <sheetName val="GDP IPI FDD"/>
      <sheetName val="AWE"/>
      <sheetName val="Electricity Cost of Capital"/>
      <sheetName val="Table of Contents 2017"/>
      <sheetName val="2017 Benchmarking Calculations"/>
      <sheetName val="Validation 2017"/>
      <sheetName val="Validation 2017 (HON)"/>
      <sheetName val="Validation 2017 (Energy+)"/>
      <sheetName val="Validation 2017 (Alectra)"/>
      <sheetName val="Forecasting 2017"/>
      <sheetName val="place hold"/>
      <sheetName val="2017 Alectra Merger"/>
      <sheetName val="Scorecard Data 2017"/>
      <sheetName val="Table 1 2017"/>
      <sheetName val="Table 2 2017"/>
      <sheetName val="Table 3a 2017"/>
      <sheetName val="Table 3b 2017"/>
      <sheetName val="Table 4 2017"/>
      <sheetName val="Table 5 2017"/>
      <sheetName val="2017 LV Charges"/>
      <sheetName val="2017 Customers"/>
      <sheetName val="2017 Metered kWh"/>
      <sheetName val="2017 Metered kW"/>
      <sheetName val="2017 Distr Rev"/>
      <sheetName val="2017 Utility Characteristics"/>
      <sheetName val="2017 Capital Data"/>
      <sheetName val="2017 Trial Balance"/>
      <sheetName val="2017 List of LDCs"/>
      <sheetName val="2017 LDC Revisions"/>
      <sheetName val="end of 2017 worksheets"/>
      <sheetName val="Table of Contents 2016"/>
      <sheetName val="2016 Benchmarking Calculations"/>
      <sheetName val="Validation 2016"/>
      <sheetName val="Validation 2016 (Energy Plus)"/>
      <sheetName val="Validation 2016 (HON)"/>
      <sheetName val="Forecasting 2016"/>
      <sheetName val="Merger Calculations"/>
      <sheetName val="Scorecard Data 2016"/>
      <sheetName val="Table 1 2016"/>
      <sheetName val="Table 2 2016"/>
      <sheetName val="Table 3a 2016"/>
      <sheetName val="Table 3b 2016"/>
      <sheetName val="Table 4 2016"/>
      <sheetName val="Table 5 2016"/>
      <sheetName val="2016 Customers"/>
      <sheetName val="2016 Metered kWh"/>
      <sheetName val="2016 Metered kW"/>
      <sheetName val="2016 Distr Rev"/>
      <sheetName val="2016 Utility Characteristics"/>
      <sheetName val="2016 Capital Data"/>
      <sheetName val="2016 Trial Balance"/>
      <sheetName val="2016 LV Charges"/>
      <sheetName val="2016 LDC Revisions"/>
      <sheetName val="end of 2016 worksheets"/>
      <sheetName val="Table of Contents 2015"/>
      <sheetName val="2015 Benchmarking Calculations"/>
      <sheetName val="Forecasting 2015"/>
      <sheetName val="Validation 2015"/>
      <sheetName val="Scorecard Data 2015"/>
      <sheetName val="Table 1 2015"/>
      <sheetName val="Table 2 2015"/>
      <sheetName val="Table 3a 2015"/>
      <sheetName val="Table 3b 2015"/>
      <sheetName val="Table 4 2015"/>
      <sheetName val="Table 5 2015"/>
      <sheetName val="HON-Norfolk Merger"/>
      <sheetName val="2015 Customers"/>
      <sheetName val="2015 Metered kWh"/>
      <sheetName val="2015 Metered kW"/>
      <sheetName val="2015 Distr Rev"/>
      <sheetName val="2015 Utility Characteristics"/>
      <sheetName val="2015 Capital"/>
      <sheetName val="2015 Trial Balance"/>
      <sheetName val="2015 LV Charges"/>
      <sheetName val="2015 LDC Revisions"/>
      <sheetName val="end of 2015 worksheets"/>
      <sheetName val="Table of Contents 2014"/>
      <sheetName val="2014 Benchmarking Calculations"/>
      <sheetName val="Validation 2014"/>
      <sheetName val="Forecasting 2014"/>
      <sheetName val="Table 1 2014"/>
      <sheetName val="Table 2 2014"/>
      <sheetName val="Table 3a 2014"/>
      <sheetName val="Table 3b 2014"/>
      <sheetName val="Table 4 2014"/>
      <sheetName val="Table 5 2014"/>
      <sheetName val="Scorecard Data 2014"/>
      <sheetName val="2014 Customers"/>
      <sheetName val="2014 kWh"/>
      <sheetName val="2014 217 Trial Balance"/>
      <sheetName val="2014 PBR Data"/>
      <sheetName val="2014 Capital"/>
      <sheetName val="Smart Meter DR 2014"/>
      <sheetName val="Smart Meter DR 2013"/>
      <sheetName val="2014 LV Charges"/>
      <sheetName val="Revisions-Jul 2014 to Jun 2015"/>
      <sheetName val="Lakeland Merger"/>
      <sheetName val="2014 215 Metered kW"/>
      <sheetName val="2014 215 Distr Rev"/>
      <sheetName val="end of 2014 worksheets"/>
      <sheetName val="Table of Contents 2013"/>
      <sheetName val="2013 Benchmarking Calculations"/>
      <sheetName val="Validation"/>
      <sheetName val="Forecasting"/>
      <sheetName val="Assumptions for Forecasting"/>
      <sheetName val="Generic LDC Worksheet"/>
      <sheetName val="2. BM Database"/>
      <sheetName val="2.1.2 Total Customer Numbers"/>
      <sheetName val="2013 PBR data "/>
      <sheetName val="2.1.7 Roll Up "/>
      <sheetName val="HV Charges"/>
      <sheetName val="Acct 5014 5015 and 5112 "/>
      <sheetName val="LV charges"/>
      <sheetName val="LV Pivot"/>
      <sheetName val="HON LV Charges"/>
      <sheetName val="Additional 2013 Data 1"/>
      <sheetName val="Additional 2013 Data 2"/>
      <sheetName val="Additional 2013 Data 3"/>
      <sheetName val="Additional 2013 Data 4"/>
      <sheetName val="Additional 2013 Data 5"/>
      <sheetName val="Table 1"/>
      <sheetName val="Table 2"/>
      <sheetName val="Table 3"/>
      <sheetName val="Table 4"/>
      <sheetName val="Table 5"/>
      <sheetName val="scorecard data"/>
      <sheetName val="end of 2013 worksheets"/>
      <sheetName val="Overview of Worksheets"/>
      <sheetName val="EUCPI"/>
      <sheetName val="end of updated worksheets"/>
      <sheetName val="2012 BM Database"/>
      <sheetName val="6. Capital Calculations for BM"/>
      <sheetName val="end of IRM-worksheets"/>
    </sheetNames>
    <sheetDataSet>
      <sheetData sheetId="0" refreshError="1"/>
      <sheetData sheetId="1">
        <row r="10">
          <cell r="I10">
            <v>226830297.59</v>
          </cell>
          <cell r="J10">
            <v>11930620.43</v>
          </cell>
          <cell r="K10">
            <v>1087097.3199999998</v>
          </cell>
          <cell r="L10">
            <v>13754073.609999999</v>
          </cell>
          <cell r="N10">
            <v>9964564.8800000008</v>
          </cell>
          <cell r="O10">
            <v>18025935.079999998</v>
          </cell>
          <cell r="Q10">
            <v>10228807.91</v>
          </cell>
          <cell r="R10">
            <v>2464520.41</v>
          </cell>
          <cell r="S10">
            <v>744871.7</v>
          </cell>
          <cell r="T10">
            <v>4816102.1800000006</v>
          </cell>
          <cell r="U10">
            <v>689126.34</v>
          </cell>
          <cell r="V10">
            <v>2605463.25</v>
          </cell>
          <cell r="W10">
            <v>17677971.389999997</v>
          </cell>
          <cell r="Y10">
            <v>13576024.710000001</v>
          </cell>
          <cell r="Z10">
            <v>25555586.070000004</v>
          </cell>
          <cell r="AA10">
            <v>6208208.9000000004</v>
          </cell>
          <cell r="AB10">
            <v>1482629.1465</v>
          </cell>
          <cell r="AC10">
            <v>7545389.419999999</v>
          </cell>
          <cell r="AD10">
            <v>6168268.7400000002</v>
          </cell>
          <cell r="AE10">
            <v>1619179.03</v>
          </cell>
          <cell r="AF10">
            <v>14687808.559999999</v>
          </cell>
          <cell r="AG10">
            <v>3128102.9</v>
          </cell>
          <cell r="AH10">
            <v>16367154.310000001</v>
          </cell>
          <cell r="AJ10">
            <v>6069683.1300000008</v>
          </cell>
          <cell r="AK10">
            <v>1135359.26</v>
          </cell>
          <cell r="AM10">
            <v>546524.36</v>
          </cell>
          <cell r="AN10">
            <v>1120619.8799999999</v>
          </cell>
          <cell r="AP10">
            <v>535524471.84000003</v>
          </cell>
          <cell r="AQ10">
            <v>81806254.578999996</v>
          </cell>
          <cell r="AR10">
            <v>5758129.3800000008</v>
          </cell>
          <cell r="AS10">
            <v>2283520</v>
          </cell>
          <cell r="AT10">
            <v>7381155</v>
          </cell>
          <cell r="AU10">
            <v>17517341.32</v>
          </cell>
          <cell r="AV10">
            <v>2607881.9899999998</v>
          </cell>
          <cell r="AW10">
            <v>5311137.370000001</v>
          </cell>
          <cell r="AX10">
            <v>37400593.800000004</v>
          </cell>
          <cell r="AZ10">
            <v>9389991</v>
          </cell>
          <cell r="BA10">
            <v>11281976.810000001</v>
          </cell>
          <cell r="BB10">
            <v>17326921.759999998</v>
          </cell>
          <cell r="BC10">
            <v>2850813.35</v>
          </cell>
          <cell r="BE10">
            <v>6070898.4799999995</v>
          </cell>
          <cell r="BF10">
            <v>2651282.9250000003</v>
          </cell>
          <cell r="BG10">
            <v>17915297.000000004</v>
          </cell>
          <cell r="BH10">
            <v>3204308.2</v>
          </cell>
          <cell r="BI10">
            <v>4916240</v>
          </cell>
          <cell r="BJ10">
            <v>13100434</v>
          </cell>
          <cell r="BK10">
            <v>2855216.34</v>
          </cell>
          <cell r="BM10">
            <v>8748446.3099999987</v>
          </cell>
          <cell r="BO10">
            <v>10701654.550000001</v>
          </cell>
          <cell r="BP10">
            <v>1440446.43</v>
          </cell>
          <cell r="BQ10">
            <v>2184477.9300000002</v>
          </cell>
          <cell r="BR10">
            <v>1454263.28</v>
          </cell>
          <cell r="BT10">
            <v>15468787.529999999</v>
          </cell>
          <cell r="BU10">
            <v>2854683.3200000003</v>
          </cell>
          <cell r="BV10">
            <v>249021330.04999998</v>
          </cell>
          <cell r="BW10">
            <v>27491014.079999998</v>
          </cell>
          <cell r="BX10">
            <v>3166523.45</v>
          </cell>
          <cell r="BY10">
            <v>13837414.24</v>
          </cell>
          <cell r="BZ10">
            <v>6608043.9899999993</v>
          </cell>
          <cell r="CA10">
            <v>1702862.64</v>
          </cell>
          <cell r="CB10">
            <v>1687483</v>
          </cell>
          <cell r="CC10">
            <v>5431298.1599999983</v>
          </cell>
          <cell r="CD10">
            <v>11093576.670000002</v>
          </cell>
        </row>
        <row r="57">
          <cell r="I57">
            <v>991103</v>
          </cell>
          <cell r="J57">
            <v>11721</v>
          </cell>
          <cell r="K57">
            <v>1636</v>
          </cell>
          <cell r="L57">
            <v>36691</v>
          </cell>
          <cell r="N57">
            <v>39905</v>
          </cell>
          <cell r="O57">
            <v>67940</v>
          </cell>
          <cell r="Q57">
            <v>29246</v>
          </cell>
          <cell r="R57">
            <v>7022</v>
          </cell>
          <cell r="S57">
            <v>1208</v>
          </cell>
          <cell r="T57">
            <v>17408</v>
          </cell>
          <cell r="U57">
            <v>2305</v>
          </cell>
          <cell r="V57">
            <v>12412</v>
          </cell>
          <cell r="W57">
            <v>65404</v>
          </cell>
          <cell r="Y57">
            <v>59187</v>
          </cell>
          <cell r="Z57">
            <v>88978</v>
          </cell>
          <cell r="AA57">
            <v>19242</v>
          </cell>
          <cell r="AB57">
            <v>3303</v>
          </cell>
          <cell r="AC57">
            <v>30016</v>
          </cell>
          <cell r="AD57">
            <v>21369</v>
          </cell>
          <cell r="AE57">
            <v>3745</v>
          </cell>
          <cell r="AF57">
            <v>47626</v>
          </cell>
          <cell r="AG57">
            <v>11552</v>
          </cell>
          <cell r="AH57">
            <v>55673</v>
          </cell>
          <cell r="AJ57">
            <v>22442</v>
          </cell>
          <cell r="AK57">
            <v>2697</v>
          </cell>
          <cell r="AM57">
            <v>1262</v>
          </cell>
          <cell r="AN57">
            <v>5547</v>
          </cell>
          <cell r="AP57">
            <v>1333961</v>
          </cell>
          <cell r="AQ57">
            <v>335320</v>
          </cell>
          <cell r="AR57">
            <v>18163</v>
          </cell>
          <cell r="AS57">
            <v>5565</v>
          </cell>
          <cell r="AT57">
            <v>27658</v>
          </cell>
          <cell r="AU57">
            <v>96828</v>
          </cell>
          <cell r="AV57">
            <v>10450</v>
          </cell>
          <cell r="AW57">
            <v>13644</v>
          </cell>
          <cell r="AX57">
            <v>159039</v>
          </cell>
          <cell r="AZ57">
            <v>39579</v>
          </cell>
          <cell r="BA57">
            <v>43524</v>
          </cell>
          <cell r="BB57">
            <v>55593</v>
          </cell>
          <cell r="BC57">
            <v>9461</v>
          </cell>
          <cell r="BE57">
            <v>24172</v>
          </cell>
          <cell r="BF57">
            <v>5903</v>
          </cell>
          <cell r="BG57">
            <v>72109</v>
          </cell>
          <cell r="BH57">
            <v>12583</v>
          </cell>
          <cell r="BI57">
            <v>14091</v>
          </cell>
          <cell r="BJ57">
            <v>58745</v>
          </cell>
          <cell r="BK57">
            <v>11247</v>
          </cell>
          <cell r="BM57">
            <v>37139</v>
          </cell>
          <cell r="BO57">
            <v>33613</v>
          </cell>
          <cell r="BP57">
            <v>4312</v>
          </cell>
          <cell r="BQ57">
            <v>5909</v>
          </cell>
          <cell r="BR57">
            <v>2839</v>
          </cell>
          <cell r="BT57">
            <v>50950</v>
          </cell>
          <cell r="BU57">
            <v>7123</v>
          </cell>
          <cell r="BV57">
            <v>772624</v>
          </cell>
          <cell r="BW57">
            <v>121826</v>
          </cell>
          <cell r="BX57">
            <v>13789</v>
          </cell>
          <cell r="BY57">
            <v>57472</v>
          </cell>
          <cell r="BZ57">
            <v>23366</v>
          </cell>
          <cell r="CA57">
            <v>3805</v>
          </cell>
          <cell r="CB57">
            <v>3869</v>
          </cell>
          <cell r="CC57">
            <v>23547</v>
          </cell>
          <cell r="CD57">
            <v>42906</v>
          </cell>
        </row>
        <row r="61">
          <cell r="I61">
            <v>5106316</v>
          </cell>
          <cell r="J61">
            <v>44182</v>
          </cell>
          <cell r="K61">
            <v>6256</v>
          </cell>
          <cell r="L61">
            <v>161525</v>
          </cell>
          <cell r="N61">
            <v>186912</v>
          </cell>
          <cell r="O61">
            <v>351438</v>
          </cell>
          <cell r="Q61">
            <v>98015</v>
          </cell>
          <cell r="R61">
            <v>26524</v>
          </cell>
          <cell r="S61">
            <v>6354</v>
          </cell>
          <cell r="T61">
            <v>55379</v>
          </cell>
          <cell r="U61">
            <v>6858</v>
          </cell>
          <cell r="V61">
            <v>65612</v>
          </cell>
          <cell r="W61">
            <v>331153</v>
          </cell>
          <cell r="Y61">
            <v>231782</v>
          </cell>
          <cell r="Z61">
            <v>488900</v>
          </cell>
          <cell r="AA61">
            <v>82701</v>
          </cell>
          <cell r="AB61">
            <v>15504</v>
          </cell>
          <cell r="AC61">
            <v>126059</v>
          </cell>
          <cell r="AD61">
            <v>108689</v>
          </cell>
          <cell r="AE61">
            <v>15430</v>
          </cell>
          <cell r="AF61">
            <v>167806</v>
          </cell>
          <cell r="AG61">
            <v>55822</v>
          </cell>
          <cell r="AH61">
            <v>294370</v>
          </cell>
          <cell r="AJ61">
            <v>104730</v>
          </cell>
          <cell r="AK61">
            <v>16856</v>
          </cell>
          <cell r="AM61">
            <v>5467</v>
          </cell>
          <cell r="AN61">
            <v>28621</v>
          </cell>
          <cell r="AP61">
            <v>5812432</v>
          </cell>
          <cell r="AQ61">
            <v>1441369</v>
          </cell>
          <cell r="AR61">
            <v>58965</v>
          </cell>
          <cell r="AS61">
            <v>20702</v>
          </cell>
          <cell r="AT61">
            <v>126565</v>
          </cell>
          <cell r="AU61">
            <v>370688</v>
          </cell>
          <cell r="AV61">
            <v>45324</v>
          </cell>
          <cell r="AW61">
            <v>55713</v>
          </cell>
          <cell r="AX61">
            <v>689993</v>
          </cell>
          <cell r="AZ61">
            <v>180305</v>
          </cell>
          <cell r="BA61">
            <v>182453</v>
          </cell>
          <cell r="BB61">
            <v>254506</v>
          </cell>
          <cell r="BC61">
            <v>52067</v>
          </cell>
          <cell r="BE61">
            <v>97822</v>
          </cell>
          <cell r="BF61">
            <v>23485</v>
          </cell>
          <cell r="BG61">
            <v>364781</v>
          </cell>
          <cell r="BH61">
            <v>48441</v>
          </cell>
          <cell r="BI61">
            <v>58139</v>
          </cell>
          <cell r="BJ61">
            <v>232449</v>
          </cell>
          <cell r="BK61">
            <v>42344</v>
          </cell>
          <cell r="BM61">
            <v>148868</v>
          </cell>
          <cell r="BO61">
            <v>128538</v>
          </cell>
          <cell r="BP61">
            <v>15626</v>
          </cell>
          <cell r="BQ61">
            <v>20206</v>
          </cell>
          <cell r="BR61">
            <v>19081</v>
          </cell>
          <cell r="BT61">
            <v>163831</v>
          </cell>
          <cell r="BU61">
            <v>36175</v>
          </cell>
          <cell r="BV61">
            <v>4559532</v>
          </cell>
          <cell r="BW61">
            <v>503702</v>
          </cell>
          <cell r="BX61">
            <v>37410</v>
          </cell>
          <cell r="BY61">
            <v>290747</v>
          </cell>
          <cell r="BZ61">
            <v>79116</v>
          </cell>
          <cell r="CA61">
            <v>16660</v>
          </cell>
          <cell r="CB61">
            <v>27240</v>
          </cell>
          <cell r="CC61">
            <v>77362</v>
          </cell>
          <cell r="CD61">
            <v>192937</v>
          </cell>
        </row>
        <row r="67">
          <cell r="I67">
            <v>1.6007659445930671E-2</v>
          </cell>
        </row>
        <row r="68">
          <cell r="I68">
            <v>2.8783109434923061E-2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03">
          <cell r="C103">
            <v>19897</v>
          </cell>
          <cell r="D103">
            <v>1849</v>
          </cell>
          <cell r="E103">
            <v>92</v>
          </cell>
          <cell r="F103">
            <v>783</v>
          </cell>
          <cell r="H103">
            <v>510</v>
          </cell>
          <cell r="I103">
            <v>1535</v>
          </cell>
          <cell r="K103">
            <v>1038</v>
          </cell>
          <cell r="L103">
            <v>156</v>
          </cell>
          <cell r="M103">
            <v>30</v>
          </cell>
          <cell r="N103">
            <v>362</v>
          </cell>
          <cell r="O103">
            <v>36</v>
          </cell>
          <cell r="P103">
            <v>162</v>
          </cell>
          <cell r="Q103">
            <v>1510</v>
          </cell>
          <cell r="S103">
            <v>1243</v>
          </cell>
          <cell r="U103">
            <v>352</v>
          </cell>
          <cell r="V103">
            <v>141</v>
          </cell>
          <cell r="W103">
            <v>457</v>
          </cell>
          <cell r="X103">
            <v>261</v>
          </cell>
          <cell r="Y103">
            <v>81</v>
          </cell>
          <cell r="Z103">
            <v>1009</v>
          </cell>
          <cell r="AA103">
            <v>689</v>
          </cell>
          <cell r="AB103">
            <v>1152</v>
          </cell>
          <cell r="AD103">
            <v>1641</v>
          </cell>
          <cell r="AE103">
            <v>97</v>
          </cell>
          <cell r="AG103">
            <v>21</v>
          </cell>
          <cell r="AH103">
            <v>70</v>
          </cell>
          <cell r="AJ103">
            <v>123176</v>
          </cell>
          <cell r="AK103">
            <v>5767</v>
          </cell>
          <cell r="AL103">
            <v>879</v>
          </cell>
          <cell r="AM103">
            <v>98</v>
          </cell>
          <cell r="AN103">
            <v>334</v>
          </cell>
          <cell r="AO103">
            <v>1974</v>
          </cell>
          <cell r="AP103">
            <v>216</v>
          </cell>
          <cell r="AQ103">
            <v>354</v>
          </cell>
          <cell r="AR103">
            <v>3034</v>
          </cell>
          <cell r="AT103">
            <v>2651</v>
          </cell>
          <cell r="AU103">
            <v>1019</v>
          </cell>
          <cell r="AV103">
            <v>2024</v>
          </cell>
          <cell r="AW103">
            <v>368</v>
          </cell>
          <cell r="AY103">
            <v>575</v>
          </cell>
          <cell r="AZ103">
            <v>370</v>
          </cell>
          <cell r="BA103">
            <v>1914</v>
          </cell>
          <cell r="BB103">
            <v>222</v>
          </cell>
          <cell r="BC103">
            <v>243</v>
          </cell>
          <cell r="BD103">
            <v>985</v>
          </cell>
          <cell r="BE103">
            <v>490</v>
          </cell>
          <cell r="BG103">
            <v>573</v>
          </cell>
          <cell r="BI103">
            <v>740</v>
          </cell>
          <cell r="BJ103">
            <v>81</v>
          </cell>
          <cell r="BK103">
            <v>107</v>
          </cell>
          <cell r="BL103">
            <v>711</v>
          </cell>
          <cell r="BN103">
            <v>1154</v>
          </cell>
          <cell r="BO103">
            <v>136</v>
          </cell>
          <cell r="BP103">
            <v>28722</v>
          </cell>
          <cell r="BQ103">
            <v>2650</v>
          </cell>
          <cell r="BR103">
            <v>280</v>
          </cell>
          <cell r="BS103">
            <v>1652</v>
          </cell>
          <cell r="BT103">
            <v>481</v>
          </cell>
          <cell r="BU103">
            <v>79</v>
          </cell>
          <cell r="BV103">
            <v>61</v>
          </cell>
          <cell r="BW103">
            <v>545</v>
          </cell>
          <cell r="BX103">
            <v>1135</v>
          </cell>
        </row>
        <row r="105">
          <cell r="C105">
            <v>13321</v>
          </cell>
          <cell r="D105">
            <v>14</v>
          </cell>
          <cell r="E105">
            <v>2</v>
          </cell>
          <cell r="F105">
            <v>221</v>
          </cell>
          <cell r="H105">
            <v>240</v>
          </cell>
          <cell r="I105">
            <v>682</v>
          </cell>
          <cell r="K105">
            <v>92</v>
          </cell>
          <cell r="L105">
            <v>78</v>
          </cell>
          <cell r="M105">
            <v>2</v>
          </cell>
          <cell r="N105">
            <v>151</v>
          </cell>
          <cell r="O105">
            <v>18</v>
          </cell>
          <cell r="P105">
            <v>73</v>
          </cell>
          <cell r="Q105">
            <v>531</v>
          </cell>
          <cell r="S105">
            <v>408</v>
          </cell>
          <cell r="U105">
            <v>107</v>
          </cell>
          <cell r="V105">
            <v>11</v>
          </cell>
          <cell r="W105">
            <v>269</v>
          </cell>
          <cell r="X105">
            <v>95</v>
          </cell>
          <cell r="Y105">
            <v>10</v>
          </cell>
          <cell r="Z105">
            <v>253</v>
          </cell>
          <cell r="AA105">
            <v>332</v>
          </cell>
          <cell r="AB105">
            <v>726</v>
          </cell>
          <cell r="AD105">
            <v>729</v>
          </cell>
          <cell r="AE105">
            <v>16</v>
          </cell>
          <cell r="AG105">
            <v>3</v>
          </cell>
          <cell r="AH105">
            <v>13</v>
          </cell>
          <cell r="AJ105">
            <v>9558</v>
          </cell>
          <cell r="AK105">
            <v>3022</v>
          </cell>
          <cell r="AL105">
            <v>217</v>
          </cell>
          <cell r="AM105">
            <v>10</v>
          </cell>
          <cell r="AN105">
            <v>108</v>
          </cell>
          <cell r="AO105">
            <v>961</v>
          </cell>
          <cell r="AP105">
            <v>60</v>
          </cell>
          <cell r="AQ105">
            <v>88</v>
          </cell>
          <cell r="AR105">
            <v>1651</v>
          </cell>
          <cell r="AT105">
            <v>1915</v>
          </cell>
          <cell r="AU105">
            <v>551</v>
          </cell>
          <cell r="AV105">
            <v>573</v>
          </cell>
          <cell r="AW105">
            <v>132</v>
          </cell>
          <cell r="AY105">
            <v>80</v>
          </cell>
          <cell r="AZ105">
            <v>3</v>
          </cell>
          <cell r="BA105">
            <v>1425</v>
          </cell>
          <cell r="BB105">
            <v>145</v>
          </cell>
          <cell r="BC105">
            <v>71</v>
          </cell>
          <cell r="BD105">
            <v>462</v>
          </cell>
          <cell r="BE105">
            <v>126</v>
          </cell>
          <cell r="BG105">
            <v>188</v>
          </cell>
          <cell r="BI105">
            <v>122</v>
          </cell>
          <cell r="BJ105">
            <v>8</v>
          </cell>
          <cell r="BK105">
            <v>12</v>
          </cell>
          <cell r="BL105">
            <v>67</v>
          </cell>
          <cell r="BN105">
            <v>257</v>
          </cell>
          <cell r="BO105">
            <v>60</v>
          </cell>
          <cell r="BP105">
            <v>13207</v>
          </cell>
          <cell r="BQ105">
            <v>1214</v>
          </cell>
          <cell r="BR105">
            <v>115</v>
          </cell>
          <cell r="BS105">
            <v>576</v>
          </cell>
          <cell r="BT105">
            <v>147</v>
          </cell>
          <cell r="BU105">
            <v>10</v>
          </cell>
          <cell r="BV105">
            <v>14</v>
          </cell>
          <cell r="BW105">
            <v>159</v>
          </cell>
          <cell r="BX105">
            <v>622</v>
          </cell>
        </row>
      </sheetData>
      <sheetData sheetId="19" refreshError="1"/>
      <sheetData sheetId="20" refreshError="1"/>
      <sheetData sheetId="21" refreshError="1"/>
      <sheetData sheetId="22" refreshError="1"/>
      <sheetData sheetId="23" refreshError="1"/>
      <sheetData sheetId="24">
        <row r="7">
          <cell r="F7">
            <v>1237</v>
          </cell>
        </row>
        <row r="10">
          <cell r="F10">
            <v>11982</v>
          </cell>
        </row>
        <row r="13">
          <cell r="F13">
            <v>1320458</v>
          </cell>
        </row>
      </sheetData>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ow r="16">
          <cell r="AE16">
            <v>110080</v>
          </cell>
        </row>
      </sheetData>
      <sheetData sheetId="157" refreshError="1"/>
      <sheetData sheetId="15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2019 Benchmarking Calculations"/>
      <sheetName val="Validation 2019"/>
      <sheetName val="Scorecard Data 2019"/>
      <sheetName val="Forecasting 2019"/>
      <sheetName val="Table 1 2019"/>
      <sheetName val="Table 2 2019"/>
      <sheetName val="Table 3a 2019"/>
      <sheetName val="Table 3b 2019"/>
      <sheetName val="Table 4 2019"/>
      <sheetName val="Table 5 2019"/>
      <sheetName val="Amalgamations 2019"/>
      <sheetName val="Backcast of 2019 Mergers"/>
      <sheetName val="2019 Alectra Merger"/>
      <sheetName val="2019 Synergy North"/>
      <sheetName val="2019 Customers"/>
      <sheetName val="2019 Elexicon"/>
      <sheetName val="2019 Metered kWh"/>
      <sheetName val="2019 Metered kW"/>
      <sheetName val="2019 Distr Rev"/>
      <sheetName val="2019 Utility Characteristics"/>
      <sheetName val="2019 Capital Data"/>
      <sheetName val="2019 Trial Balance"/>
      <sheetName val="2019 LV Charges"/>
      <sheetName val="2019 ERTH"/>
      <sheetName val="2019 Revisions to 2018 Data"/>
      <sheetName val="2019 revisions to 2017 data"/>
      <sheetName val="2019 List of LDCs"/>
      <sheetName val="end of 2019 worksheets"/>
      <sheetName val="GDP IPI FDD"/>
      <sheetName val="AWE"/>
      <sheetName val="Electricity Cost of Capital"/>
      <sheetName val="2012 BM Database"/>
      <sheetName val="2018 Benchmarking Calculations"/>
      <sheetName val="Scorecard Data 2018"/>
      <sheetName val="Validation 2018"/>
      <sheetName val="Forecasting 2018"/>
      <sheetName val="Table 1 2018"/>
      <sheetName val="Table 2 2018"/>
      <sheetName val="Table 3a 2018"/>
      <sheetName val="Table 3b 2018"/>
      <sheetName val="Table 4 2018"/>
      <sheetName val="Table 5 2018"/>
      <sheetName val="Amalgamations 2018"/>
      <sheetName val="Backcast of 2018 Mergers"/>
      <sheetName val="2018 Alectra Merger"/>
      <sheetName val="2018 Customers"/>
      <sheetName val="2018 Metered kWh"/>
      <sheetName val="2018 Metered kW"/>
      <sheetName val="2018 Distr Rev"/>
      <sheetName val="2018 Utility Characteristics"/>
      <sheetName val="2018 Capital Data"/>
      <sheetName val="2018 Trial Balance"/>
      <sheetName val="2018 LV Charges"/>
      <sheetName val="2018 List of LDCs"/>
      <sheetName val="2018 revisions to 2016 data"/>
      <sheetName val="2018 Revisions to 2017 Data"/>
      <sheetName val="end of 2018 worksheets"/>
      <sheetName val="Table of Contents 2017"/>
      <sheetName val="2017 Benchmarking Calculations"/>
      <sheetName val="Validation 2017"/>
      <sheetName val="Validation 2017 (HON)"/>
      <sheetName val="Validation 2017 (Energy+)"/>
      <sheetName val="Validation 2017 (Alectra)"/>
      <sheetName val="Forecasting 2017"/>
      <sheetName val="place hold"/>
      <sheetName val="2017 Alectra Merger"/>
      <sheetName val="Scorecard Data 2017"/>
      <sheetName val="Table 1 2017"/>
      <sheetName val="Table 2 2017"/>
      <sheetName val="Table 3a 2017"/>
      <sheetName val="Table 3b 2017"/>
      <sheetName val="Table 4 2017"/>
      <sheetName val="Table 5 2017"/>
      <sheetName val="2017 LV Charges"/>
      <sheetName val="2017 Customers"/>
      <sheetName val="2017 Metered kWh"/>
      <sheetName val="2017 Metered kW"/>
      <sheetName val="2017 Distr Rev"/>
      <sheetName val="2017 Utility Characteristics"/>
      <sheetName val="2017 Capital Data"/>
      <sheetName val="2017 Trial Balance"/>
      <sheetName val="2017 List of LDCs"/>
      <sheetName val="2017 LDC Revisions"/>
      <sheetName val="end of 2017 worksheets"/>
      <sheetName val="Table of Contents 2016"/>
      <sheetName val="2016 Benchmarking Calculations"/>
      <sheetName val="Validation 2016"/>
      <sheetName val="Validation 2016 (Energy Plus)"/>
      <sheetName val="Validation 2016 (HON)"/>
      <sheetName val="Forecasting 2016"/>
      <sheetName val="Merger Calculations"/>
      <sheetName val="Scorecard Data 2016"/>
      <sheetName val="Table 1 2016"/>
      <sheetName val="Table 2 2016"/>
      <sheetName val="Table 3a 2016"/>
      <sheetName val="Table 3b 2016"/>
      <sheetName val="Table 4 2016"/>
      <sheetName val="Table 5 2016"/>
      <sheetName val="2016 Customers"/>
      <sheetName val="2016 Metered kWh"/>
      <sheetName val="2016 Metered kW"/>
      <sheetName val="2016 Distr Rev"/>
      <sheetName val="2016 Utility Characteristics"/>
      <sheetName val="2016 Capital Data"/>
      <sheetName val="2016 Trial Balance"/>
      <sheetName val="2016 LV Charges"/>
      <sheetName val="2016 LDC Revisions"/>
      <sheetName val="end of 2016 worksheets"/>
      <sheetName val="Table of Contents 2015"/>
      <sheetName val="2015 Benchmarking Calculations"/>
      <sheetName val="Forecasting 2015"/>
      <sheetName val="Validation 2015"/>
      <sheetName val="Scorecard Data 2015"/>
      <sheetName val="Table 1 2015"/>
      <sheetName val="Table 2 2015"/>
      <sheetName val="Table 3a 2015"/>
      <sheetName val="Table 3b 2015"/>
      <sheetName val="Table 4 2015"/>
      <sheetName val="Table 5 2015"/>
      <sheetName val="HON-Norfolk Merger"/>
      <sheetName val="2015 Customers"/>
      <sheetName val="2015 Metered kWh"/>
      <sheetName val="2015 Metered kW"/>
      <sheetName val="2015 Distr Rev"/>
      <sheetName val="2015 Utility Characteristics"/>
      <sheetName val="2015 Capital"/>
      <sheetName val="2015 Trial Balance"/>
      <sheetName val="2015 LV Charges"/>
      <sheetName val="2015 LDC Revisions"/>
      <sheetName val="end of 2015 worksheets"/>
      <sheetName val="Table of Contents 2014"/>
      <sheetName val="2014 Benchmarking Calculations"/>
      <sheetName val="Validation 2014"/>
      <sheetName val="Forecasting 2014"/>
      <sheetName val="Table 1 2014"/>
      <sheetName val="Table 2 2014"/>
      <sheetName val="Table 3a 2014"/>
      <sheetName val="Table 3b 2014"/>
      <sheetName val="Table 4 2014"/>
      <sheetName val="Table 5 2014"/>
      <sheetName val="Scorecard Data 2014"/>
      <sheetName val="2014 Customers"/>
      <sheetName val="2014 kWh"/>
      <sheetName val="2014 217 Trial Balance"/>
      <sheetName val="2014 PBR Data"/>
      <sheetName val="2014 Capital"/>
      <sheetName val="Smart Meter DR 2014"/>
      <sheetName val="Smart Meter DR 2013"/>
      <sheetName val="2014 LV Charges"/>
      <sheetName val="Revisions-Jul 2014 to Jun 2015"/>
      <sheetName val="Lakeland Merger"/>
      <sheetName val="2014 215 Metered kW"/>
      <sheetName val="2014 215 Distr Rev"/>
      <sheetName val="end of 2014 worksheets"/>
      <sheetName val="Table of Contents 2013"/>
      <sheetName val="2013 Benchmarking Calculations"/>
      <sheetName val="Validation"/>
      <sheetName val="Forecasting"/>
      <sheetName val="Assumptions for Forecasting"/>
      <sheetName val="Generic LDC Worksheet"/>
      <sheetName val="2. BM Database"/>
      <sheetName val="2.1.2 Total Customer Numbers"/>
      <sheetName val="2013 PBR data "/>
      <sheetName val="2.1.7 Roll Up "/>
      <sheetName val="HV Charges"/>
      <sheetName val="Acct 5014 5015 and 5112 "/>
      <sheetName val="LV charges"/>
      <sheetName val="LV Pivot"/>
      <sheetName val="HON LV Charges"/>
      <sheetName val="Additional 2013 Data 1"/>
      <sheetName val="Additional 2013 Data 2"/>
      <sheetName val="Additional 2013 Data 3"/>
      <sheetName val="Additional 2013 Data 4"/>
      <sheetName val="Additional 2013 Data 5"/>
      <sheetName val="Table 1"/>
      <sheetName val="Table 2"/>
      <sheetName val="Table 3"/>
      <sheetName val="Table 4"/>
      <sheetName val="Table 5"/>
      <sheetName val="scorecard data"/>
      <sheetName val="end of 2013 worksheets"/>
      <sheetName val="Overview of Worksheets"/>
      <sheetName val="EUCPI"/>
      <sheetName val="end of updated worksheets"/>
      <sheetName val="6. Capital Calculations for BM"/>
      <sheetName val="end of IRM-worksheets"/>
    </sheetNames>
    <sheetDataSet>
      <sheetData sheetId="0"/>
      <sheetData sheetId="1">
        <row r="10">
          <cell r="I10">
            <v>257552392.22999999</v>
          </cell>
          <cell r="J10">
            <v>11990934.029999999</v>
          </cell>
          <cell r="K10">
            <v>1083377.24</v>
          </cell>
          <cell r="L10">
            <v>13313535.220000001</v>
          </cell>
          <cell r="N10">
            <v>10071915.24</v>
          </cell>
          <cell r="O10">
            <v>19043935.529999997</v>
          </cell>
          <cell r="Q10">
            <v>10005215.690000001</v>
          </cell>
          <cell r="R10">
            <v>2602316.9699999993</v>
          </cell>
          <cell r="S10">
            <v>819047.94000000006</v>
          </cell>
          <cell r="T10">
            <v>6529882.9100000001</v>
          </cell>
          <cell r="U10">
            <v>691107.49</v>
          </cell>
          <cell r="V10">
            <v>2787807.9099999992</v>
          </cell>
          <cell r="W10">
            <v>18361849.140000001</v>
          </cell>
          <cell r="Y10">
            <v>13298367.649999999</v>
          </cell>
          <cell r="Z10">
            <v>24432744.719999999</v>
          </cell>
          <cell r="AA10">
            <v>7261721.5700000003</v>
          </cell>
          <cell r="AB10">
            <v>1709667.17</v>
          </cell>
          <cell r="AC10">
            <v>7356412.9500000002</v>
          </cell>
          <cell r="AD10">
            <v>5855853.1500000013</v>
          </cell>
          <cell r="AE10">
            <v>1629255.6199999996</v>
          </cell>
          <cell r="AF10">
            <v>14566545.779999999</v>
          </cell>
          <cell r="AG10">
            <v>3151551.19</v>
          </cell>
          <cell r="AJ10">
            <v>6215697.0300000012</v>
          </cell>
          <cell r="AK10">
            <v>1086335.3699999999</v>
          </cell>
          <cell r="AM10">
            <v>506164.25999999995</v>
          </cell>
          <cell r="AN10">
            <v>991637.8</v>
          </cell>
          <cell r="AP10">
            <v>538618194.63</v>
          </cell>
          <cell r="AQ10">
            <v>78332370.787500009</v>
          </cell>
          <cell r="AR10">
            <v>5765660.6499999994</v>
          </cell>
          <cell r="AT10">
            <v>6960489.3200000003</v>
          </cell>
          <cell r="AU10">
            <v>17521849.060000002</v>
          </cell>
          <cell r="AV10">
            <v>2618296.11</v>
          </cell>
          <cell r="AW10">
            <v>4991820.18</v>
          </cell>
          <cell r="AX10">
            <v>37864464.18</v>
          </cell>
          <cell r="AZ10">
            <v>9936414</v>
          </cell>
          <cell r="BA10">
            <v>12351094.149999999</v>
          </cell>
          <cell r="BB10">
            <v>18348752.419999998</v>
          </cell>
          <cell r="BC10">
            <v>2774719.53</v>
          </cell>
          <cell r="BE10">
            <v>6567534.0700000003</v>
          </cell>
          <cell r="BF10">
            <v>2790464.4935000003</v>
          </cell>
          <cell r="BG10">
            <v>17906961.609999999</v>
          </cell>
          <cell r="BH10">
            <v>3419293.9399999995</v>
          </cell>
          <cell r="BI10">
            <v>4906135</v>
          </cell>
          <cell r="BJ10">
            <v>12607249.100000001</v>
          </cell>
          <cell r="BK10">
            <v>3337203.24</v>
          </cell>
          <cell r="BM10">
            <v>8467413.4199999999</v>
          </cell>
          <cell r="BO10">
            <v>10740394.319999998</v>
          </cell>
          <cell r="BP10">
            <v>1355865.11</v>
          </cell>
          <cell r="BQ10">
            <v>2242574.36</v>
          </cell>
          <cell r="BR10">
            <v>1546223.81</v>
          </cell>
          <cell r="BU10">
            <v>2767763.0200000005</v>
          </cell>
          <cell r="BV10">
            <v>253196236.09999999</v>
          </cell>
          <cell r="BW10">
            <v>40136683.710000001</v>
          </cell>
          <cell r="BX10">
            <v>3432077.8199999989</v>
          </cell>
          <cell r="BY10">
            <v>13878886.42</v>
          </cell>
          <cell r="BZ10">
            <v>6757918.0299999993</v>
          </cell>
          <cell r="CA10">
            <v>1806901.8099999998</v>
          </cell>
          <cell r="CC10">
            <v>5927808.3200000003</v>
          </cell>
        </row>
        <row r="57">
          <cell r="I57">
            <v>1054614</v>
          </cell>
          <cell r="J57">
            <v>11732</v>
          </cell>
          <cell r="K57">
            <v>1629</v>
          </cell>
          <cell r="L57">
            <v>36743</v>
          </cell>
          <cell r="N57">
            <v>40125</v>
          </cell>
          <cell r="O57">
            <v>68205</v>
          </cell>
          <cell r="Q57">
            <v>29456</v>
          </cell>
          <cell r="R57">
            <v>7156</v>
          </cell>
          <cell r="S57">
            <v>1222</v>
          </cell>
          <cell r="T57">
            <v>17916</v>
          </cell>
          <cell r="U57">
            <v>2366</v>
          </cell>
          <cell r="V57">
            <v>12479</v>
          </cell>
          <cell r="W57">
            <v>66529</v>
          </cell>
          <cell r="Y57">
            <v>59811</v>
          </cell>
          <cell r="Z57">
            <v>89561</v>
          </cell>
          <cell r="AA57">
            <v>23384</v>
          </cell>
          <cell r="AB57">
            <v>3309</v>
          </cell>
          <cell r="AC57">
            <v>30397</v>
          </cell>
          <cell r="AD57">
            <v>21382</v>
          </cell>
          <cell r="AE57">
            <v>3773</v>
          </cell>
          <cell r="AF57">
            <v>47725</v>
          </cell>
          <cell r="AG57">
            <v>11632</v>
          </cell>
          <cell r="AJ57">
            <v>22528</v>
          </cell>
          <cell r="AK57">
            <v>2700</v>
          </cell>
          <cell r="AM57">
            <v>1244</v>
          </cell>
          <cell r="AN57">
            <v>5549</v>
          </cell>
          <cell r="AP57">
            <v>1344318</v>
          </cell>
          <cell r="AQ57">
            <v>339771</v>
          </cell>
          <cell r="AR57">
            <v>18632</v>
          </cell>
          <cell r="AT57">
            <v>27778</v>
          </cell>
          <cell r="AU57">
            <v>97696</v>
          </cell>
          <cell r="AV57">
            <v>10546</v>
          </cell>
          <cell r="AW57">
            <v>13762</v>
          </cell>
          <cell r="AX57">
            <v>160598</v>
          </cell>
          <cell r="AZ57">
            <v>40388</v>
          </cell>
          <cell r="BA57">
            <v>43931</v>
          </cell>
          <cell r="BB57">
            <v>56067</v>
          </cell>
          <cell r="BC57">
            <v>9558</v>
          </cell>
          <cell r="BE57">
            <v>24199</v>
          </cell>
          <cell r="BF57">
            <v>5977</v>
          </cell>
          <cell r="BG57">
            <v>73134</v>
          </cell>
          <cell r="BH57">
            <v>12652</v>
          </cell>
          <cell r="BI57">
            <v>14366</v>
          </cell>
          <cell r="BJ57">
            <v>59183</v>
          </cell>
          <cell r="BK57">
            <v>11320</v>
          </cell>
          <cell r="BM57">
            <v>37250</v>
          </cell>
          <cell r="BO57">
            <v>33647</v>
          </cell>
          <cell r="BP57">
            <v>4325</v>
          </cell>
          <cell r="BQ57">
            <v>5910</v>
          </cell>
          <cell r="BR57">
            <v>2848</v>
          </cell>
          <cell r="BU57">
            <v>7129</v>
          </cell>
          <cell r="BV57">
            <v>777904</v>
          </cell>
          <cell r="BW57">
            <v>167653</v>
          </cell>
          <cell r="BX57">
            <v>14003</v>
          </cell>
          <cell r="BY57">
            <v>57856</v>
          </cell>
          <cell r="BZ57">
            <v>23664</v>
          </cell>
          <cell r="CA57">
            <v>3830</v>
          </cell>
          <cell r="CC57">
            <v>23774</v>
          </cell>
        </row>
        <row r="61">
          <cell r="I61">
            <v>4962217</v>
          </cell>
          <cell r="J61">
            <v>48304</v>
          </cell>
          <cell r="K61">
            <v>6295</v>
          </cell>
          <cell r="L61">
            <v>151868</v>
          </cell>
          <cell r="N61">
            <v>183514</v>
          </cell>
          <cell r="O61">
            <v>323414</v>
          </cell>
          <cell r="Q61">
            <v>92987</v>
          </cell>
          <cell r="R61">
            <v>24218</v>
          </cell>
          <cell r="S61">
            <v>7121</v>
          </cell>
          <cell r="T61">
            <v>56139</v>
          </cell>
          <cell r="U61">
            <v>6429</v>
          </cell>
          <cell r="V61">
            <v>62827</v>
          </cell>
          <cell r="W61">
            <v>302619</v>
          </cell>
          <cell r="Y61">
            <v>229174</v>
          </cell>
          <cell r="Z61">
            <v>454300</v>
          </cell>
          <cell r="AA61">
            <v>111736</v>
          </cell>
          <cell r="AB61">
            <v>16594</v>
          </cell>
          <cell r="AC61">
            <v>120116</v>
          </cell>
          <cell r="AD61">
            <v>103142</v>
          </cell>
          <cell r="AE61">
            <v>16574</v>
          </cell>
          <cell r="AF61">
            <v>176843</v>
          </cell>
          <cell r="AG61">
            <v>55347</v>
          </cell>
          <cell r="AJ61">
            <v>99439</v>
          </cell>
          <cell r="AK61">
            <v>15777</v>
          </cell>
          <cell r="AM61">
            <v>5210</v>
          </cell>
          <cell r="AN61">
            <v>29923</v>
          </cell>
          <cell r="AP61">
            <v>6291230</v>
          </cell>
          <cell r="AQ61">
            <v>1348215</v>
          </cell>
          <cell r="AR61">
            <v>59938</v>
          </cell>
          <cell r="AT61">
            <v>126161</v>
          </cell>
          <cell r="AU61">
            <v>342588</v>
          </cell>
          <cell r="AV61">
            <v>43615</v>
          </cell>
          <cell r="AW61">
            <v>50163</v>
          </cell>
          <cell r="AX61">
            <v>647506</v>
          </cell>
          <cell r="AZ61">
            <v>169704</v>
          </cell>
          <cell r="BA61">
            <v>166024</v>
          </cell>
          <cell r="BB61">
            <v>251133</v>
          </cell>
          <cell r="BC61">
            <v>49550</v>
          </cell>
          <cell r="BE61">
            <v>99886</v>
          </cell>
          <cell r="BF61">
            <v>23352</v>
          </cell>
          <cell r="BG61">
            <v>337953</v>
          </cell>
          <cell r="BH61">
            <v>45153</v>
          </cell>
          <cell r="BI61">
            <v>55924</v>
          </cell>
          <cell r="BJ61">
            <v>213296</v>
          </cell>
          <cell r="BK61">
            <v>35702</v>
          </cell>
          <cell r="BM61">
            <v>136317</v>
          </cell>
          <cell r="BO61">
            <v>132818</v>
          </cell>
          <cell r="BP61">
            <v>14544</v>
          </cell>
          <cell r="BQ61">
            <v>20248</v>
          </cell>
          <cell r="BR61">
            <v>21743</v>
          </cell>
          <cell r="BU61">
            <v>34047</v>
          </cell>
          <cell r="BV61">
            <v>4271851</v>
          </cell>
          <cell r="BW61">
            <v>648618</v>
          </cell>
          <cell r="BX61">
            <v>31880</v>
          </cell>
          <cell r="BY61">
            <v>271173</v>
          </cell>
          <cell r="BZ61">
            <v>73288</v>
          </cell>
          <cell r="CA61">
            <v>16845</v>
          </cell>
          <cell r="CC61">
            <v>80824</v>
          </cell>
        </row>
        <row r="68">
          <cell r="I68">
            <v>2.7168734507591063E-2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3">
          <cell r="X13">
            <v>261</v>
          </cell>
          <cell r="Y13">
            <v>81</v>
          </cell>
          <cell r="Z13">
            <v>1015</v>
          </cell>
          <cell r="AA13">
            <v>689</v>
          </cell>
          <cell r="AD13">
            <v>1686</v>
          </cell>
          <cell r="AE13">
            <v>97</v>
          </cell>
          <cell r="AG13">
            <v>21</v>
          </cell>
          <cell r="AH13">
            <v>71</v>
          </cell>
          <cell r="AJ13">
            <v>123139</v>
          </cell>
          <cell r="AK13">
            <v>5836</v>
          </cell>
          <cell r="AN13">
            <v>335</v>
          </cell>
          <cell r="AO13">
            <v>1980</v>
          </cell>
          <cell r="AP13">
            <v>221</v>
          </cell>
          <cell r="AQ13">
            <v>358</v>
          </cell>
          <cell r="AR13">
            <v>3060</v>
          </cell>
          <cell r="AT13">
            <v>2723</v>
          </cell>
          <cell r="AU13">
            <v>1028</v>
          </cell>
          <cell r="AW13">
            <v>368</v>
          </cell>
          <cell r="AY13">
            <v>573</v>
          </cell>
          <cell r="AZ13">
            <v>370</v>
          </cell>
          <cell r="BA13">
            <v>1914</v>
          </cell>
          <cell r="BB13">
            <v>221</v>
          </cell>
          <cell r="BC13">
            <v>244</v>
          </cell>
          <cell r="BD13">
            <v>1010</v>
          </cell>
          <cell r="BE13">
            <v>510</v>
          </cell>
          <cell r="BG13">
            <v>573</v>
          </cell>
          <cell r="BI13">
            <v>738</v>
          </cell>
          <cell r="BJ13">
            <v>81</v>
          </cell>
          <cell r="BK13">
            <v>107</v>
          </cell>
          <cell r="BL13">
            <v>712</v>
          </cell>
          <cell r="BO13">
            <v>132</v>
          </cell>
          <cell r="BP13">
            <v>28887</v>
          </cell>
          <cell r="BQ13">
            <v>3823</v>
          </cell>
          <cell r="BR13">
            <v>286</v>
          </cell>
          <cell r="BS13">
            <v>1648</v>
          </cell>
          <cell r="BT13">
            <v>490</v>
          </cell>
          <cell r="BW13">
            <v>560</v>
          </cell>
        </row>
        <row r="15">
          <cell r="AA15">
            <v>333</v>
          </cell>
          <cell r="AD15">
            <v>754</v>
          </cell>
          <cell r="AE15">
            <v>16</v>
          </cell>
          <cell r="AH15">
            <v>14</v>
          </cell>
          <cell r="AJ15">
            <v>9749</v>
          </cell>
          <cell r="AT15">
            <v>1954</v>
          </cell>
          <cell r="AU15">
            <v>559</v>
          </cell>
          <cell r="AZ15">
            <v>3</v>
          </cell>
          <cell r="BD15">
            <v>463</v>
          </cell>
          <cell r="BE15">
            <v>144</v>
          </cell>
          <cell r="BG15">
            <v>188</v>
          </cell>
          <cell r="BL15">
            <v>67</v>
          </cell>
          <cell r="BO15">
            <v>61</v>
          </cell>
          <cell r="BP15">
            <v>13407</v>
          </cell>
          <cell r="BQ15">
            <v>1856</v>
          </cell>
          <cell r="BT15">
            <v>155</v>
          </cell>
        </row>
        <row r="16">
          <cell r="C16">
            <v>6963</v>
          </cell>
          <cell r="D16">
            <v>1835</v>
          </cell>
          <cell r="E16">
            <v>90</v>
          </cell>
          <cell r="F16">
            <v>563</v>
          </cell>
          <cell r="H16">
            <v>270</v>
          </cell>
          <cell r="I16">
            <v>852</v>
          </cell>
          <cell r="K16">
            <v>937</v>
          </cell>
          <cell r="L16">
            <v>78</v>
          </cell>
          <cell r="M16">
            <v>28</v>
          </cell>
          <cell r="N16">
            <v>210</v>
          </cell>
          <cell r="O16">
            <v>18</v>
          </cell>
          <cell r="P16">
            <v>89</v>
          </cell>
          <cell r="Q16">
            <v>983</v>
          </cell>
          <cell r="S16">
            <v>594</v>
          </cell>
          <cell r="T16">
            <v>678</v>
          </cell>
          <cell r="U16">
            <v>295</v>
          </cell>
          <cell r="V16">
            <v>130</v>
          </cell>
          <cell r="W16">
            <v>183</v>
          </cell>
          <cell r="AL16">
            <v>614</v>
          </cell>
          <cell r="AV16">
            <v>1455</v>
          </cell>
          <cell r="BU16">
            <v>71</v>
          </cell>
        </row>
        <row r="18">
          <cell r="C18">
            <v>14149</v>
          </cell>
          <cell r="D18">
            <v>16</v>
          </cell>
          <cell r="E18">
            <v>2</v>
          </cell>
          <cell r="F18">
            <v>210</v>
          </cell>
          <cell r="H18">
            <v>245</v>
          </cell>
          <cell r="I18">
            <v>687</v>
          </cell>
          <cell r="K18">
            <v>101</v>
          </cell>
          <cell r="L18">
            <v>81</v>
          </cell>
          <cell r="M18">
            <v>2</v>
          </cell>
          <cell r="N18">
            <v>161</v>
          </cell>
          <cell r="O18">
            <v>18</v>
          </cell>
          <cell r="P18">
            <v>76</v>
          </cell>
          <cell r="Q18">
            <v>540</v>
          </cell>
          <cell r="S18">
            <v>386</v>
          </cell>
          <cell r="T18">
            <v>466</v>
          </cell>
          <cell r="U18">
            <v>142</v>
          </cell>
          <cell r="V18">
            <v>11</v>
          </cell>
          <cell r="W18">
            <v>273</v>
          </cell>
          <cell r="X18">
            <v>96</v>
          </cell>
          <cell r="Y18">
            <v>10</v>
          </cell>
          <cell r="Z18">
            <v>253</v>
          </cell>
          <cell r="AG18">
            <v>3</v>
          </cell>
          <cell r="AK18">
            <v>3094</v>
          </cell>
          <cell r="AL18">
            <v>182</v>
          </cell>
          <cell r="AN18">
            <v>108</v>
          </cell>
          <cell r="AO18">
            <v>970</v>
          </cell>
          <cell r="AP18">
            <v>65</v>
          </cell>
          <cell r="AQ18">
            <v>95</v>
          </cell>
          <cell r="AR18">
            <v>1667</v>
          </cell>
          <cell r="AV18">
            <v>586</v>
          </cell>
          <cell r="AW18">
            <v>132</v>
          </cell>
          <cell r="BA18">
            <v>1425</v>
          </cell>
          <cell r="BB18">
            <v>146</v>
          </cell>
          <cell r="BC18">
            <v>72</v>
          </cell>
          <cell r="BI18">
            <v>122</v>
          </cell>
          <cell r="BJ18">
            <v>8</v>
          </cell>
          <cell r="BK18">
            <v>12</v>
          </cell>
          <cell r="BS18">
            <v>576</v>
          </cell>
          <cell r="BU18">
            <v>15</v>
          </cell>
          <cell r="BW18">
            <v>167</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Industry TFP Calculations"/>
      <sheetName val="2. BM Database"/>
      <sheetName val="3. TFP Database"/>
      <sheetName val="4. OM&amp;A Calculation"/>
      <sheetName val="5. Capital Calculations for TFP"/>
      <sheetName val="6. Capital Calculations for BM"/>
      <sheetName val="7. OM&amp;A Price"/>
      <sheetName val="8. smart meter OM&amp;A adjustment"/>
      <sheetName val="9. Z variables"/>
      <sheetName val="10. Q Capital Data"/>
      <sheetName val="12. Q Output"/>
      <sheetName val="14. AWE cansim"/>
      <sheetName val="15. gdpipi fdd can"/>
      <sheetName val="17. Historical Asset Price"/>
      <sheetName val="18. data request responses"/>
      <sheetName val="19. 2012DR"/>
      <sheetName val="20. Late DR companies"/>
      <sheetName val="21. Aggregate HV charges"/>
      <sheetName val="22. HV-Related O&amp;M Exp"/>
      <sheetName val="23. LV Charges Included in BM"/>
      <sheetName val="24. 2012 data"/>
      <sheetName val="25. 2012 data raw "/>
      <sheetName val="26. data0211"/>
      <sheetName val="27. 2011 data "/>
      <sheetName val="28. 2010 data"/>
      <sheetName val="29. 2009 data"/>
      <sheetName val="30. 2008 data"/>
      <sheetName val="31. 2007 data"/>
      <sheetName val="32. 2006 data"/>
      <sheetName val="33. 2005 data"/>
      <sheetName val="34. 2004 data"/>
      <sheetName val="35. 2003 data"/>
      <sheetName val="36. 2002 data"/>
      <sheetName val="37. Gross Plant (2012)"/>
      <sheetName val="38. Gross Plant"/>
      <sheetName val="39. 1860 2012"/>
      <sheetName val="40. 1860 meter data"/>
      <sheetName val="41. Output data"/>
      <sheetName val="43. Company Selection"/>
      <sheetName val="44. Verification - Gross Plant"/>
      <sheetName val="45. Verification -  OM&amp;A"/>
    </sheetNames>
    <sheetDataSet>
      <sheetData sheetId="0" refreshError="1"/>
      <sheetData sheetId="1" refreshError="1">
        <row r="6">
          <cell r="B6" t="str">
            <v>ALGOMA POWER INC.</v>
          </cell>
          <cell r="C6">
            <v>2005</v>
          </cell>
          <cell r="F6">
            <v>7352773.5099999998</v>
          </cell>
          <cell r="L6">
            <v>11457</v>
          </cell>
          <cell r="P6">
            <v>44521</v>
          </cell>
          <cell r="R6">
            <v>1832</v>
          </cell>
          <cell r="T6">
            <v>5.4585152838427945E-4</v>
          </cell>
        </row>
        <row r="7">
          <cell r="B7" t="str">
            <v>ALGOMA POWER INC.</v>
          </cell>
          <cell r="C7">
            <v>2006</v>
          </cell>
          <cell r="F7">
            <v>7529813.5300000003</v>
          </cell>
          <cell r="L7">
            <v>11491</v>
          </cell>
          <cell r="P7">
            <v>37031</v>
          </cell>
          <cell r="R7">
            <v>1832</v>
          </cell>
          <cell r="T7">
            <v>5.4585152838427945E-4</v>
          </cell>
        </row>
        <row r="8">
          <cell r="B8" t="str">
            <v>ALGOMA POWER INC.</v>
          </cell>
          <cell r="C8">
            <v>2007</v>
          </cell>
          <cell r="F8">
            <v>7957422.9500000002</v>
          </cell>
          <cell r="L8">
            <v>11522</v>
          </cell>
          <cell r="P8">
            <v>41804</v>
          </cell>
          <cell r="R8">
            <v>1823</v>
          </cell>
          <cell r="T8">
            <v>5.4854635216675812E-4</v>
          </cell>
        </row>
        <row r="9">
          <cell r="B9" t="str">
            <v>ALGOMA POWER INC.</v>
          </cell>
          <cell r="C9">
            <v>2008</v>
          </cell>
          <cell r="F9">
            <v>8468153.2799999993</v>
          </cell>
          <cell r="L9">
            <v>11587</v>
          </cell>
          <cell r="P9">
            <v>39583</v>
          </cell>
          <cell r="R9">
            <v>1845</v>
          </cell>
          <cell r="T9">
            <v>2.1680216802168022E-3</v>
          </cell>
        </row>
        <row r="10">
          <cell r="B10" t="str">
            <v>ALGOMA POWER INC.</v>
          </cell>
          <cell r="C10">
            <v>2009</v>
          </cell>
          <cell r="F10">
            <v>8568652.379999999</v>
          </cell>
          <cell r="L10">
            <v>11688</v>
          </cell>
          <cell r="P10">
            <v>41137</v>
          </cell>
          <cell r="R10">
            <v>1845</v>
          </cell>
          <cell r="T10">
            <v>2.1680216802168022E-3</v>
          </cell>
        </row>
        <row r="11">
          <cell r="B11" t="str">
            <v>ALGOMA POWER INC.</v>
          </cell>
          <cell r="C11">
            <v>2010</v>
          </cell>
          <cell r="F11">
            <v>8596279.7899999991</v>
          </cell>
          <cell r="L11">
            <v>11612</v>
          </cell>
          <cell r="P11">
            <v>39570</v>
          </cell>
          <cell r="R11">
            <v>1848</v>
          </cell>
          <cell r="T11">
            <v>2.1645021645021645E-3</v>
          </cell>
        </row>
        <row r="12">
          <cell r="B12" t="str">
            <v>ALGOMA POWER INC.</v>
          </cell>
          <cell r="C12">
            <v>2011</v>
          </cell>
          <cell r="F12">
            <v>9643841.3731396217</v>
          </cell>
          <cell r="L12">
            <v>11581</v>
          </cell>
          <cell r="P12">
            <v>42342</v>
          </cell>
          <cell r="R12">
            <v>1848</v>
          </cell>
          <cell r="T12">
            <v>2.1645021645021645E-3</v>
          </cell>
        </row>
        <row r="13">
          <cell r="B13" t="str">
            <v>ALGOMA POWER INC.</v>
          </cell>
          <cell r="C13">
            <v>2012</v>
          </cell>
          <cell r="F13">
            <v>9344954.1799999997</v>
          </cell>
          <cell r="L13">
            <v>11609</v>
          </cell>
          <cell r="P13">
            <v>38076</v>
          </cell>
          <cell r="R13">
            <v>1848</v>
          </cell>
          <cell r="T13">
            <v>2.1645021645021645E-3</v>
          </cell>
        </row>
        <row r="17">
          <cell r="B17" t="str">
            <v>ATIKOKAN HYDRO INC.</v>
          </cell>
          <cell r="C17">
            <v>2005</v>
          </cell>
          <cell r="F17">
            <v>658727.25</v>
          </cell>
          <cell r="L17">
            <v>1765</v>
          </cell>
          <cell r="P17">
            <v>8071</v>
          </cell>
          <cell r="R17">
            <v>92</v>
          </cell>
          <cell r="T17">
            <v>0</v>
          </cell>
        </row>
        <row r="18">
          <cell r="B18" t="str">
            <v>ATIKOKAN HYDRO INC.</v>
          </cell>
          <cell r="C18">
            <v>2006</v>
          </cell>
          <cell r="F18">
            <v>649442.06999999995</v>
          </cell>
          <cell r="L18">
            <v>1720</v>
          </cell>
          <cell r="P18">
            <v>7570</v>
          </cell>
          <cell r="R18">
            <v>92</v>
          </cell>
          <cell r="T18">
            <v>0</v>
          </cell>
        </row>
        <row r="19">
          <cell r="B19" t="str">
            <v>ATIKOKAN HYDRO INC.</v>
          </cell>
          <cell r="C19">
            <v>2007</v>
          </cell>
          <cell r="F19">
            <v>758525.87999999989</v>
          </cell>
          <cell r="L19">
            <v>1711</v>
          </cell>
          <cell r="P19">
            <v>7722</v>
          </cell>
          <cell r="R19">
            <v>92</v>
          </cell>
          <cell r="T19">
            <v>0</v>
          </cell>
        </row>
        <row r="20">
          <cell r="B20" t="str">
            <v>ATIKOKAN HYDRO INC.</v>
          </cell>
          <cell r="C20">
            <v>2008</v>
          </cell>
          <cell r="F20">
            <v>838668.86</v>
          </cell>
          <cell r="L20">
            <v>1676</v>
          </cell>
          <cell r="P20">
            <v>4948</v>
          </cell>
          <cell r="R20">
            <v>92</v>
          </cell>
          <cell r="T20">
            <v>0</v>
          </cell>
        </row>
        <row r="21">
          <cell r="B21" t="str">
            <v>ATIKOKAN HYDRO INC.</v>
          </cell>
          <cell r="C21">
            <v>2009</v>
          </cell>
          <cell r="F21">
            <v>865062.42</v>
          </cell>
          <cell r="L21">
            <v>1662</v>
          </cell>
          <cell r="P21">
            <v>5065</v>
          </cell>
          <cell r="R21">
            <v>92</v>
          </cell>
          <cell r="T21">
            <v>0</v>
          </cell>
        </row>
        <row r="22">
          <cell r="B22" t="str">
            <v>ATIKOKAN HYDRO INC.</v>
          </cell>
          <cell r="C22">
            <v>2010</v>
          </cell>
          <cell r="F22">
            <v>996788.56</v>
          </cell>
          <cell r="L22">
            <v>1663</v>
          </cell>
          <cell r="P22">
            <v>4622</v>
          </cell>
          <cell r="R22">
            <v>92</v>
          </cell>
          <cell r="T22">
            <v>0</v>
          </cell>
        </row>
        <row r="23">
          <cell r="B23" t="str">
            <v>ATIKOKAN HYDRO INC.</v>
          </cell>
          <cell r="C23">
            <v>2011</v>
          </cell>
          <cell r="F23">
            <v>933668.64</v>
          </cell>
          <cell r="L23">
            <v>1661</v>
          </cell>
          <cell r="P23">
            <v>4503</v>
          </cell>
          <cell r="R23">
            <v>92</v>
          </cell>
          <cell r="T23">
            <v>0</v>
          </cell>
        </row>
        <row r="24">
          <cell r="B24" t="str">
            <v>ATIKOKAN HYDRO INC.</v>
          </cell>
          <cell r="C24">
            <v>2012</v>
          </cell>
          <cell r="F24">
            <v>1276678.8620189745</v>
          </cell>
          <cell r="L24">
            <v>1660</v>
          </cell>
          <cell r="P24">
            <v>4356</v>
          </cell>
          <cell r="R24">
            <v>92</v>
          </cell>
          <cell r="T24">
            <v>0</v>
          </cell>
        </row>
        <row r="28">
          <cell r="B28" t="str">
            <v>BLUEWATER POWER DISTRIBUTION CORPORATION</v>
          </cell>
          <cell r="C28">
            <v>2005</v>
          </cell>
          <cell r="F28">
            <v>8698077</v>
          </cell>
          <cell r="L28">
            <v>35208</v>
          </cell>
          <cell r="P28">
            <v>211240</v>
          </cell>
          <cell r="R28">
            <v>785</v>
          </cell>
          <cell r="T28">
            <v>0.22929936305732485</v>
          </cell>
        </row>
        <row r="29">
          <cell r="B29" t="str">
            <v>BLUEWATER POWER DISTRIBUTION CORPORATION</v>
          </cell>
          <cell r="C29">
            <v>2006</v>
          </cell>
          <cell r="F29">
            <v>9274775.0600000005</v>
          </cell>
          <cell r="L29">
            <v>35510</v>
          </cell>
          <cell r="P29">
            <v>219364</v>
          </cell>
          <cell r="R29">
            <v>746</v>
          </cell>
          <cell r="T29">
            <v>0.21849865951742628</v>
          </cell>
        </row>
        <row r="30">
          <cell r="B30" t="str">
            <v>BLUEWATER POWER DISTRIBUTION CORPORATION</v>
          </cell>
          <cell r="C30">
            <v>2007</v>
          </cell>
          <cell r="F30">
            <v>8868767.379999999</v>
          </cell>
          <cell r="L30">
            <v>35906</v>
          </cell>
          <cell r="P30">
            <v>208366</v>
          </cell>
          <cell r="R30">
            <v>746</v>
          </cell>
          <cell r="T30">
            <v>0.22654155495978553</v>
          </cell>
        </row>
        <row r="31">
          <cell r="B31" t="str">
            <v>BLUEWATER POWER DISTRIBUTION CORPORATION</v>
          </cell>
          <cell r="C31">
            <v>2008</v>
          </cell>
          <cell r="F31">
            <v>9004012.6099999994</v>
          </cell>
          <cell r="L31">
            <v>36218</v>
          </cell>
          <cell r="P31">
            <v>191640</v>
          </cell>
          <cell r="R31">
            <v>747</v>
          </cell>
          <cell r="T31">
            <v>0.23159303882195448</v>
          </cell>
        </row>
        <row r="32">
          <cell r="B32" t="str">
            <v>BLUEWATER POWER DISTRIBUTION CORPORATION</v>
          </cell>
          <cell r="C32">
            <v>2009</v>
          </cell>
          <cell r="F32">
            <v>9864044.9800000004</v>
          </cell>
          <cell r="L32">
            <v>35323</v>
          </cell>
          <cell r="P32">
            <v>168894</v>
          </cell>
          <cell r="R32">
            <v>751</v>
          </cell>
          <cell r="T32">
            <v>0.23568575233022637</v>
          </cell>
        </row>
        <row r="33">
          <cell r="B33" t="str">
            <v>BLUEWATER POWER DISTRIBUTION CORPORATION</v>
          </cell>
          <cell r="C33">
            <v>2010</v>
          </cell>
          <cell r="F33">
            <v>9775888.5999999996</v>
          </cell>
          <cell r="L33">
            <v>35688</v>
          </cell>
          <cell r="P33">
            <v>188562</v>
          </cell>
          <cell r="R33">
            <v>752</v>
          </cell>
          <cell r="T33">
            <v>0.23670212765957446</v>
          </cell>
        </row>
        <row r="34">
          <cell r="B34" t="str">
            <v>BLUEWATER POWER DISTRIBUTION CORPORATION</v>
          </cell>
          <cell r="C34">
            <v>2011</v>
          </cell>
          <cell r="F34">
            <v>10893953.789999999</v>
          </cell>
          <cell r="L34">
            <v>35772</v>
          </cell>
          <cell r="P34">
            <v>187658</v>
          </cell>
          <cell r="R34">
            <v>777</v>
          </cell>
          <cell r="T34">
            <v>0.25225225225225223</v>
          </cell>
        </row>
        <row r="35">
          <cell r="B35" t="str">
            <v>BLUEWATER POWER DISTRIBUTION CORPORATION</v>
          </cell>
          <cell r="C35">
            <v>2012</v>
          </cell>
          <cell r="F35">
            <v>10898384.141100001</v>
          </cell>
          <cell r="L35">
            <v>35820</v>
          </cell>
          <cell r="P35">
            <v>182509</v>
          </cell>
          <cell r="R35">
            <v>797</v>
          </cell>
          <cell r="T35">
            <v>0.26599749058971139</v>
          </cell>
        </row>
        <row r="50">
          <cell r="B50" t="str">
            <v>BRANTFORD POWER INC.</v>
          </cell>
          <cell r="C50">
            <v>2005</v>
          </cell>
          <cell r="F50">
            <v>6826172.9000000004</v>
          </cell>
          <cell r="L50">
            <v>35986</v>
          </cell>
          <cell r="P50">
            <v>192711</v>
          </cell>
          <cell r="R50">
            <v>478</v>
          </cell>
          <cell r="T50">
            <v>0.42468619246861927</v>
          </cell>
        </row>
        <row r="51">
          <cell r="B51" t="str">
            <v>BRANTFORD POWER INC.</v>
          </cell>
          <cell r="C51">
            <v>2006</v>
          </cell>
          <cell r="F51">
            <v>6026179.7300000004</v>
          </cell>
          <cell r="L51">
            <v>36569</v>
          </cell>
          <cell r="P51">
            <v>196464</v>
          </cell>
          <cell r="R51">
            <v>491</v>
          </cell>
          <cell r="T51">
            <v>0.43584521384928715</v>
          </cell>
        </row>
        <row r="52">
          <cell r="B52" t="str">
            <v>BRANTFORD POWER INC.</v>
          </cell>
          <cell r="C52">
            <v>2007</v>
          </cell>
          <cell r="F52">
            <v>7375870.4400000004</v>
          </cell>
          <cell r="L52">
            <v>37108</v>
          </cell>
          <cell r="P52">
            <v>191679</v>
          </cell>
          <cell r="R52">
            <v>490</v>
          </cell>
          <cell r="T52">
            <v>0.44285714285714284</v>
          </cell>
        </row>
        <row r="53">
          <cell r="B53" t="str">
            <v>BRANTFORD POWER INC.</v>
          </cell>
          <cell r="C53">
            <v>2008</v>
          </cell>
          <cell r="F53">
            <v>7449927.1529999999</v>
          </cell>
          <cell r="L53">
            <v>37473</v>
          </cell>
          <cell r="P53">
            <v>182439</v>
          </cell>
          <cell r="R53">
            <v>486</v>
          </cell>
          <cell r="T53">
            <v>0.45473251028806583</v>
          </cell>
        </row>
        <row r="54">
          <cell r="B54" t="str">
            <v>BRANTFORD POWER INC.</v>
          </cell>
          <cell r="C54">
            <v>2009</v>
          </cell>
          <cell r="F54">
            <v>7381417.7000000002</v>
          </cell>
          <cell r="L54">
            <v>37223</v>
          </cell>
          <cell r="P54">
            <v>180423</v>
          </cell>
          <cell r="R54">
            <v>541</v>
          </cell>
          <cell r="T54">
            <v>0.50831792975970425</v>
          </cell>
        </row>
        <row r="55">
          <cell r="B55" t="str">
            <v>BRANTFORD POWER INC.</v>
          </cell>
          <cell r="C55">
            <v>2010</v>
          </cell>
          <cell r="F55">
            <v>7198722.3799999999</v>
          </cell>
          <cell r="L55">
            <v>37654</v>
          </cell>
          <cell r="P55">
            <v>189600</v>
          </cell>
          <cell r="R55">
            <v>508</v>
          </cell>
          <cell r="T55">
            <v>0.4763779527559055</v>
          </cell>
        </row>
        <row r="56">
          <cell r="B56" t="str">
            <v>BRANTFORD POWER INC.</v>
          </cell>
          <cell r="C56">
            <v>2011</v>
          </cell>
          <cell r="F56">
            <v>6598559.6100000003</v>
          </cell>
          <cell r="L56">
            <v>37967</v>
          </cell>
          <cell r="P56">
            <v>192538</v>
          </cell>
          <cell r="R56">
            <v>649</v>
          </cell>
          <cell r="T56">
            <v>0.40061633281972264</v>
          </cell>
        </row>
        <row r="57">
          <cell r="B57" t="str">
            <v>BRANTFORD POWER INC.</v>
          </cell>
          <cell r="C57">
            <v>2012</v>
          </cell>
          <cell r="F57">
            <v>7799196.1700000009</v>
          </cell>
          <cell r="L57">
            <v>38263</v>
          </cell>
          <cell r="P57">
            <v>192045</v>
          </cell>
          <cell r="R57">
            <v>512</v>
          </cell>
          <cell r="T57">
            <v>0.46484375</v>
          </cell>
        </row>
        <row r="61">
          <cell r="B61" t="str">
            <v>BURLINGTON HYDRO INC.</v>
          </cell>
          <cell r="C61">
            <v>2005</v>
          </cell>
          <cell r="F61">
            <v>10467051.26</v>
          </cell>
          <cell r="L61">
            <v>59537</v>
          </cell>
          <cell r="P61">
            <v>364963</v>
          </cell>
          <cell r="R61">
            <v>1384</v>
          </cell>
          <cell r="T61">
            <v>0.41184971098265893</v>
          </cell>
        </row>
        <row r="62">
          <cell r="B62" t="str">
            <v>BURLINGTON HYDRO INC.</v>
          </cell>
          <cell r="C62">
            <v>2006</v>
          </cell>
          <cell r="F62">
            <v>11587446.66</v>
          </cell>
          <cell r="L62">
            <v>60749</v>
          </cell>
          <cell r="P62">
            <v>378162</v>
          </cell>
          <cell r="R62">
            <v>1511</v>
          </cell>
          <cell r="T62">
            <v>0.40767703507610853</v>
          </cell>
        </row>
        <row r="63">
          <cell r="B63" t="str">
            <v>BURLINGTON HYDRO INC.</v>
          </cell>
          <cell r="C63">
            <v>2007</v>
          </cell>
          <cell r="F63">
            <v>12009955.51</v>
          </cell>
          <cell r="L63">
            <v>61776</v>
          </cell>
          <cell r="P63">
            <v>367280</v>
          </cell>
          <cell r="R63">
            <v>1548</v>
          </cell>
          <cell r="T63">
            <v>0.40245478036175708</v>
          </cell>
        </row>
        <row r="64">
          <cell r="B64" t="str">
            <v>BURLINGTON HYDRO INC.</v>
          </cell>
          <cell r="C64">
            <v>2008</v>
          </cell>
          <cell r="F64">
            <v>12638483.060000001</v>
          </cell>
          <cell r="L64">
            <v>62737</v>
          </cell>
          <cell r="P64">
            <v>346409</v>
          </cell>
          <cell r="R64">
            <v>1643</v>
          </cell>
          <cell r="T64">
            <v>0.39013998782714548</v>
          </cell>
        </row>
        <row r="65">
          <cell r="B65" t="str">
            <v>BURLINGTON HYDRO INC.</v>
          </cell>
          <cell r="C65">
            <v>2009</v>
          </cell>
          <cell r="F65">
            <v>12936278.32</v>
          </cell>
          <cell r="L65">
            <v>63532</v>
          </cell>
          <cell r="P65">
            <v>350428</v>
          </cell>
          <cell r="R65">
            <v>1718</v>
          </cell>
          <cell r="T65">
            <v>0.38067520372526192</v>
          </cell>
        </row>
        <row r="66">
          <cell r="B66" t="str">
            <v>BURLINGTON HYDRO INC.</v>
          </cell>
          <cell r="C66">
            <v>2010</v>
          </cell>
          <cell r="F66">
            <v>13328484.169999998</v>
          </cell>
          <cell r="L66">
            <v>64329</v>
          </cell>
          <cell r="P66">
            <v>364929</v>
          </cell>
          <cell r="R66">
            <v>1727</v>
          </cell>
          <cell r="T66">
            <v>0.48697162709901565</v>
          </cell>
        </row>
        <row r="67">
          <cell r="B67" t="str">
            <v>BURLINGTON HYDRO INC.</v>
          </cell>
          <cell r="C67">
            <v>2011</v>
          </cell>
          <cell r="F67">
            <v>14278410.779999999</v>
          </cell>
          <cell r="L67">
            <v>64329</v>
          </cell>
          <cell r="P67">
            <v>379690</v>
          </cell>
          <cell r="R67">
            <v>1703</v>
          </cell>
          <cell r="T67">
            <v>0.4345273047563124</v>
          </cell>
        </row>
        <row r="68">
          <cell r="B68" t="str">
            <v>BURLINGTON HYDRO INC.</v>
          </cell>
          <cell r="C68">
            <v>2012</v>
          </cell>
          <cell r="F68">
            <v>15294576.514500001</v>
          </cell>
          <cell r="L68">
            <v>65377</v>
          </cell>
          <cell r="P68">
            <v>373210</v>
          </cell>
          <cell r="R68">
            <v>1520</v>
          </cell>
          <cell r="T68">
            <v>0.43289473684210528</v>
          </cell>
        </row>
        <row r="72">
          <cell r="B72" t="str">
            <v>CAMBRIDGE AND NORTH DUMFRIES HYDRO INC.</v>
          </cell>
          <cell r="C72">
            <v>2005</v>
          </cell>
          <cell r="F72">
            <v>7085857</v>
          </cell>
          <cell r="L72">
            <v>47346</v>
          </cell>
          <cell r="P72">
            <v>312448</v>
          </cell>
          <cell r="R72">
            <v>1089</v>
          </cell>
          <cell r="T72">
            <v>0.33241505968778695</v>
          </cell>
        </row>
        <row r="73">
          <cell r="B73" t="str">
            <v>CAMBRIDGE AND NORTH DUMFRIES HYDRO INC.</v>
          </cell>
          <cell r="C73">
            <v>2006</v>
          </cell>
          <cell r="F73">
            <v>7284438</v>
          </cell>
          <cell r="L73">
            <v>48619</v>
          </cell>
          <cell r="P73">
            <v>308912</v>
          </cell>
          <cell r="R73">
            <v>1097</v>
          </cell>
          <cell r="T73">
            <v>0.33637192342752964</v>
          </cell>
        </row>
        <row r="74">
          <cell r="B74" t="str">
            <v>CAMBRIDGE AND NORTH DUMFRIES HYDRO INC.</v>
          </cell>
          <cell r="C74">
            <v>2007</v>
          </cell>
          <cell r="F74">
            <v>8070932</v>
          </cell>
          <cell r="L74">
            <v>48944</v>
          </cell>
          <cell r="P74">
            <v>308393</v>
          </cell>
          <cell r="R74">
            <v>1101</v>
          </cell>
          <cell r="T74">
            <v>0.33878292461398729</v>
          </cell>
        </row>
        <row r="75">
          <cell r="B75" t="str">
            <v>CAMBRIDGE AND NORTH DUMFRIES HYDRO INC.</v>
          </cell>
          <cell r="C75">
            <v>2008</v>
          </cell>
          <cell r="F75">
            <v>8566682.8100000005</v>
          </cell>
          <cell r="L75">
            <v>49297</v>
          </cell>
          <cell r="P75">
            <v>291292</v>
          </cell>
          <cell r="R75">
            <v>1112</v>
          </cell>
          <cell r="T75">
            <v>0.34352517985611508</v>
          </cell>
        </row>
        <row r="76">
          <cell r="B76" t="str">
            <v>CAMBRIDGE AND NORTH DUMFRIES HYDRO INC.</v>
          </cell>
          <cell r="C76">
            <v>2009</v>
          </cell>
          <cell r="F76">
            <v>9538043.1500000004</v>
          </cell>
          <cell r="L76">
            <v>50136</v>
          </cell>
          <cell r="P76">
            <v>286911</v>
          </cell>
          <cell r="R76">
            <v>1105</v>
          </cell>
          <cell r="T76">
            <v>0.35927601809954751</v>
          </cell>
        </row>
        <row r="77">
          <cell r="B77" t="str">
            <v>CAMBRIDGE AND NORTH DUMFRIES HYDRO INC.</v>
          </cell>
          <cell r="C77">
            <v>2010</v>
          </cell>
          <cell r="F77">
            <v>9278421.1899999995</v>
          </cell>
          <cell r="L77">
            <v>50890</v>
          </cell>
          <cell r="P77">
            <v>302537</v>
          </cell>
          <cell r="R77">
            <v>1111</v>
          </cell>
          <cell r="T77">
            <v>0.36273627362736272</v>
          </cell>
        </row>
        <row r="78">
          <cell r="B78" t="str">
            <v>CAMBRIDGE AND NORTH DUMFRIES HYDRO INC.</v>
          </cell>
          <cell r="C78">
            <v>2011</v>
          </cell>
          <cell r="F78">
            <v>10516311.43</v>
          </cell>
          <cell r="L78">
            <v>51586</v>
          </cell>
          <cell r="P78">
            <v>309690</v>
          </cell>
          <cell r="R78">
            <v>1119</v>
          </cell>
          <cell r="T78">
            <v>0.36282394995531725</v>
          </cell>
        </row>
        <row r="79">
          <cell r="B79" t="str">
            <v>CAMBRIDGE AND NORTH DUMFRIES HYDRO INC.</v>
          </cell>
          <cell r="C79">
            <v>2012</v>
          </cell>
          <cell r="F79">
            <v>13013047.5408</v>
          </cell>
          <cell r="L79">
            <v>51985</v>
          </cell>
          <cell r="P79">
            <v>294037</v>
          </cell>
          <cell r="R79">
            <v>1124</v>
          </cell>
          <cell r="T79">
            <v>0.36743772241992884</v>
          </cell>
        </row>
        <row r="83">
          <cell r="B83" t="str">
            <v>CANADIAN NIAGARA POWER INC.</v>
          </cell>
          <cell r="C83">
            <v>2005</v>
          </cell>
          <cell r="F83">
            <v>8964722.1099999994</v>
          </cell>
          <cell r="L83">
            <v>27902</v>
          </cell>
          <cell r="P83">
            <v>115300</v>
          </cell>
          <cell r="R83">
            <v>976</v>
          </cell>
          <cell r="T83">
            <v>3.3811475409836068E-2</v>
          </cell>
        </row>
        <row r="84">
          <cell r="B84" t="str">
            <v>CANADIAN NIAGARA POWER INC.</v>
          </cell>
          <cell r="C84">
            <v>2006</v>
          </cell>
          <cell r="F84">
            <v>9847948.4600000009</v>
          </cell>
          <cell r="L84">
            <v>28024</v>
          </cell>
          <cell r="P84">
            <v>116948</v>
          </cell>
          <cell r="R84">
            <v>997</v>
          </cell>
          <cell r="T84">
            <v>4.9147442326980942E-2</v>
          </cell>
        </row>
        <row r="85">
          <cell r="B85" t="str">
            <v>CANADIAN NIAGARA POWER INC.</v>
          </cell>
          <cell r="C85">
            <v>2007</v>
          </cell>
          <cell r="F85">
            <v>10429196.25</v>
          </cell>
          <cell r="L85">
            <v>28205</v>
          </cell>
          <cell r="P85">
            <v>109596</v>
          </cell>
          <cell r="R85">
            <v>1031</v>
          </cell>
          <cell r="T85">
            <v>7.7594568380213391E-2</v>
          </cell>
        </row>
        <row r="86">
          <cell r="B86" t="str">
            <v>CANADIAN NIAGARA POWER INC.</v>
          </cell>
          <cell r="C86">
            <v>2008</v>
          </cell>
          <cell r="F86">
            <v>9089462.6899999976</v>
          </cell>
          <cell r="L86">
            <v>28388</v>
          </cell>
          <cell r="P86">
            <v>107227</v>
          </cell>
          <cell r="R86">
            <v>1012</v>
          </cell>
          <cell r="T86">
            <v>6.5217391304347824E-2</v>
          </cell>
        </row>
        <row r="87">
          <cell r="B87" t="str">
            <v>CANADIAN NIAGARA POWER INC.</v>
          </cell>
          <cell r="C87">
            <v>2009</v>
          </cell>
          <cell r="F87">
            <v>8029834.1999999993</v>
          </cell>
          <cell r="L87">
            <v>28291</v>
          </cell>
          <cell r="P87">
            <v>107124</v>
          </cell>
          <cell r="R87">
            <v>1012</v>
          </cell>
          <cell r="T87">
            <v>6.8181818181818177E-2</v>
          </cell>
        </row>
        <row r="88">
          <cell r="B88" t="str">
            <v>CANADIAN NIAGARA POWER INC.</v>
          </cell>
          <cell r="C88">
            <v>2010</v>
          </cell>
          <cell r="F88">
            <v>8766275.3200000003</v>
          </cell>
          <cell r="L88">
            <v>28365</v>
          </cell>
          <cell r="P88">
            <v>115700</v>
          </cell>
          <cell r="R88">
            <v>1019</v>
          </cell>
          <cell r="T88">
            <v>7.0657507360157024E-2</v>
          </cell>
        </row>
        <row r="89">
          <cell r="B89" t="str">
            <v>CANADIAN NIAGARA POWER INC.</v>
          </cell>
          <cell r="C89">
            <v>2011</v>
          </cell>
          <cell r="F89">
            <v>8827152.8599999994</v>
          </cell>
          <cell r="L89">
            <v>28397</v>
          </cell>
          <cell r="P89">
            <v>109934</v>
          </cell>
          <cell r="R89">
            <v>1022</v>
          </cell>
          <cell r="T89">
            <v>6.947162426614481E-2</v>
          </cell>
        </row>
        <row r="90">
          <cell r="B90" t="str">
            <v>CANADIAN NIAGARA POWER INC.</v>
          </cell>
          <cell r="C90">
            <v>2012</v>
          </cell>
          <cell r="F90">
            <v>7763192.21</v>
          </cell>
          <cell r="L90">
            <v>28429.036100828482</v>
          </cell>
          <cell r="P90">
            <v>109451</v>
          </cell>
          <cell r="R90">
            <v>1027</v>
          </cell>
          <cell r="T90">
            <v>7.108081791626096E-2</v>
          </cell>
        </row>
        <row r="94">
          <cell r="B94" t="str">
            <v>CENTRE WELLINGTON HYDRO LTD.</v>
          </cell>
          <cell r="C94">
            <v>2005</v>
          </cell>
          <cell r="F94">
            <v>1405800.75</v>
          </cell>
          <cell r="L94">
            <v>6086</v>
          </cell>
          <cell r="P94">
            <v>28286</v>
          </cell>
          <cell r="R94">
            <v>140</v>
          </cell>
          <cell r="T94">
            <v>0.45</v>
          </cell>
        </row>
        <row r="95">
          <cell r="B95" t="str">
            <v>CENTRE WELLINGTON HYDRO LTD.</v>
          </cell>
          <cell r="C95">
            <v>2006</v>
          </cell>
          <cell r="F95">
            <v>1429289.5799999998</v>
          </cell>
          <cell r="L95">
            <v>6158</v>
          </cell>
          <cell r="P95">
            <v>27179</v>
          </cell>
          <cell r="R95">
            <v>140</v>
          </cell>
          <cell r="T95">
            <v>0.45</v>
          </cell>
        </row>
        <row r="96">
          <cell r="B96" t="str">
            <v>CENTRE WELLINGTON HYDRO LTD.</v>
          </cell>
          <cell r="C96">
            <v>2007</v>
          </cell>
          <cell r="F96">
            <v>1502380.69</v>
          </cell>
          <cell r="L96">
            <v>6239</v>
          </cell>
          <cell r="P96">
            <v>27573</v>
          </cell>
          <cell r="R96">
            <v>146</v>
          </cell>
          <cell r="T96">
            <v>0.4726027397260274</v>
          </cell>
        </row>
        <row r="97">
          <cell r="B97" t="str">
            <v>CENTRE WELLINGTON HYDRO LTD.</v>
          </cell>
          <cell r="C97">
            <v>2008</v>
          </cell>
          <cell r="F97">
            <v>1594821.0299999998</v>
          </cell>
          <cell r="L97">
            <v>6309</v>
          </cell>
          <cell r="P97">
            <v>27584</v>
          </cell>
          <cell r="R97">
            <v>146</v>
          </cell>
          <cell r="T97">
            <v>0.4726027397260274</v>
          </cell>
        </row>
        <row r="98">
          <cell r="B98" t="str">
            <v>CENTRE WELLINGTON HYDRO LTD.</v>
          </cell>
          <cell r="C98">
            <v>2009</v>
          </cell>
          <cell r="F98">
            <v>1703756.63</v>
          </cell>
          <cell r="L98">
            <v>6380</v>
          </cell>
          <cell r="P98">
            <v>27294</v>
          </cell>
          <cell r="R98">
            <v>146</v>
          </cell>
          <cell r="T98">
            <v>0.4726027397260274</v>
          </cell>
        </row>
        <row r="99">
          <cell r="B99" t="str">
            <v>CENTRE WELLINGTON HYDRO LTD.</v>
          </cell>
          <cell r="C99">
            <v>2010</v>
          </cell>
          <cell r="F99">
            <v>1742752.47</v>
          </cell>
          <cell r="L99">
            <v>6463</v>
          </cell>
          <cell r="P99">
            <v>27922</v>
          </cell>
          <cell r="R99">
            <v>147</v>
          </cell>
          <cell r="T99">
            <v>0.46938775510204084</v>
          </cell>
        </row>
        <row r="100">
          <cell r="B100" t="str">
            <v>CENTRE WELLINGTON HYDRO LTD.</v>
          </cell>
          <cell r="C100">
            <v>2011</v>
          </cell>
          <cell r="F100">
            <v>1958569.88</v>
          </cell>
          <cell r="L100">
            <v>6496</v>
          </cell>
          <cell r="P100">
            <v>28006</v>
          </cell>
          <cell r="R100">
            <v>161</v>
          </cell>
          <cell r="T100">
            <v>0.43478260869565216</v>
          </cell>
        </row>
        <row r="101">
          <cell r="B101" t="str">
            <v>CENTRE WELLINGTON HYDRO LTD.</v>
          </cell>
          <cell r="C101">
            <v>2012</v>
          </cell>
          <cell r="F101">
            <v>2177202.6799999997</v>
          </cell>
          <cell r="L101">
            <v>6647</v>
          </cell>
          <cell r="P101">
            <v>28573</v>
          </cell>
          <cell r="R101">
            <v>149</v>
          </cell>
          <cell r="T101">
            <v>0.46979865771812079</v>
          </cell>
        </row>
        <row r="105">
          <cell r="B105" t="str">
            <v>CHAPLEAU PUBLIC UTILITIES CORPORATION</v>
          </cell>
          <cell r="C105">
            <v>2005</v>
          </cell>
          <cell r="F105">
            <v>521658.19</v>
          </cell>
          <cell r="L105">
            <v>1353</v>
          </cell>
          <cell r="P105">
            <v>7691</v>
          </cell>
          <cell r="R105">
            <v>27</v>
          </cell>
          <cell r="T105">
            <v>3.7037037037037035E-2</v>
          </cell>
        </row>
        <row r="106">
          <cell r="B106" t="str">
            <v>CHAPLEAU PUBLIC UTILITIES CORPORATION</v>
          </cell>
          <cell r="C106">
            <v>2006</v>
          </cell>
          <cell r="F106">
            <v>474009.24</v>
          </cell>
          <cell r="L106">
            <v>1316</v>
          </cell>
          <cell r="P106">
            <v>8879</v>
          </cell>
          <cell r="R106">
            <v>27</v>
          </cell>
          <cell r="T106">
            <v>3.7037037037037035E-2</v>
          </cell>
        </row>
        <row r="107">
          <cell r="B107" t="str">
            <v>CHAPLEAU PUBLIC UTILITIES CORPORATION</v>
          </cell>
          <cell r="C107">
            <v>2007</v>
          </cell>
          <cell r="F107">
            <v>627183.65999999992</v>
          </cell>
          <cell r="L107">
            <v>1338</v>
          </cell>
          <cell r="P107">
            <v>7058</v>
          </cell>
          <cell r="R107">
            <v>27</v>
          </cell>
          <cell r="T107">
            <v>3.7037037037037035E-2</v>
          </cell>
        </row>
        <row r="108">
          <cell r="B108" t="str">
            <v>CHAPLEAU PUBLIC UTILITIES CORPORATION</v>
          </cell>
          <cell r="C108">
            <v>2008</v>
          </cell>
          <cell r="F108">
            <v>580666.64</v>
          </cell>
          <cell r="L108">
            <v>1335</v>
          </cell>
          <cell r="P108">
            <v>6703</v>
          </cell>
          <cell r="R108">
            <v>27</v>
          </cell>
          <cell r="T108">
            <v>3.7037037037037035E-2</v>
          </cell>
        </row>
        <row r="109">
          <cell r="B109" t="str">
            <v>CHAPLEAU PUBLIC UTILITIES CORPORATION</v>
          </cell>
          <cell r="C109">
            <v>2009</v>
          </cell>
          <cell r="F109">
            <v>483671.37</v>
          </cell>
          <cell r="L109">
            <v>1320</v>
          </cell>
          <cell r="P109">
            <v>7365</v>
          </cell>
          <cell r="R109">
            <v>27</v>
          </cell>
          <cell r="T109">
            <v>3.7037037037037035E-2</v>
          </cell>
        </row>
        <row r="110">
          <cell r="B110" t="str">
            <v>CHAPLEAU PUBLIC UTILITIES CORPORATION</v>
          </cell>
          <cell r="C110">
            <v>2010</v>
          </cell>
          <cell r="F110">
            <v>538994.71</v>
          </cell>
          <cell r="L110">
            <v>1306</v>
          </cell>
          <cell r="P110">
            <v>6531</v>
          </cell>
          <cell r="R110">
            <v>27</v>
          </cell>
          <cell r="T110">
            <v>3.7037037037037035E-2</v>
          </cell>
        </row>
        <row r="111">
          <cell r="B111" t="str">
            <v>CHAPLEAU PUBLIC UTILITIES CORPORATION</v>
          </cell>
          <cell r="C111">
            <v>2011</v>
          </cell>
          <cell r="F111">
            <v>531716.38</v>
          </cell>
          <cell r="L111">
            <v>1293</v>
          </cell>
          <cell r="P111">
            <v>6676</v>
          </cell>
          <cell r="R111">
            <v>27</v>
          </cell>
          <cell r="T111">
            <v>3.7037037037037035E-2</v>
          </cell>
        </row>
        <row r="112">
          <cell r="B112" t="str">
            <v>CHAPLEAU PUBLIC UTILITIES CORPORATION</v>
          </cell>
          <cell r="C112">
            <v>2012</v>
          </cell>
          <cell r="F112">
            <v>631919.04020000005</v>
          </cell>
          <cell r="L112">
            <v>1275</v>
          </cell>
          <cell r="P112">
            <v>6359</v>
          </cell>
          <cell r="R112">
            <v>27</v>
          </cell>
          <cell r="T112">
            <v>3.7037037037037035E-2</v>
          </cell>
        </row>
        <row r="116">
          <cell r="B116" t="str">
            <v>COLLUS POWER CORPORATION</v>
          </cell>
          <cell r="C116">
            <v>2005</v>
          </cell>
          <cell r="F116">
            <v>2585797.98</v>
          </cell>
          <cell r="L116">
            <v>14124</v>
          </cell>
          <cell r="P116">
            <v>62540</v>
          </cell>
          <cell r="R116">
            <v>340</v>
          </cell>
          <cell r="T116">
            <v>0.3235294117647059</v>
          </cell>
        </row>
        <row r="117">
          <cell r="B117" t="str">
            <v>COLLUS POWER CORPORATION</v>
          </cell>
          <cell r="C117">
            <v>2006</v>
          </cell>
          <cell r="F117">
            <v>3162463.65</v>
          </cell>
          <cell r="L117">
            <v>14300</v>
          </cell>
          <cell r="P117">
            <v>58743</v>
          </cell>
          <cell r="R117">
            <v>350</v>
          </cell>
          <cell r="T117">
            <v>0.32857142857142857</v>
          </cell>
        </row>
        <row r="118">
          <cell r="B118" t="str">
            <v>COLLUS POWER CORPORATION</v>
          </cell>
          <cell r="C118">
            <v>2007</v>
          </cell>
          <cell r="F118">
            <v>3221238.9330000002</v>
          </cell>
          <cell r="L118">
            <v>14325</v>
          </cell>
          <cell r="P118">
            <v>62291</v>
          </cell>
          <cell r="R118">
            <v>322</v>
          </cell>
          <cell r="T118">
            <v>0.33850931677018631</v>
          </cell>
        </row>
        <row r="119">
          <cell r="B119" t="str">
            <v>COLLUS POWER CORPORATION</v>
          </cell>
          <cell r="C119">
            <v>2008</v>
          </cell>
          <cell r="F119">
            <v>3546305.34</v>
          </cell>
          <cell r="L119">
            <v>14387</v>
          </cell>
          <cell r="P119">
            <v>57168</v>
          </cell>
          <cell r="R119">
            <v>327</v>
          </cell>
          <cell r="T119">
            <v>0.34556574923547401</v>
          </cell>
        </row>
        <row r="120">
          <cell r="B120" t="str">
            <v>COLLUS POWER CORPORATION</v>
          </cell>
          <cell r="C120">
            <v>2009</v>
          </cell>
          <cell r="F120">
            <v>3866117.44</v>
          </cell>
          <cell r="L120">
            <v>14878</v>
          </cell>
          <cell r="P120">
            <v>59168</v>
          </cell>
          <cell r="R120">
            <v>338</v>
          </cell>
          <cell r="T120">
            <v>0.36982248520710059</v>
          </cell>
        </row>
        <row r="121">
          <cell r="B121" t="str">
            <v>COLLUS POWER CORPORATION</v>
          </cell>
          <cell r="C121">
            <v>2010</v>
          </cell>
          <cell r="F121">
            <v>3925598.5</v>
          </cell>
          <cell r="L121">
            <v>15533</v>
          </cell>
          <cell r="P121">
            <v>57125</v>
          </cell>
          <cell r="R121">
            <v>339</v>
          </cell>
          <cell r="T121">
            <v>0.3775811209439528</v>
          </cell>
        </row>
        <row r="122">
          <cell r="B122" t="str">
            <v>COLLUS POWER CORPORATION</v>
          </cell>
          <cell r="C122">
            <v>2011</v>
          </cell>
          <cell r="F122">
            <v>4064348.58</v>
          </cell>
          <cell r="L122">
            <v>15723</v>
          </cell>
          <cell r="P122">
            <v>58755</v>
          </cell>
          <cell r="R122">
            <v>339</v>
          </cell>
          <cell r="T122">
            <v>0.38938053097345132</v>
          </cell>
        </row>
        <row r="123">
          <cell r="B123" t="str">
            <v>COLLUS POWER CORPORATION</v>
          </cell>
          <cell r="C123">
            <v>2012</v>
          </cell>
          <cell r="F123">
            <v>4546539.3312999988</v>
          </cell>
          <cell r="L123">
            <v>15716</v>
          </cell>
          <cell r="P123">
            <v>56538</v>
          </cell>
          <cell r="R123">
            <v>344</v>
          </cell>
          <cell r="T123">
            <v>0.38662790697674421</v>
          </cell>
        </row>
        <row r="127">
          <cell r="B127" t="str">
            <v>COOPERATIVE HYDRO EMBRUN INC.</v>
          </cell>
          <cell r="C127">
            <v>2005</v>
          </cell>
          <cell r="F127">
            <v>356123.2</v>
          </cell>
          <cell r="L127">
            <v>1791</v>
          </cell>
          <cell r="P127">
            <v>6624</v>
          </cell>
          <cell r="R127">
            <v>28</v>
          </cell>
          <cell r="T127">
            <v>0.42857142857142855</v>
          </cell>
        </row>
        <row r="128">
          <cell r="B128" t="str">
            <v>COOPERATIVE HYDRO EMBRUN INC.</v>
          </cell>
          <cell r="C128">
            <v>2006</v>
          </cell>
          <cell r="F128">
            <v>361838.47000000003</v>
          </cell>
          <cell r="L128">
            <v>1836</v>
          </cell>
          <cell r="P128">
            <v>6286</v>
          </cell>
          <cell r="R128">
            <v>28</v>
          </cell>
          <cell r="T128">
            <v>0.42857142857142855</v>
          </cell>
        </row>
        <row r="129">
          <cell r="B129" t="str">
            <v>COOPERATIVE HYDRO EMBRUN INC.</v>
          </cell>
          <cell r="C129">
            <v>2007</v>
          </cell>
          <cell r="F129">
            <v>394002.13999999996</v>
          </cell>
          <cell r="L129">
            <v>1882</v>
          </cell>
          <cell r="P129">
            <v>7084</v>
          </cell>
          <cell r="R129">
            <v>27</v>
          </cell>
          <cell r="T129">
            <v>0.44444444444444442</v>
          </cell>
        </row>
        <row r="130">
          <cell r="B130" t="str">
            <v>COOPERATIVE HYDRO EMBRUN INC.</v>
          </cell>
          <cell r="C130">
            <v>2008</v>
          </cell>
          <cell r="F130">
            <v>404632.86</v>
          </cell>
          <cell r="L130">
            <v>1936</v>
          </cell>
          <cell r="P130">
            <v>6974</v>
          </cell>
          <cell r="R130">
            <v>27</v>
          </cell>
          <cell r="T130">
            <v>0.44444444444444442</v>
          </cell>
        </row>
        <row r="131">
          <cell r="B131" t="str">
            <v>COOPERATIVE HYDRO EMBRUN INC.</v>
          </cell>
          <cell r="C131">
            <v>2009</v>
          </cell>
          <cell r="F131">
            <v>412438.32000000007</v>
          </cell>
          <cell r="L131">
            <v>1941</v>
          </cell>
          <cell r="P131">
            <v>6862</v>
          </cell>
          <cell r="R131">
            <v>27</v>
          </cell>
          <cell r="T131">
            <v>0.44444444444444442</v>
          </cell>
        </row>
        <row r="132">
          <cell r="B132" t="str">
            <v>COOPERATIVE HYDRO EMBRUN INC.</v>
          </cell>
          <cell r="C132">
            <v>2010</v>
          </cell>
          <cell r="F132">
            <v>470780.59</v>
          </cell>
          <cell r="L132">
            <v>1958</v>
          </cell>
          <cell r="P132">
            <v>6862</v>
          </cell>
          <cell r="R132">
            <v>27</v>
          </cell>
          <cell r="T132">
            <v>0.44444444444444442</v>
          </cell>
        </row>
        <row r="133">
          <cell r="B133" t="str">
            <v>COOPERATIVE HYDRO EMBRUN INC.</v>
          </cell>
          <cell r="C133">
            <v>2011</v>
          </cell>
          <cell r="F133">
            <v>535734.99</v>
          </cell>
          <cell r="L133">
            <v>1954</v>
          </cell>
          <cell r="P133">
            <v>6744</v>
          </cell>
          <cell r="R133">
            <v>27</v>
          </cell>
          <cell r="T133">
            <v>0.44444444444444442</v>
          </cell>
        </row>
        <row r="134">
          <cell r="B134" t="str">
            <v>COOPERATIVE HYDRO EMBRUN INC.</v>
          </cell>
          <cell r="C134">
            <v>2012</v>
          </cell>
          <cell r="F134">
            <v>527730.87000000011</v>
          </cell>
          <cell r="L134">
            <v>1956</v>
          </cell>
          <cell r="P134">
            <v>6607</v>
          </cell>
          <cell r="R134">
            <v>27</v>
          </cell>
          <cell r="T134">
            <v>0.44444444444444442</v>
          </cell>
        </row>
        <row r="138">
          <cell r="B138" t="str">
            <v>E.L.K. ENERGY INC.</v>
          </cell>
          <cell r="C138">
            <v>2005</v>
          </cell>
          <cell r="F138">
            <v>1131676.1600000001</v>
          </cell>
          <cell r="L138">
            <v>10555</v>
          </cell>
          <cell r="P138">
            <v>47354</v>
          </cell>
          <cell r="R138">
            <v>142</v>
          </cell>
          <cell r="T138">
            <v>0.36619718309859156</v>
          </cell>
        </row>
        <row r="139">
          <cell r="B139" t="str">
            <v>E.L.K. ENERGY INC.</v>
          </cell>
          <cell r="C139">
            <v>2006</v>
          </cell>
          <cell r="F139">
            <v>1836458.6900000002</v>
          </cell>
          <cell r="L139">
            <v>10626</v>
          </cell>
          <cell r="P139">
            <v>53170</v>
          </cell>
          <cell r="R139">
            <v>145</v>
          </cell>
          <cell r="T139">
            <v>0.37931034482758619</v>
          </cell>
        </row>
        <row r="140">
          <cell r="B140" t="str">
            <v>E.L.K. ENERGY INC.</v>
          </cell>
          <cell r="C140">
            <v>2007</v>
          </cell>
          <cell r="F140">
            <v>2003360.8700000003</v>
          </cell>
          <cell r="L140">
            <v>10719</v>
          </cell>
          <cell r="P140">
            <v>61745</v>
          </cell>
          <cell r="R140">
            <v>146</v>
          </cell>
          <cell r="T140">
            <v>0.38356164383561642</v>
          </cell>
        </row>
        <row r="141">
          <cell r="B141" t="str">
            <v>E.L.K. ENERGY INC.</v>
          </cell>
          <cell r="C141">
            <v>2008</v>
          </cell>
          <cell r="F141">
            <v>1961735.7699999996</v>
          </cell>
          <cell r="L141">
            <v>10853</v>
          </cell>
          <cell r="P141">
            <v>58453</v>
          </cell>
          <cell r="R141">
            <v>147</v>
          </cell>
          <cell r="T141">
            <v>0.39455782312925169</v>
          </cell>
        </row>
        <row r="142">
          <cell r="B142" t="str">
            <v>E.L.K. ENERGY INC.</v>
          </cell>
          <cell r="C142">
            <v>2009</v>
          </cell>
          <cell r="F142">
            <v>2277825.1</v>
          </cell>
          <cell r="L142">
            <v>11112</v>
          </cell>
          <cell r="P142">
            <v>56218</v>
          </cell>
          <cell r="R142">
            <v>147</v>
          </cell>
          <cell r="T142">
            <v>0.39455782312925169</v>
          </cell>
        </row>
        <row r="143">
          <cell r="B143" t="str">
            <v>E.L.K. ENERGY INC.</v>
          </cell>
          <cell r="C143">
            <v>2010</v>
          </cell>
          <cell r="F143">
            <v>1868773.2000000002</v>
          </cell>
          <cell r="L143">
            <v>11205</v>
          </cell>
          <cell r="P143">
            <v>62277</v>
          </cell>
          <cell r="R143">
            <v>149</v>
          </cell>
          <cell r="T143">
            <v>0.40268456375838924</v>
          </cell>
        </row>
        <row r="144">
          <cell r="B144" t="str">
            <v>E.L.K. ENERGY INC.</v>
          </cell>
          <cell r="C144">
            <v>2011</v>
          </cell>
          <cell r="F144">
            <v>2100574.4600000004</v>
          </cell>
          <cell r="L144">
            <v>11276</v>
          </cell>
          <cell r="P144">
            <v>64272</v>
          </cell>
          <cell r="R144">
            <v>150</v>
          </cell>
          <cell r="T144">
            <v>0.40666666666666668</v>
          </cell>
        </row>
        <row r="145">
          <cell r="B145" t="str">
            <v>E.L.K. ENERGY INC.</v>
          </cell>
          <cell r="C145">
            <v>2012</v>
          </cell>
          <cell r="F145">
            <v>2301328.5700000003</v>
          </cell>
          <cell r="L145">
            <v>11371</v>
          </cell>
          <cell r="P145">
            <v>63217</v>
          </cell>
          <cell r="R145">
            <v>152</v>
          </cell>
          <cell r="T145">
            <v>0.41447368421052633</v>
          </cell>
        </row>
        <row r="149">
          <cell r="B149" t="str">
            <v>ENERSOURCE HYDRO MISSISSAUGA INC.</v>
          </cell>
          <cell r="C149">
            <v>2005</v>
          </cell>
          <cell r="F149">
            <v>37243069</v>
          </cell>
          <cell r="L149">
            <v>178140</v>
          </cell>
          <cell r="P149">
            <v>1570200</v>
          </cell>
          <cell r="R149">
            <v>5027</v>
          </cell>
          <cell r="T149">
            <v>0.65884225184006362</v>
          </cell>
        </row>
        <row r="150">
          <cell r="B150" t="str">
            <v>ENERSOURCE HYDRO MISSISSAUGA INC.</v>
          </cell>
          <cell r="C150">
            <v>2006</v>
          </cell>
          <cell r="F150">
            <v>37928325</v>
          </cell>
          <cell r="L150">
            <v>182596</v>
          </cell>
          <cell r="P150">
            <v>1610300</v>
          </cell>
          <cell r="R150">
            <v>5092</v>
          </cell>
          <cell r="T150">
            <v>0.65494893951296151</v>
          </cell>
        </row>
        <row r="151">
          <cell r="B151" t="str">
            <v>ENERSOURCE HYDRO MISSISSAUGA INC.</v>
          </cell>
          <cell r="C151">
            <v>2007</v>
          </cell>
          <cell r="F151">
            <v>42892374</v>
          </cell>
          <cell r="L151">
            <v>183715</v>
          </cell>
          <cell r="P151">
            <v>1556900</v>
          </cell>
          <cell r="R151">
            <v>5180</v>
          </cell>
          <cell r="T151">
            <v>0.6527027027027027</v>
          </cell>
        </row>
        <row r="152">
          <cell r="B152" t="str">
            <v>ENERSOURCE HYDRO MISSISSAUGA INC.</v>
          </cell>
          <cell r="C152">
            <v>2008</v>
          </cell>
          <cell r="F152">
            <v>42259513</v>
          </cell>
          <cell r="L152">
            <v>186929</v>
          </cell>
          <cell r="P152">
            <v>1507900</v>
          </cell>
          <cell r="R152">
            <v>5246</v>
          </cell>
          <cell r="T152">
            <v>0.65383149065955015</v>
          </cell>
        </row>
        <row r="153">
          <cell r="B153" t="str">
            <v>ENERSOURCE HYDRO MISSISSAUGA INC.</v>
          </cell>
          <cell r="C153">
            <v>2009</v>
          </cell>
          <cell r="F153">
            <v>47489950.774598919</v>
          </cell>
          <cell r="L153">
            <v>189540</v>
          </cell>
          <cell r="P153">
            <v>1504000</v>
          </cell>
          <cell r="R153">
            <v>5300</v>
          </cell>
          <cell r="T153">
            <v>0.65396226415094338</v>
          </cell>
        </row>
        <row r="154">
          <cell r="B154" t="str">
            <v>ENERSOURCE HYDRO MISSISSAUGA INC.</v>
          </cell>
          <cell r="C154">
            <v>2010</v>
          </cell>
          <cell r="F154">
            <v>41013152</v>
          </cell>
          <cell r="L154">
            <v>192960</v>
          </cell>
          <cell r="P154">
            <v>1546600</v>
          </cell>
          <cell r="R154">
            <v>5167</v>
          </cell>
          <cell r="T154">
            <v>0.65028062705631895</v>
          </cell>
        </row>
        <row r="155">
          <cell r="B155" t="str">
            <v>ENERSOURCE HYDRO MISSISSAUGA INC.</v>
          </cell>
          <cell r="C155">
            <v>2011</v>
          </cell>
          <cell r="F155">
            <v>42768101.390000001</v>
          </cell>
          <cell r="L155">
            <v>195381</v>
          </cell>
          <cell r="P155">
            <v>1606494</v>
          </cell>
          <cell r="R155">
            <v>5163</v>
          </cell>
          <cell r="T155">
            <v>0.65175285686616313</v>
          </cell>
        </row>
        <row r="156">
          <cell r="B156" t="str">
            <v>ENERSOURCE HYDRO MISSISSAUGA INC.</v>
          </cell>
          <cell r="C156">
            <v>2012</v>
          </cell>
          <cell r="F156">
            <v>50243869.109999999</v>
          </cell>
          <cell r="L156">
            <v>197746</v>
          </cell>
          <cell r="P156">
            <v>1552685</v>
          </cell>
          <cell r="R156">
            <v>5168</v>
          </cell>
          <cell r="T156">
            <v>0.65208978328173373</v>
          </cell>
        </row>
        <row r="160">
          <cell r="B160" t="str">
            <v>Entegrus Powerlines</v>
          </cell>
          <cell r="C160">
            <v>2005</v>
          </cell>
          <cell r="F160">
            <v>6773041.8600000003</v>
          </cell>
          <cell r="L160">
            <v>39559</v>
          </cell>
          <cell r="P160">
            <v>224559</v>
          </cell>
          <cell r="R160">
            <v>901</v>
          </cell>
          <cell r="T160">
            <v>0.28856825749167592</v>
          </cell>
        </row>
        <row r="161">
          <cell r="B161" t="str">
            <v>Entegrus Powerlines</v>
          </cell>
          <cell r="C161">
            <v>2006</v>
          </cell>
          <cell r="F161">
            <v>6778869.9100000001</v>
          </cell>
          <cell r="L161">
            <v>39667</v>
          </cell>
          <cell r="P161">
            <v>224070</v>
          </cell>
          <cell r="R161">
            <v>898</v>
          </cell>
          <cell r="T161">
            <v>0.26948775055679286</v>
          </cell>
        </row>
        <row r="162">
          <cell r="B162" t="str">
            <v>Entegrus Powerlines</v>
          </cell>
          <cell r="C162">
            <v>2007</v>
          </cell>
          <cell r="F162">
            <v>6787306.1299999999</v>
          </cell>
          <cell r="L162">
            <v>39163</v>
          </cell>
          <cell r="P162">
            <v>212105</v>
          </cell>
          <cell r="R162">
            <v>892</v>
          </cell>
          <cell r="T162">
            <v>0.26905829596412556</v>
          </cell>
        </row>
        <row r="163">
          <cell r="B163" t="str">
            <v>Entegrus Powerlines</v>
          </cell>
          <cell r="C163">
            <v>2008</v>
          </cell>
          <cell r="F163">
            <v>7060017.3499999996</v>
          </cell>
          <cell r="L163">
            <v>39120</v>
          </cell>
          <cell r="P163">
            <v>202817</v>
          </cell>
          <cell r="R163">
            <v>901</v>
          </cell>
          <cell r="T163">
            <v>0.27857935627081021</v>
          </cell>
        </row>
        <row r="164">
          <cell r="B164" t="str">
            <v>Entegrus Powerlines</v>
          </cell>
          <cell r="C164">
            <v>2009</v>
          </cell>
          <cell r="F164">
            <v>7101983.1200000001</v>
          </cell>
          <cell r="L164">
            <v>39836</v>
          </cell>
          <cell r="P164">
            <v>184677</v>
          </cell>
          <cell r="R164">
            <v>935</v>
          </cell>
          <cell r="T164">
            <v>0.27058823529411763</v>
          </cell>
        </row>
        <row r="165">
          <cell r="B165" t="str">
            <v>Entegrus Powerlines</v>
          </cell>
          <cell r="C165">
            <v>2010</v>
          </cell>
          <cell r="F165">
            <v>8108604.8001489053</v>
          </cell>
          <cell r="L165">
            <v>39892</v>
          </cell>
          <cell r="P165">
            <v>198400</v>
          </cell>
          <cell r="R165">
            <v>1008</v>
          </cell>
          <cell r="T165">
            <v>0.30753968253968256</v>
          </cell>
        </row>
        <row r="166">
          <cell r="B166" t="str">
            <v>Entegrus Powerlines</v>
          </cell>
          <cell r="C166">
            <v>2011</v>
          </cell>
          <cell r="F166">
            <v>8427827.8200000003</v>
          </cell>
          <cell r="L166">
            <v>40120</v>
          </cell>
          <cell r="P166">
            <v>173385</v>
          </cell>
          <cell r="R166">
            <v>946</v>
          </cell>
          <cell r="T166">
            <v>0.28329809725158561</v>
          </cell>
        </row>
        <row r="167">
          <cell r="B167" t="str">
            <v>Entegrus Powerlines</v>
          </cell>
          <cell r="C167">
            <v>2012</v>
          </cell>
          <cell r="F167">
            <v>7989409.8829510966</v>
          </cell>
          <cell r="L167">
            <v>40232</v>
          </cell>
          <cell r="P167">
            <v>199699</v>
          </cell>
          <cell r="R167">
            <v>959</v>
          </cell>
          <cell r="T167">
            <v>0.28154327424400416</v>
          </cell>
        </row>
        <row r="171">
          <cell r="B171" t="str">
            <v>ENWIN UTILITIES LTD.</v>
          </cell>
          <cell r="C171">
            <v>2005</v>
          </cell>
          <cell r="F171">
            <v>20930759</v>
          </cell>
          <cell r="L171">
            <v>84254</v>
          </cell>
          <cell r="P171">
            <v>640300</v>
          </cell>
          <cell r="R171">
            <v>1184</v>
          </cell>
          <cell r="T171">
            <v>0.31334459459459457</v>
          </cell>
        </row>
        <row r="172">
          <cell r="B172" t="str">
            <v>ENWIN UTILITIES LTD.</v>
          </cell>
          <cell r="C172">
            <v>2006</v>
          </cell>
          <cell r="F172">
            <v>21191645</v>
          </cell>
          <cell r="L172">
            <v>84701</v>
          </cell>
          <cell r="P172">
            <v>656700</v>
          </cell>
          <cell r="R172">
            <v>1158</v>
          </cell>
          <cell r="T172">
            <v>0.38514680483592401</v>
          </cell>
        </row>
        <row r="173">
          <cell r="B173" t="str">
            <v>ENWIN UTILITIES LTD.</v>
          </cell>
          <cell r="C173">
            <v>2007</v>
          </cell>
          <cell r="F173">
            <v>28361380</v>
          </cell>
          <cell r="L173">
            <v>84757</v>
          </cell>
          <cell r="P173">
            <v>577900</v>
          </cell>
          <cell r="R173">
            <v>1133</v>
          </cell>
          <cell r="T173">
            <v>0.36187113857016767</v>
          </cell>
        </row>
        <row r="174">
          <cell r="B174" t="str">
            <v>ENWIN UTILITIES LTD.</v>
          </cell>
          <cell r="C174">
            <v>2008</v>
          </cell>
          <cell r="F174">
            <v>20523552</v>
          </cell>
          <cell r="L174">
            <v>84644</v>
          </cell>
          <cell r="P174">
            <v>532600</v>
          </cell>
          <cell r="R174">
            <v>1133</v>
          </cell>
          <cell r="T174">
            <v>0.36187113857016767</v>
          </cell>
        </row>
        <row r="175">
          <cell r="B175" t="str">
            <v>ENWIN UTILITIES LTD.</v>
          </cell>
          <cell r="C175">
            <v>2009</v>
          </cell>
          <cell r="F175">
            <v>19235053.399999999</v>
          </cell>
          <cell r="L175">
            <v>84697</v>
          </cell>
          <cell r="P175">
            <v>494900</v>
          </cell>
          <cell r="R175">
            <v>1127</v>
          </cell>
          <cell r="T175">
            <v>0.36734693877551022</v>
          </cell>
        </row>
        <row r="176">
          <cell r="B176" t="str">
            <v>ENWIN UTILITIES LTD.</v>
          </cell>
          <cell r="C176">
            <v>2010</v>
          </cell>
          <cell r="F176">
            <v>21711555</v>
          </cell>
          <cell r="L176">
            <v>84866</v>
          </cell>
          <cell r="P176">
            <v>517600</v>
          </cell>
          <cell r="R176">
            <v>1179</v>
          </cell>
          <cell r="T176">
            <v>0.39525021204410515</v>
          </cell>
        </row>
        <row r="177">
          <cell r="B177" t="str">
            <v>ENWIN UTILITIES LTD.</v>
          </cell>
          <cell r="C177">
            <v>2011</v>
          </cell>
          <cell r="F177">
            <v>22272713.23</v>
          </cell>
          <cell r="L177">
            <v>85083</v>
          </cell>
          <cell r="P177">
            <v>550900</v>
          </cell>
          <cell r="R177">
            <v>1176</v>
          </cell>
          <cell r="T177">
            <v>0.39710884353741499</v>
          </cell>
        </row>
        <row r="178">
          <cell r="B178" t="str">
            <v>ENWIN UTILITIES LTD.</v>
          </cell>
          <cell r="C178">
            <v>2012</v>
          </cell>
          <cell r="F178">
            <v>25470629.300000001</v>
          </cell>
          <cell r="L178">
            <v>85620</v>
          </cell>
          <cell r="P178">
            <v>516300</v>
          </cell>
          <cell r="R178">
            <v>1159</v>
          </cell>
          <cell r="T178">
            <v>0.40379637618636754</v>
          </cell>
        </row>
        <row r="182">
          <cell r="B182" t="str">
            <v>ERIE THAMES POWERLINES CORPORATION</v>
          </cell>
          <cell r="C182">
            <v>2005</v>
          </cell>
          <cell r="F182">
            <v>4837388.540000001</v>
          </cell>
          <cell r="L182">
            <v>17179</v>
          </cell>
          <cell r="P182">
            <v>86411</v>
          </cell>
          <cell r="R182">
            <v>313</v>
          </cell>
          <cell r="T182">
            <v>0.2108626198083067</v>
          </cell>
        </row>
        <row r="183">
          <cell r="B183" t="str">
            <v>ERIE THAMES POWERLINES CORPORATION</v>
          </cell>
          <cell r="C183">
            <v>2006</v>
          </cell>
          <cell r="F183">
            <v>5184097.3900000006</v>
          </cell>
          <cell r="L183">
            <v>15423</v>
          </cell>
          <cell r="P183">
            <v>95023</v>
          </cell>
          <cell r="R183">
            <v>313</v>
          </cell>
          <cell r="T183">
            <v>0.2108626198083067</v>
          </cell>
        </row>
        <row r="184">
          <cell r="B184" t="str">
            <v>ERIE THAMES POWERLINES CORPORATION</v>
          </cell>
          <cell r="C184">
            <v>2007</v>
          </cell>
          <cell r="F184">
            <v>5882967.2099999981</v>
          </cell>
          <cell r="L184">
            <v>17854</v>
          </cell>
          <cell r="P184">
            <v>94218</v>
          </cell>
          <cell r="R184">
            <v>308</v>
          </cell>
          <cell r="T184">
            <v>0.20454545454545456</v>
          </cell>
        </row>
        <row r="185">
          <cell r="B185" t="str">
            <v>ERIE THAMES POWERLINES CORPORATION</v>
          </cell>
          <cell r="C185">
            <v>2008</v>
          </cell>
          <cell r="F185">
            <v>6070536.1300000008</v>
          </cell>
          <cell r="L185">
            <v>16319</v>
          </cell>
          <cell r="P185">
            <v>87672</v>
          </cell>
          <cell r="R185">
            <v>301</v>
          </cell>
          <cell r="T185">
            <v>0.21926910299003322</v>
          </cell>
        </row>
        <row r="186">
          <cell r="B186" t="str">
            <v>ERIE THAMES POWERLINES CORPORATION</v>
          </cell>
          <cell r="C186">
            <v>2009</v>
          </cell>
          <cell r="F186">
            <v>5648401.2200000007</v>
          </cell>
          <cell r="L186">
            <v>17631</v>
          </cell>
          <cell r="P186">
            <v>92950</v>
          </cell>
          <cell r="R186">
            <v>327</v>
          </cell>
          <cell r="T186">
            <v>0.22324159021406728</v>
          </cell>
        </row>
        <row r="187">
          <cell r="B187" t="str">
            <v>ERIE THAMES POWERLINES CORPORATION</v>
          </cell>
          <cell r="C187">
            <v>2010</v>
          </cell>
          <cell r="F187">
            <v>5859021.3499999996</v>
          </cell>
          <cell r="L187">
            <v>18061</v>
          </cell>
          <cell r="P187">
            <v>91125</v>
          </cell>
          <cell r="R187">
            <v>327</v>
          </cell>
          <cell r="T187">
            <v>0.22324159021406728</v>
          </cell>
        </row>
        <row r="188">
          <cell r="B188" t="str">
            <v>ERIE THAMES POWERLINES CORPORATION</v>
          </cell>
          <cell r="C188">
            <v>2011</v>
          </cell>
          <cell r="F188">
            <v>5712760.2300000004</v>
          </cell>
          <cell r="L188">
            <v>18094</v>
          </cell>
          <cell r="P188">
            <v>92146</v>
          </cell>
          <cell r="R188">
            <v>327</v>
          </cell>
          <cell r="T188">
            <v>0.22324159021406728</v>
          </cell>
        </row>
        <row r="189">
          <cell r="B189" t="str">
            <v>ERIE THAMES POWERLINES CORPORATION</v>
          </cell>
          <cell r="C189">
            <v>2012</v>
          </cell>
          <cell r="F189">
            <v>4853651.0199999996</v>
          </cell>
          <cell r="L189">
            <v>18451</v>
          </cell>
          <cell r="P189">
            <v>95349</v>
          </cell>
          <cell r="R189">
            <v>337</v>
          </cell>
          <cell r="T189">
            <v>0.26112759643916916</v>
          </cell>
        </row>
        <row r="193">
          <cell r="B193" t="str">
            <v>ESPANOLA REGIONAL HYDRO DISTRIBUTION CORPORATION</v>
          </cell>
          <cell r="C193">
            <v>2005</v>
          </cell>
          <cell r="F193">
            <v>763976.04</v>
          </cell>
          <cell r="L193">
            <v>3315</v>
          </cell>
          <cell r="P193">
            <v>15021</v>
          </cell>
          <cell r="R193">
            <v>136</v>
          </cell>
          <cell r="T193">
            <v>8.0882352941176475E-2</v>
          </cell>
        </row>
        <row r="194">
          <cell r="B194" t="str">
            <v>ESPANOLA REGIONAL HYDRO DISTRIBUTION CORPORATION</v>
          </cell>
          <cell r="C194">
            <v>2006</v>
          </cell>
          <cell r="F194">
            <v>1011143.6565</v>
          </cell>
          <cell r="L194">
            <v>3331</v>
          </cell>
          <cell r="P194">
            <v>13185</v>
          </cell>
          <cell r="R194">
            <v>136</v>
          </cell>
          <cell r="T194">
            <v>8.0882352941176475E-2</v>
          </cell>
        </row>
        <row r="195">
          <cell r="B195" t="str">
            <v>ESPANOLA REGIONAL HYDRO DISTRIBUTION CORPORATION</v>
          </cell>
          <cell r="C195">
            <v>2007</v>
          </cell>
          <cell r="F195">
            <v>1029756.5210000001</v>
          </cell>
          <cell r="L195">
            <v>3316</v>
          </cell>
          <cell r="P195">
            <v>13650</v>
          </cell>
          <cell r="R195">
            <v>137</v>
          </cell>
          <cell r="T195">
            <v>8.0291970802919707E-2</v>
          </cell>
        </row>
        <row r="196">
          <cell r="B196" t="str">
            <v>ESPANOLA REGIONAL HYDRO DISTRIBUTION CORPORATION</v>
          </cell>
          <cell r="C196">
            <v>2008</v>
          </cell>
          <cell r="F196">
            <v>1067943.0460000001</v>
          </cell>
          <cell r="L196">
            <v>3349</v>
          </cell>
          <cell r="P196">
            <v>14006</v>
          </cell>
          <cell r="R196">
            <v>137</v>
          </cell>
          <cell r="T196">
            <v>8.0291970802919707E-2</v>
          </cell>
        </row>
        <row r="197">
          <cell r="B197" t="str">
            <v>ESPANOLA REGIONAL HYDRO DISTRIBUTION CORPORATION</v>
          </cell>
          <cell r="C197">
            <v>2009</v>
          </cell>
          <cell r="F197">
            <v>1155418.8715000001</v>
          </cell>
          <cell r="L197">
            <v>3359</v>
          </cell>
          <cell r="P197">
            <v>15590</v>
          </cell>
          <cell r="R197">
            <v>137</v>
          </cell>
          <cell r="T197">
            <v>8.0291970802919707E-2</v>
          </cell>
        </row>
        <row r="198">
          <cell r="B198" t="str">
            <v>ESPANOLA REGIONAL HYDRO DISTRIBUTION CORPORATION</v>
          </cell>
          <cell r="C198">
            <v>2010</v>
          </cell>
          <cell r="F198">
            <v>1077275.4345</v>
          </cell>
          <cell r="L198">
            <v>3300</v>
          </cell>
          <cell r="P198">
            <v>13449</v>
          </cell>
          <cell r="R198">
            <v>137</v>
          </cell>
          <cell r="T198">
            <v>8.0291970802919707E-2</v>
          </cell>
        </row>
        <row r="199">
          <cell r="B199" t="str">
            <v>ESPANOLA REGIONAL HYDRO DISTRIBUTION CORPORATION</v>
          </cell>
          <cell r="C199">
            <v>2011</v>
          </cell>
          <cell r="F199">
            <v>1123586.6852195316</v>
          </cell>
          <cell r="L199">
            <v>3299</v>
          </cell>
          <cell r="P199">
            <v>13753</v>
          </cell>
          <cell r="R199">
            <v>137</v>
          </cell>
          <cell r="T199">
            <v>8.0291970802919707E-2</v>
          </cell>
        </row>
        <row r="200">
          <cell r="B200" t="str">
            <v>ESPANOLA REGIONAL HYDRO DISTRIBUTION CORPORATION</v>
          </cell>
          <cell r="C200">
            <v>2012</v>
          </cell>
          <cell r="F200">
            <v>1305450.9510999999</v>
          </cell>
          <cell r="L200">
            <v>3302</v>
          </cell>
          <cell r="P200">
            <v>12524</v>
          </cell>
          <cell r="R200">
            <v>137</v>
          </cell>
          <cell r="T200">
            <v>8.0291970802919707E-2</v>
          </cell>
        </row>
        <row r="204">
          <cell r="B204" t="str">
            <v>ESSEX POWERLINES CORPORATION</v>
          </cell>
          <cell r="C204">
            <v>2005</v>
          </cell>
          <cell r="F204">
            <v>6312487.5199999996</v>
          </cell>
          <cell r="L204">
            <v>27437</v>
          </cell>
          <cell r="P204">
            <v>138842</v>
          </cell>
          <cell r="R204">
            <v>458</v>
          </cell>
          <cell r="T204">
            <v>0.49126637554585151</v>
          </cell>
        </row>
        <row r="205">
          <cell r="B205" t="str">
            <v>ESSEX POWERLINES CORPORATION</v>
          </cell>
          <cell r="C205">
            <v>2006</v>
          </cell>
          <cell r="F205">
            <v>5913543.3100000005</v>
          </cell>
          <cell r="L205">
            <v>27636</v>
          </cell>
          <cell r="P205">
            <v>142300</v>
          </cell>
          <cell r="R205">
            <v>462</v>
          </cell>
          <cell r="T205">
            <v>0.49567099567099565</v>
          </cell>
        </row>
        <row r="206">
          <cell r="B206" t="str">
            <v>ESSEX POWERLINES CORPORATION</v>
          </cell>
          <cell r="C206">
            <v>2007</v>
          </cell>
          <cell r="F206">
            <v>5567984.7500000009</v>
          </cell>
          <cell r="L206">
            <v>27789</v>
          </cell>
          <cell r="P206">
            <v>142300</v>
          </cell>
          <cell r="R206">
            <v>469</v>
          </cell>
          <cell r="T206">
            <v>0.50319829424307039</v>
          </cell>
        </row>
        <row r="207">
          <cell r="B207" t="str">
            <v>ESSEX POWERLINES CORPORATION</v>
          </cell>
          <cell r="C207">
            <v>2008</v>
          </cell>
          <cell r="F207">
            <v>5190316.9799999995</v>
          </cell>
          <cell r="L207">
            <v>27929</v>
          </cell>
          <cell r="P207">
            <v>137328</v>
          </cell>
          <cell r="R207">
            <v>467</v>
          </cell>
          <cell r="T207">
            <v>0.51391862955032119</v>
          </cell>
        </row>
        <row r="208">
          <cell r="B208" t="str">
            <v>ESSEX POWERLINES CORPORATION</v>
          </cell>
          <cell r="C208">
            <v>2009</v>
          </cell>
          <cell r="F208">
            <v>5059688.21</v>
          </cell>
          <cell r="L208">
            <v>28054</v>
          </cell>
          <cell r="P208">
            <v>122372</v>
          </cell>
          <cell r="R208">
            <v>458</v>
          </cell>
          <cell r="T208">
            <v>0.52183406113537123</v>
          </cell>
        </row>
        <row r="209">
          <cell r="B209" t="str">
            <v>ESSEX POWERLINES CORPORATION</v>
          </cell>
          <cell r="C209">
            <v>2010</v>
          </cell>
          <cell r="F209">
            <v>5372816.1799999997</v>
          </cell>
          <cell r="L209">
            <v>28183</v>
          </cell>
          <cell r="P209">
            <v>143420</v>
          </cell>
          <cell r="R209">
            <v>476</v>
          </cell>
          <cell r="T209">
            <v>0.54411764705882348</v>
          </cell>
        </row>
        <row r="210">
          <cell r="B210" t="str">
            <v>ESSEX POWERLINES CORPORATION</v>
          </cell>
          <cell r="C210">
            <v>2011</v>
          </cell>
          <cell r="F210">
            <v>5443560.0460022558</v>
          </cell>
          <cell r="L210">
            <v>28094</v>
          </cell>
          <cell r="P210">
            <v>125478</v>
          </cell>
          <cell r="R210">
            <v>465</v>
          </cell>
          <cell r="T210">
            <v>0.54623655913978497</v>
          </cell>
        </row>
        <row r="211">
          <cell r="B211" t="str">
            <v>ESSEX POWERLINES CORPORATION</v>
          </cell>
          <cell r="C211">
            <v>2012</v>
          </cell>
          <cell r="F211">
            <v>6034094.5385246938</v>
          </cell>
          <cell r="L211">
            <v>28130</v>
          </cell>
          <cell r="P211">
            <v>122227</v>
          </cell>
          <cell r="R211">
            <v>448</v>
          </cell>
          <cell r="T211">
            <v>0.5535714285714286</v>
          </cell>
        </row>
        <row r="215">
          <cell r="B215" t="str">
            <v>FESTIVAL HYDRO INC.</v>
          </cell>
          <cell r="C215">
            <v>2005</v>
          </cell>
          <cell r="F215">
            <v>3037717.34</v>
          </cell>
          <cell r="L215">
            <v>18860</v>
          </cell>
          <cell r="P215">
            <v>101863</v>
          </cell>
          <cell r="R215">
            <v>275</v>
          </cell>
          <cell r="T215">
            <v>0.32727272727272727</v>
          </cell>
        </row>
        <row r="216">
          <cell r="B216" t="str">
            <v>FESTIVAL HYDRO INC.</v>
          </cell>
          <cell r="C216">
            <v>2006</v>
          </cell>
          <cell r="F216">
            <v>3204669.17</v>
          </cell>
          <cell r="L216">
            <v>19025</v>
          </cell>
          <cell r="P216">
            <v>111673</v>
          </cell>
          <cell r="R216">
            <v>274</v>
          </cell>
          <cell r="T216">
            <v>0.32846715328467152</v>
          </cell>
        </row>
        <row r="217">
          <cell r="B217" t="str">
            <v>FESTIVAL HYDRO INC.</v>
          </cell>
          <cell r="C217">
            <v>2007</v>
          </cell>
          <cell r="F217">
            <v>3327747.33</v>
          </cell>
          <cell r="L217">
            <v>19262</v>
          </cell>
          <cell r="P217">
            <v>107690</v>
          </cell>
          <cell r="R217">
            <v>274</v>
          </cell>
          <cell r="T217">
            <v>0.32846715328467152</v>
          </cell>
        </row>
        <row r="218">
          <cell r="B218" t="str">
            <v>FESTIVAL HYDRO INC.</v>
          </cell>
          <cell r="C218">
            <v>2008</v>
          </cell>
          <cell r="F218">
            <v>3575171.32</v>
          </cell>
          <cell r="L218">
            <v>19394</v>
          </cell>
          <cell r="P218">
            <v>105205</v>
          </cell>
          <cell r="R218">
            <v>274</v>
          </cell>
          <cell r="T218">
            <v>0.32846715328467152</v>
          </cell>
        </row>
        <row r="219">
          <cell r="B219" t="str">
            <v>FESTIVAL HYDRO INC.</v>
          </cell>
          <cell r="C219">
            <v>2009</v>
          </cell>
          <cell r="F219">
            <v>3609098.86</v>
          </cell>
          <cell r="L219">
            <v>19531</v>
          </cell>
          <cell r="P219">
            <v>99720</v>
          </cell>
          <cell r="R219">
            <v>276</v>
          </cell>
          <cell r="T219">
            <v>0.33333333333333331</v>
          </cell>
        </row>
        <row r="220">
          <cell r="B220" t="str">
            <v>FESTIVAL HYDRO INC.</v>
          </cell>
          <cell r="C220">
            <v>2010</v>
          </cell>
          <cell r="F220">
            <v>3818263.7799999993</v>
          </cell>
          <cell r="L220">
            <v>19579</v>
          </cell>
          <cell r="P220">
            <v>103100</v>
          </cell>
          <cell r="R220">
            <v>277</v>
          </cell>
          <cell r="T220">
            <v>0.33212996389891697</v>
          </cell>
        </row>
        <row r="221">
          <cell r="B221" t="str">
            <v>FESTIVAL HYDRO INC.</v>
          </cell>
          <cell r="C221">
            <v>2011</v>
          </cell>
          <cell r="F221">
            <v>3938592.28</v>
          </cell>
          <cell r="L221">
            <v>19885</v>
          </cell>
          <cell r="P221">
            <v>107415</v>
          </cell>
          <cell r="R221">
            <v>277</v>
          </cell>
          <cell r="T221">
            <v>0.33212996389891697</v>
          </cell>
        </row>
        <row r="222">
          <cell r="B222" t="str">
            <v>FESTIVAL HYDRO INC.</v>
          </cell>
          <cell r="C222">
            <v>2012</v>
          </cell>
          <cell r="F222">
            <v>4528911.2516520014</v>
          </cell>
          <cell r="L222">
            <v>20057</v>
          </cell>
          <cell r="P222">
            <v>104736</v>
          </cell>
          <cell r="R222">
            <v>277</v>
          </cell>
          <cell r="T222">
            <v>0.33212996389891697</v>
          </cell>
        </row>
        <row r="237">
          <cell r="B237" t="str">
            <v>FORT FRANCES POWER CORPORATION</v>
          </cell>
          <cell r="C237">
            <v>2005</v>
          </cell>
          <cell r="F237">
            <v>1039412.9999999999</v>
          </cell>
          <cell r="L237">
            <v>4040</v>
          </cell>
          <cell r="P237">
            <v>18575</v>
          </cell>
          <cell r="R237">
            <v>84</v>
          </cell>
          <cell r="T237">
            <v>0</v>
          </cell>
        </row>
        <row r="238">
          <cell r="B238" t="str">
            <v>FORT FRANCES POWER CORPORATION</v>
          </cell>
          <cell r="C238">
            <v>2006</v>
          </cell>
          <cell r="F238">
            <v>1050968.82</v>
          </cell>
          <cell r="L238">
            <v>3981</v>
          </cell>
          <cell r="P238">
            <v>17382</v>
          </cell>
          <cell r="R238">
            <v>84</v>
          </cell>
          <cell r="T238">
            <v>0</v>
          </cell>
        </row>
        <row r="239">
          <cell r="B239" t="str">
            <v>FORT FRANCES POWER CORPORATION</v>
          </cell>
          <cell r="C239">
            <v>2007</v>
          </cell>
          <cell r="F239">
            <v>1125424.8</v>
          </cell>
          <cell r="L239">
            <v>3864</v>
          </cell>
          <cell r="P239">
            <v>18097</v>
          </cell>
          <cell r="R239">
            <v>84</v>
          </cell>
          <cell r="T239">
            <v>9.5238095238095233E-2</v>
          </cell>
        </row>
        <row r="240">
          <cell r="B240" t="str">
            <v>FORT FRANCES POWER CORPORATION</v>
          </cell>
          <cell r="C240">
            <v>2008</v>
          </cell>
          <cell r="F240">
            <v>1257859.71</v>
          </cell>
          <cell r="L240">
            <v>4001</v>
          </cell>
          <cell r="P240">
            <v>18421</v>
          </cell>
          <cell r="R240">
            <v>84</v>
          </cell>
          <cell r="T240">
            <v>9.5238095238095233E-2</v>
          </cell>
        </row>
        <row r="241">
          <cell r="B241" t="str">
            <v>FORT FRANCES POWER CORPORATION</v>
          </cell>
          <cell r="C241">
            <v>2009</v>
          </cell>
          <cell r="F241">
            <v>1310033.75</v>
          </cell>
          <cell r="L241">
            <v>3761</v>
          </cell>
          <cell r="P241">
            <v>18432</v>
          </cell>
          <cell r="R241">
            <v>84</v>
          </cell>
          <cell r="T241">
            <v>9.5238095238095233E-2</v>
          </cell>
        </row>
        <row r="242">
          <cell r="B242" t="str">
            <v>FORT FRANCES POWER CORPORATION</v>
          </cell>
          <cell r="C242">
            <v>2010</v>
          </cell>
          <cell r="F242">
            <v>1291457.74</v>
          </cell>
          <cell r="L242">
            <v>3777</v>
          </cell>
          <cell r="P242">
            <v>18000</v>
          </cell>
          <cell r="R242">
            <v>84</v>
          </cell>
          <cell r="T242">
            <v>9.5238095238095233E-2</v>
          </cell>
        </row>
        <row r="243">
          <cell r="B243" t="str">
            <v>FORT FRANCES POWER CORPORATION</v>
          </cell>
          <cell r="C243">
            <v>2011</v>
          </cell>
          <cell r="F243">
            <v>1291776.72</v>
          </cell>
          <cell r="L243">
            <v>3775</v>
          </cell>
          <cell r="P243">
            <v>16925</v>
          </cell>
          <cell r="R243">
            <v>74</v>
          </cell>
          <cell r="T243">
            <v>0.10810810810810811</v>
          </cell>
        </row>
        <row r="244">
          <cell r="B244" t="str">
            <v>FORT FRANCES POWER CORPORATION</v>
          </cell>
          <cell r="C244">
            <v>2012</v>
          </cell>
          <cell r="F244">
            <v>1519108.3457000002</v>
          </cell>
          <cell r="L244">
            <v>3780</v>
          </cell>
          <cell r="P244">
            <v>16288</v>
          </cell>
          <cell r="R244">
            <v>74</v>
          </cell>
          <cell r="T244">
            <v>0.10810810810810811</v>
          </cell>
        </row>
        <row r="248">
          <cell r="B248" t="str">
            <v>GREATER SUDBURY HYDRO INC.</v>
          </cell>
          <cell r="C248">
            <v>2005</v>
          </cell>
          <cell r="F248">
            <v>9548117.120000001</v>
          </cell>
          <cell r="L248">
            <v>45915</v>
          </cell>
          <cell r="P248">
            <v>193604</v>
          </cell>
          <cell r="R248">
            <v>870</v>
          </cell>
          <cell r="T248">
            <v>0.20114942528735633</v>
          </cell>
        </row>
        <row r="249">
          <cell r="B249" t="str">
            <v>GREATER SUDBURY HYDRO INC.</v>
          </cell>
          <cell r="C249">
            <v>2006</v>
          </cell>
          <cell r="F249">
            <v>9356104.8499999996</v>
          </cell>
          <cell r="L249">
            <v>46020</v>
          </cell>
          <cell r="P249">
            <v>187511</v>
          </cell>
          <cell r="R249">
            <v>871</v>
          </cell>
          <cell r="T249">
            <v>0.20091848450057406</v>
          </cell>
        </row>
        <row r="250">
          <cell r="B250" t="str">
            <v>GREATER SUDBURY HYDRO INC.</v>
          </cell>
          <cell r="C250">
            <v>2007</v>
          </cell>
          <cell r="F250">
            <v>15842248</v>
          </cell>
          <cell r="L250">
            <v>46451</v>
          </cell>
          <cell r="P250">
            <v>195452</v>
          </cell>
          <cell r="R250">
            <v>871</v>
          </cell>
          <cell r="T250">
            <v>0.20091848450057406</v>
          </cell>
        </row>
        <row r="251">
          <cell r="B251" t="str">
            <v>GREATER SUDBURY HYDRO INC.</v>
          </cell>
          <cell r="C251">
            <v>2008</v>
          </cell>
          <cell r="F251">
            <v>10582173.16</v>
          </cell>
          <cell r="L251">
            <v>46215</v>
          </cell>
          <cell r="P251">
            <v>189105</v>
          </cell>
          <cell r="R251">
            <v>871</v>
          </cell>
          <cell r="T251">
            <v>0.20091848450057406</v>
          </cell>
        </row>
        <row r="252">
          <cell r="B252" t="str">
            <v>GREATER SUDBURY HYDRO INC.</v>
          </cell>
          <cell r="C252">
            <v>2009</v>
          </cell>
          <cell r="F252">
            <v>11183125.449999997</v>
          </cell>
          <cell r="L252">
            <v>46349</v>
          </cell>
          <cell r="P252">
            <v>206940</v>
          </cell>
          <cell r="R252">
            <v>944</v>
          </cell>
          <cell r="T252">
            <v>0.22563559322033899</v>
          </cell>
        </row>
        <row r="253">
          <cell r="B253" t="str">
            <v>GREATER SUDBURY HYDRO INC.</v>
          </cell>
          <cell r="C253">
            <v>2010</v>
          </cell>
          <cell r="F253">
            <v>7497420.9500000002</v>
          </cell>
          <cell r="L253">
            <v>46710</v>
          </cell>
          <cell r="P253">
            <v>206940</v>
          </cell>
          <cell r="R253">
            <v>944</v>
          </cell>
          <cell r="T253">
            <v>0.22563559322033899</v>
          </cell>
        </row>
        <row r="254">
          <cell r="B254" t="str">
            <v>GREATER SUDBURY HYDRO INC.</v>
          </cell>
          <cell r="C254">
            <v>2011</v>
          </cell>
          <cell r="F254">
            <v>12104256.969999999</v>
          </cell>
          <cell r="L254">
            <v>46748</v>
          </cell>
          <cell r="P254">
            <v>196115</v>
          </cell>
          <cell r="R254">
            <v>962</v>
          </cell>
          <cell r="T254">
            <v>0.2338877338877339</v>
          </cell>
        </row>
        <row r="255">
          <cell r="B255" t="str">
            <v>GREATER SUDBURY HYDRO INC.</v>
          </cell>
          <cell r="C255">
            <v>2012</v>
          </cell>
          <cell r="F255">
            <v>12803057.430000002</v>
          </cell>
          <cell r="L255">
            <v>46879</v>
          </cell>
          <cell r="P255">
            <v>180332</v>
          </cell>
          <cell r="R255">
            <v>971</v>
          </cell>
          <cell r="T255">
            <v>0.23480947476828012</v>
          </cell>
        </row>
        <row r="259">
          <cell r="B259" t="str">
            <v>GRIMSBY POWER INCORPORATED</v>
          </cell>
          <cell r="C259">
            <v>2005</v>
          </cell>
          <cell r="F259">
            <v>1511846.4799999997</v>
          </cell>
          <cell r="L259">
            <v>9530</v>
          </cell>
          <cell r="P259">
            <v>39019</v>
          </cell>
          <cell r="R259">
            <v>238</v>
          </cell>
          <cell r="T259">
            <v>0.24369747899159663</v>
          </cell>
        </row>
        <row r="260">
          <cell r="B260" t="str">
            <v>GRIMSBY POWER INCORPORATED</v>
          </cell>
          <cell r="C260">
            <v>2006</v>
          </cell>
          <cell r="F260">
            <v>1460166</v>
          </cell>
          <cell r="L260">
            <v>9508</v>
          </cell>
          <cell r="P260">
            <v>42675</v>
          </cell>
          <cell r="R260">
            <v>202</v>
          </cell>
          <cell r="T260">
            <v>0.24257425742574257</v>
          </cell>
        </row>
        <row r="261">
          <cell r="B261" t="str">
            <v>GRIMSBY POWER INCORPORATED</v>
          </cell>
          <cell r="C261">
            <v>2007</v>
          </cell>
          <cell r="F261">
            <v>1617824.35</v>
          </cell>
          <cell r="L261">
            <v>9792</v>
          </cell>
          <cell r="P261">
            <v>42790</v>
          </cell>
          <cell r="R261">
            <v>235</v>
          </cell>
          <cell r="T261">
            <v>0.24255319148936169</v>
          </cell>
        </row>
        <row r="262">
          <cell r="B262" t="str">
            <v>GRIMSBY POWER INCORPORATED</v>
          </cell>
          <cell r="C262">
            <v>2008</v>
          </cell>
          <cell r="F262">
            <v>1744924.6500000001</v>
          </cell>
          <cell r="L262">
            <v>9937</v>
          </cell>
          <cell r="P262">
            <v>39817</v>
          </cell>
          <cell r="R262">
            <v>238</v>
          </cell>
          <cell r="T262">
            <v>0.25210084033613445</v>
          </cell>
        </row>
        <row r="263">
          <cell r="B263" t="str">
            <v>GRIMSBY POWER INCORPORATED</v>
          </cell>
          <cell r="C263">
            <v>2009</v>
          </cell>
          <cell r="F263">
            <v>1744090.7000000002</v>
          </cell>
          <cell r="L263">
            <v>9992</v>
          </cell>
          <cell r="P263">
            <v>40871</v>
          </cell>
          <cell r="R263">
            <v>172</v>
          </cell>
          <cell r="T263">
            <v>0.19186046511627908</v>
          </cell>
        </row>
        <row r="264">
          <cell r="B264" t="str">
            <v>GRIMSBY POWER INCORPORATED</v>
          </cell>
          <cell r="C264">
            <v>2010</v>
          </cell>
          <cell r="F264">
            <v>1776406.4500000002</v>
          </cell>
          <cell r="L264">
            <v>10151</v>
          </cell>
          <cell r="P264">
            <v>57081</v>
          </cell>
          <cell r="R264">
            <v>241</v>
          </cell>
          <cell r="T264">
            <v>0.28215767634854771</v>
          </cell>
        </row>
        <row r="265">
          <cell r="B265" t="str">
            <v>GRIMSBY POWER INCORPORATED</v>
          </cell>
          <cell r="C265">
            <v>2011</v>
          </cell>
          <cell r="F265">
            <v>2078668.08</v>
          </cell>
          <cell r="L265">
            <v>10307</v>
          </cell>
          <cell r="P265">
            <v>44698</v>
          </cell>
          <cell r="R265">
            <v>240</v>
          </cell>
          <cell r="T265">
            <v>0.29166666666666669</v>
          </cell>
        </row>
        <row r="266">
          <cell r="B266" t="str">
            <v>GRIMSBY POWER INCORPORATED</v>
          </cell>
          <cell r="C266">
            <v>2012</v>
          </cell>
          <cell r="F266">
            <v>2862102.4245000002</v>
          </cell>
          <cell r="L266">
            <v>10488</v>
          </cell>
          <cell r="P266">
            <v>43383</v>
          </cell>
          <cell r="R266">
            <v>238</v>
          </cell>
          <cell r="T266">
            <v>0.29411764705882354</v>
          </cell>
        </row>
        <row r="270">
          <cell r="B270" t="str">
            <v>GUELPH HYDRO ELECTRIC SYSTEMS INC.</v>
          </cell>
          <cell r="C270">
            <v>2005</v>
          </cell>
          <cell r="F270">
            <v>8566317.6400000006</v>
          </cell>
          <cell r="L270">
            <v>56177</v>
          </cell>
          <cell r="P270">
            <v>283187</v>
          </cell>
          <cell r="R270">
            <v>976</v>
          </cell>
          <cell r="T270">
            <v>0.56762295081967218</v>
          </cell>
        </row>
        <row r="271">
          <cell r="B271" t="str">
            <v>GUELPH HYDRO ELECTRIC SYSTEMS INC.</v>
          </cell>
          <cell r="C271">
            <v>2006</v>
          </cell>
          <cell r="F271">
            <v>8663975.1600000001</v>
          </cell>
          <cell r="L271">
            <v>58941</v>
          </cell>
          <cell r="P271">
            <v>285750</v>
          </cell>
          <cell r="R271">
            <v>1002</v>
          </cell>
          <cell r="T271">
            <v>0.57584830339321358</v>
          </cell>
        </row>
        <row r="272">
          <cell r="B272" t="str">
            <v>GUELPH HYDRO ELECTRIC SYSTEMS INC.</v>
          </cell>
          <cell r="C272">
            <v>2007</v>
          </cell>
          <cell r="F272">
            <v>10126682.710000001</v>
          </cell>
          <cell r="L272">
            <v>47720</v>
          </cell>
          <cell r="P272">
            <v>281377</v>
          </cell>
          <cell r="R272">
            <v>1030</v>
          </cell>
          <cell r="T272">
            <v>0.58640776699029129</v>
          </cell>
        </row>
        <row r="273">
          <cell r="B273" t="str">
            <v>GUELPH HYDRO ELECTRIC SYSTEMS INC.</v>
          </cell>
          <cell r="C273">
            <v>2008</v>
          </cell>
          <cell r="F273">
            <v>10008088.84</v>
          </cell>
          <cell r="L273">
            <v>48914</v>
          </cell>
          <cell r="P273">
            <v>273898</v>
          </cell>
          <cell r="R273">
            <v>1049</v>
          </cell>
          <cell r="T273">
            <v>0.59103908484270729</v>
          </cell>
        </row>
        <row r="274">
          <cell r="B274" t="str">
            <v>GUELPH HYDRO ELECTRIC SYSTEMS INC.</v>
          </cell>
          <cell r="C274">
            <v>2009</v>
          </cell>
          <cell r="F274">
            <v>9246692.0600000005</v>
          </cell>
          <cell r="L274">
            <v>49259</v>
          </cell>
          <cell r="P274">
            <v>267576</v>
          </cell>
          <cell r="R274">
            <v>1063</v>
          </cell>
          <cell r="T274">
            <v>0.59830667920978364</v>
          </cell>
        </row>
        <row r="275">
          <cell r="B275" t="str">
            <v>GUELPH HYDRO ELECTRIC SYSTEMS INC.</v>
          </cell>
          <cell r="C275">
            <v>2010</v>
          </cell>
          <cell r="F275">
            <v>9673287.379999999</v>
          </cell>
          <cell r="L275">
            <v>50250</v>
          </cell>
          <cell r="P275">
            <v>285955</v>
          </cell>
          <cell r="R275">
            <v>1065</v>
          </cell>
          <cell r="T275">
            <v>0.59906103286384982</v>
          </cell>
        </row>
        <row r="276">
          <cell r="B276" t="str">
            <v>GUELPH HYDRO ELECTRIC SYSTEMS INC.</v>
          </cell>
          <cell r="C276">
            <v>2011</v>
          </cell>
          <cell r="F276">
            <v>12601319.65</v>
          </cell>
          <cell r="L276">
            <v>50859</v>
          </cell>
          <cell r="P276">
            <v>297500</v>
          </cell>
          <cell r="R276">
            <v>1084</v>
          </cell>
          <cell r="T276">
            <v>0.60332103321033215</v>
          </cell>
        </row>
        <row r="277">
          <cell r="B277" t="str">
            <v>GUELPH HYDRO ELECTRIC SYSTEMS INC.</v>
          </cell>
          <cell r="C277">
            <v>2012</v>
          </cell>
          <cell r="F277">
            <v>13183392.096979281</v>
          </cell>
          <cell r="L277">
            <v>51553</v>
          </cell>
          <cell r="P277">
            <v>294400</v>
          </cell>
          <cell r="R277">
            <v>1103</v>
          </cell>
          <cell r="T277">
            <v>0.60924750679963735</v>
          </cell>
        </row>
        <row r="281">
          <cell r="B281" t="str">
            <v>HALDIMAND COUNTY HYDRO INC.</v>
          </cell>
          <cell r="C281">
            <v>2005</v>
          </cell>
          <cell r="F281">
            <v>5281192.7700000005</v>
          </cell>
          <cell r="L281">
            <v>20462</v>
          </cell>
          <cell r="P281">
            <v>88622</v>
          </cell>
          <cell r="R281">
            <v>1665</v>
          </cell>
          <cell r="T281">
            <v>4.8048048048048048E-2</v>
          </cell>
        </row>
        <row r="282">
          <cell r="B282" t="str">
            <v>HALDIMAND COUNTY HYDRO INC.</v>
          </cell>
          <cell r="C282">
            <v>2006</v>
          </cell>
          <cell r="F282">
            <v>5413403.7999999998</v>
          </cell>
          <cell r="L282">
            <v>20577</v>
          </cell>
          <cell r="P282">
            <v>84996</v>
          </cell>
          <cell r="R282">
            <v>1693</v>
          </cell>
          <cell r="T282">
            <v>4.6072061429415237E-2</v>
          </cell>
        </row>
        <row r="283">
          <cell r="B283" t="str">
            <v>HALDIMAND COUNTY HYDRO INC.</v>
          </cell>
          <cell r="C283">
            <v>2007</v>
          </cell>
          <cell r="F283">
            <v>7039704.9399999995</v>
          </cell>
          <cell r="L283">
            <v>20698</v>
          </cell>
          <cell r="P283">
            <v>87934</v>
          </cell>
          <cell r="R283">
            <v>1706</v>
          </cell>
          <cell r="T283">
            <v>4.7479484173505275E-2</v>
          </cell>
        </row>
        <row r="284">
          <cell r="B284" t="str">
            <v>HALDIMAND COUNTY HYDRO INC.</v>
          </cell>
          <cell r="C284">
            <v>2008</v>
          </cell>
          <cell r="F284">
            <v>7029184.6200000001</v>
          </cell>
          <cell r="L284">
            <v>20815</v>
          </cell>
          <cell r="P284">
            <v>88198</v>
          </cell>
          <cell r="R284">
            <v>1716</v>
          </cell>
          <cell r="T284">
            <v>4.8368298368298368E-2</v>
          </cell>
        </row>
        <row r="285">
          <cell r="B285" t="str">
            <v>HALDIMAND COUNTY HYDRO INC.</v>
          </cell>
          <cell r="C285">
            <v>2009</v>
          </cell>
          <cell r="F285">
            <v>6898409.6900000004</v>
          </cell>
          <cell r="L285">
            <v>20827</v>
          </cell>
          <cell r="P285">
            <v>114709</v>
          </cell>
          <cell r="R285">
            <v>1731</v>
          </cell>
          <cell r="T285">
            <v>5.0837666088965915E-2</v>
          </cell>
        </row>
        <row r="286">
          <cell r="B286" t="str">
            <v>HALDIMAND COUNTY HYDRO INC.</v>
          </cell>
          <cell r="C286">
            <v>2010</v>
          </cell>
          <cell r="F286">
            <v>6738999.3200000003</v>
          </cell>
          <cell r="L286">
            <v>20971</v>
          </cell>
          <cell r="P286">
            <v>98223</v>
          </cell>
          <cell r="R286">
            <v>1723</v>
          </cell>
          <cell r="T286">
            <v>5.1654091700522348E-2</v>
          </cell>
        </row>
        <row r="287">
          <cell r="B287" t="str">
            <v>HALDIMAND COUNTY HYDRO INC.</v>
          </cell>
          <cell r="C287">
            <v>2011</v>
          </cell>
          <cell r="F287">
            <v>7283286.9500000002</v>
          </cell>
          <cell r="L287">
            <v>21078</v>
          </cell>
          <cell r="P287">
            <v>100582</v>
          </cell>
          <cell r="R287">
            <v>1734</v>
          </cell>
          <cell r="T287">
            <v>5.3056516724336797E-2</v>
          </cell>
        </row>
        <row r="288">
          <cell r="B288" t="str">
            <v>HALDIMAND COUNTY HYDRO INC.</v>
          </cell>
          <cell r="C288">
            <v>2012</v>
          </cell>
          <cell r="F288">
            <v>8017287.1363000004</v>
          </cell>
          <cell r="L288">
            <v>21166</v>
          </cell>
          <cell r="P288">
            <v>97028</v>
          </cell>
          <cell r="R288">
            <v>1748</v>
          </cell>
          <cell r="T288">
            <v>5.4919908466819219E-2</v>
          </cell>
        </row>
        <row r="292">
          <cell r="B292" t="str">
            <v>HALTON HILLS HYDRO INC.</v>
          </cell>
          <cell r="C292">
            <v>2005</v>
          </cell>
          <cell r="F292">
            <v>3711596</v>
          </cell>
          <cell r="L292">
            <v>19873</v>
          </cell>
          <cell r="P292">
            <v>108866</v>
          </cell>
          <cell r="R292">
            <v>1320</v>
          </cell>
          <cell r="T292">
            <v>0.3371212121212121</v>
          </cell>
        </row>
        <row r="293">
          <cell r="B293" t="str">
            <v>HALTON HILLS HYDRO INC.</v>
          </cell>
          <cell r="C293">
            <v>2006</v>
          </cell>
          <cell r="F293">
            <v>4352958</v>
          </cell>
          <cell r="L293">
            <v>19007</v>
          </cell>
          <cell r="P293">
            <v>108866</v>
          </cell>
          <cell r="R293">
            <v>1332</v>
          </cell>
          <cell r="T293">
            <v>0.34234234234234234</v>
          </cell>
        </row>
        <row r="294">
          <cell r="B294" t="str">
            <v>HALTON HILLS HYDRO INC.</v>
          </cell>
          <cell r="C294">
            <v>2007</v>
          </cell>
          <cell r="F294">
            <v>4201279</v>
          </cell>
          <cell r="L294">
            <v>20078</v>
          </cell>
          <cell r="P294">
            <v>122494</v>
          </cell>
          <cell r="R294">
            <v>1344</v>
          </cell>
          <cell r="T294">
            <v>0.34449404761904762</v>
          </cell>
        </row>
        <row r="295">
          <cell r="B295" t="str">
            <v>HALTON HILLS HYDRO INC.</v>
          </cell>
          <cell r="C295">
            <v>2008</v>
          </cell>
          <cell r="F295">
            <v>4979699</v>
          </cell>
          <cell r="L295">
            <v>20818</v>
          </cell>
          <cell r="P295">
            <v>99539</v>
          </cell>
          <cell r="R295">
            <v>1363</v>
          </cell>
          <cell r="T295">
            <v>0.35289801907556861</v>
          </cell>
        </row>
        <row r="296">
          <cell r="B296" t="str">
            <v>HALTON HILLS HYDRO INC.</v>
          </cell>
          <cell r="C296">
            <v>2009</v>
          </cell>
          <cell r="F296">
            <v>4353194</v>
          </cell>
          <cell r="L296">
            <v>21044</v>
          </cell>
          <cell r="P296">
            <v>97839</v>
          </cell>
          <cell r="R296">
            <v>1363</v>
          </cell>
          <cell r="T296">
            <v>0.35289801907556861</v>
          </cell>
        </row>
        <row r="297">
          <cell r="B297" t="str">
            <v>HALTON HILLS HYDRO INC.</v>
          </cell>
          <cell r="C297">
            <v>2010</v>
          </cell>
          <cell r="F297">
            <v>4289387</v>
          </cell>
          <cell r="L297">
            <v>20790</v>
          </cell>
          <cell r="P297">
            <v>107148</v>
          </cell>
          <cell r="R297">
            <v>1404</v>
          </cell>
          <cell r="T297">
            <v>0.38817663817663817</v>
          </cell>
        </row>
        <row r="298">
          <cell r="B298" t="str">
            <v>HALTON HILLS HYDRO INC.</v>
          </cell>
          <cell r="C298">
            <v>2011</v>
          </cell>
          <cell r="F298">
            <v>4766673</v>
          </cell>
          <cell r="L298">
            <v>21232</v>
          </cell>
          <cell r="P298">
            <v>110391</v>
          </cell>
          <cell r="R298">
            <v>1464</v>
          </cell>
          <cell r="T298">
            <v>0.39344262295081966</v>
          </cell>
        </row>
        <row r="299">
          <cell r="B299" t="str">
            <v>HALTON HILLS HYDRO INC.</v>
          </cell>
          <cell r="C299">
            <v>2012</v>
          </cell>
          <cell r="F299">
            <v>5536316.9132676758</v>
          </cell>
          <cell r="L299">
            <v>20893</v>
          </cell>
          <cell r="R299">
            <v>1497</v>
          </cell>
          <cell r="T299">
            <v>0.40414161656646624</v>
          </cell>
        </row>
        <row r="303">
          <cell r="B303" t="str">
            <v>HEARST POWER DISTRIBUTION COMPANY LIMITED</v>
          </cell>
          <cell r="C303">
            <v>2005</v>
          </cell>
          <cell r="F303">
            <v>594375.69000000006</v>
          </cell>
          <cell r="L303">
            <v>2780</v>
          </cell>
          <cell r="P303">
            <v>22617</v>
          </cell>
          <cell r="R303">
            <v>68</v>
          </cell>
          <cell r="T303">
            <v>0.16176470588235295</v>
          </cell>
        </row>
        <row r="304">
          <cell r="B304" t="str">
            <v>HEARST POWER DISTRIBUTION COMPANY LIMITED</v>
          </cell>
          <cell r="C304">
            <v>2006</v>
          </cell>
          <cell r="F304">
            <v>641459.08000000007</v>
          </cell>
          <cell r="L304">
            <v>2757</v>
          </cell>
          <cell r="P304">
            <v>20766</v>
          </cell>
          <cell r="R304">
            <v>68</v>
          </cell>
          <cell r="T304">
            <v>0.16176470588235295</v>
          </cell>
        </row>
        <row r="305">
          <cell r="B305" t="str">
            <v>HEARST POWER DISTRIBUTION COMPANY LIMITED</v>
          </cell>
          <cell r="C305">
            <v>2007</v>
          </cell>
          <cell r="F305">
            <v>660439.75</v>
          </cell>
          <cell r="L305">
            <v>2772</v>
          </cell>
          <cell r="P305">
            <v>21901</v>
          </cell>
          <cell r="R305">
            <v>68</v>
          </cell>
          <cell r="T305">
            <v>0.16176470588235295</v>
          </cell>
        </row>
        <row r="306">
          <cell r="B306" t="str">
            <v>HEARST POWER DISTRIBUTION COMPANY LIMITED</v>
          </cell>
          <cell r="C306">
            <v>2008</v>
          </cell>
          <cell r="F306">
            <v>677866.85800000012</v>
          </cell>
          <cell r="L306">
            <v>2763</v>
          </cell>
          <cell r="P306">
            <v>17862</v>
          </cell>
          <cell r="R306">
            <v>68</v>
          </cell>
          <cell r="T306">
            <v>0.16176470588235295</v>
          </cell>
        </row>
        <row r="307">
          <cell r="B307" t="str">
            <v>HEARST POWER DISTRIBUTION COMPANY LIMITED</v>
          </cell>
          <cell r="C307">
            <v>2009</v>
          </cell>
          <cell r="F307">
            <v>840535.79</v>
          </cell>
          <cell r="L307">
            <v>2764</v>
          </cell>
          <cell r="P307">
            <v>18067</v>
          </cell>
          <cell r="R307">
            <v>68</v>
          </cell>
          <cell r="T307">
            <v>0.16176470588235295</v>
          </cell>
        </row>
        <row r="308">
          <cell r="B308" t="str">
            <v>HEARST POWER DISTRIBUTION COMPANY LIMITED</v>
          </cell>
          <cell r="C308">
            <v>2010</v>
          </cell>
          <cell r="F308">
            <v>799440.63</v>
          </cell>
          <cell r="L308">
            <v>2734</v>
          </cell>
          <cell r="P308">
            <v>16576</v>
          </cell>
          <cell r="R308">
            <v>68</v>
          </cell>
          <cell r="T308">
            <v>0.16176470588235295</v>
          </cell>
        </row>
        <row r="309">
          <cell r="B309" t="str">
            <v>HEARST POWER DISTRIBUTION COMPANY LIMITED</v>
          </cell>
          <cell r="C309">
            <v>2011</v>
          </cell>
          <cell r="F309">
            <v>819663.00999999989</v>
          </cell>
          <cell r="L309">
            <v>2817</v>
          </cell>
          <cell r="P309">
            <v>16328</v>
          </cell>
          <cell r="R309">
            <v>68</v>
          </cell>
          <cell r="T309">
            <v>0.16176470588235295</v>
          </cell>
        </row>
        <row r="310">
          <cell r="B310" t="str">
            <v>HEARST POWER DISTRIBUTION COMPANY LIMITED</v>
          </cell>
          <cell r="C310">
            <v>2012</v>
          </cell>
          <cell r="F310">
            <v>823872.43</v>
          </cell>
          <cell r="L310">
            <v>2787</v>
          </cell>
          <cell r="P310">
            <v>15231</v>
          </cell>
          <cell r="R310">
            <v>68</v>
          </cell>
          <cell r="T310">
            <v>0.16176470588235295</v>
          </cell>
        </row>
        <row r="314">
          <cell r="B314" t="str">
            <v>HORIZON UTILITIES CORPORATION</v>
          </cell>
          <cell r="C314">
            <v>2005</v>
          </cell>
          <cell r="F314">
            <v>36678344.129999995</v>
          </cell>
          <cell r="L314">
            <v>230327</v>
          </cell>
          <cell r="P314">
            <v>1231753.8899999999</v>
          </cell>
          <cell r="R314">
            <v>3273</v>
          </cell>
          <cell r="T314">
            <v>0.51023525817293003</v>
          </cell>
        </row>
        <row r="315">
          <cell r="B315" t="str">
            <v>HORIZON UTILITIES CORPORATION</v>
          </cell>
          <cell r="C315">
            <v>2006</v>
          </cell>
          <cell r="F315">
            <v>31742901.739999998</v>
          </cell>
          <cell r="L315">
            <v>231499</v>
          </cell>
          <cell r="P315">
            <v>1125947</v>
          </cell>
          <cell r="R315">
            <v>3265</v>
          </cell>
          <cell r="T315">
            <v>0.53292496171516079</v>
          </cell>
        </row>
        <row r="316">
          <cell r="B316" t="str">
            <v>HORIZON UTILITIES CORPORATION</v>
          </cell>
          <cell r="C316">
            <v>2007</v>
          </cell>
          <cell r="F316">
            <v>35706360.049999997</v>
          </cell>
          <cell r="L316">
            <v>232493</v>
          </cell>
          <cell r="P316">
            <v>1161891</v>
          </cell>
          <cell r="R316">
            <v>3343</v>
          </cell>
          <cell r="T316">
            <v>0.55010469638049653</v>
          </cell>
        </row>
        <row r="317">
          <cell r="B317" t="str">
            <v>HORIZON UTILITIES CORPORATION</v>
          </cell>
          <cell r="C317">
            <v>2008</v>
          </cell>
          <cell r="F317">
            <v>39403841.450000003</v>
          </cell>
          <cell r="L317">
            <v>233947</v>
          </cell>
          <cell r="P317">
            <v>1112056</v>
          </cell>
          <cell r="R317">
            <v>3294</v>
          </cell>
          <cell r="T317">
            <v>0.53885853066180933</v>
          </cell>
        </row>
        <row r="318">
          <cell r="B318" t="str">
            <v>HORIZON UTILITIES CORPORATION</v>
          </cell>
          <cell r="C318">
            <v>2009</v>
          </cell>
          <cell r="F318">
            <v>38749504.980000004</v>
          </cell>
          <cell r="L318">
            <v>234666</v>
          </cell>
          <cell r="P318">
            <v>1008981</v>
          </cell>
          <cell r="R318">
            <v>3363</v>
          </cell>
          <cell r="T318">
            <v>0.54802259887005644</v>
          </cell>
        </row>
        <row r="319">
          <cell r="B319" t="str">
            <v>HORIZON UTILITIES CORPORATION</v>
          </cell>
          <cell r="C319">
            <v>2010</v>
          </cell>
          <cell r="F319">
            <v>38438683.899999999</v>
          </cell>
          <cell r="L319">
            <v>234464</v>
          </cell>
          <cell r="P319">
            <v>1091173</v>
          </cell>
          <cell r="R319">
            <v>3415</v>
          </cell>
          <cell r="T319">
            <v>0.54816983894582727</v>
          </cell>
        </row>
        <row r="320">
          <cell r="B320" t="str">
            <v>HORIZON UTILITIES CORPORATION</v>
          </cell>
          <cell r="C320">
            <v>2011</v>
          </cell>
          <cell r="F320">
            <v>40825300.739999995</v>
          </cell>
          <cell r="L320">
            <v>235327</v>
          </cell>
          <cell r="P320">
            <v>1092560</v>
          </cell>
          <cell r="R320">
            <v>3414</v>
          </cell>
          <cell r="T320">
            <v>0.55389572349150562</v>
          </cell>
        </row>
        <row r="321">
          <cell r="B321" t="str">
            <v>HORIZON UTILITIES CORPORATION</v>
          </cell>
          <cell r="C321">
            <v>2012</v>
          </cell>
          <cell r="F321">
            <v>46250267.03303086</v>
          </cell>
          <cell r="L321">
            <v>237185</v>
          </cell>
          <cell r="P321">
            <v>1088675</v>
          </cell>
          <cell r="R321">
            <v>3428</v>
          </cell>
          <cell r="T321">
            <v>0.55542590431738625</v>
          </cell>
        </row>
        <row r="325">
          <cell r="B325" t="str">
            <v>HYDRO 2000 INC.</v>
          </cell>
          <cell r="C325">
            <v>2005</v>
          </cell>
          <cell r="F325">
            <v>270949.45</v>
          </cell>
          <cell r="L325">
            <v>1130</v>
          </cell>
          <cell r="P325">
            <v>6976</v>
          </cell>
          <cell r="R325">
            <v>20</v>
          </cell>
          <cell r="T325">
            <v>0.1</v>
          </cell>
        </row>
        <row r="326">
          <cell r="B326" t="str">
            <v>HYDRO 2000 INC.</v>
          </cell>
          <cell r="C326">
            <v>2006</v>
          </cell>
          <cell r="F326">
            <v>265499.73</v>
          </cell>
          <cell r="L326">
            <v>1138</v>
          </cell>
          <cell r="P326">
            <v>5998</v>
          </cell>
          <cell r="R326">
            <v>20</v>
          </cell>
          <cell r="T326">
            <v>0.1</v>
          </cell>
        </row>
        <row r="327">
          <cell r="B327" t="str">
            <v>HYDRO 2000 INC.</v>
          </cell>
          <cell r="C327">
            <v>2007</v>
          </cell>
          <cell r="F327">
            <v>332705.52</v>
          </cell>
          <cell r="L327">
            <v>1159</v>
          </cell>
          <cell r="P327">
            <v>6571</v>
          </cell>
          <cell r="R327">
            <v>21</v>
          </cell>
          <cell r="T327">
            <v>0.14285714285714285</v>
          </cell>
        </row>
        <row r="328">
          <cell r="B328" t="str">
            <v>HYDRO 2000 INC.</v>
          </cell>
          <cell r="C328">
            <v>2008</v>
          </cell>
          <cell r="F328">
            <v>343218.71</v>
          </cell>
          <cell r="L328">
            <v>1177</v>
          </cell>
          <cell r="P328">
            <v>6156</v>
          </cell>
          <cell r="R328">
            <v>21</v>
          </cell>
          <cell r="T328">
            <v>0.14285714285714285</v>
          </cell>
        </row>
        <row r="329">
          <cell r="B329" t="str">
            <v>HYDRO 2000 INC.</v>
          </cell>
          <cell r="C329">
            <v>2009</v>
          </cell>
          <cell r="F329">
            <v>329889.28999999998</v>
          </cell>
          <cell r="L329">
            <v>1178</v>
          </cell>
          <cell r="P329">
            <v>7009</v>
          </cell>
          <cell r="R329">
            <v>21</v>
          </cell>
          <cell r="T329">
            <v>0.14285714285714285</v>
          </cell>
        </row>
        <row r="330">
          <cell r="B330" t="str">
            <v>HYDRO 2000 INC.</v>
          </cell>
          <cell r="C330">
            <v>2010</v>
          </cell>
          <cell r="F330">
            <v>354100.69</v>
          </cell>
          <cell r="L330">
            <v>1196</v>
          </cell>
          <cell r="P330">
            <v>6133</v>
          </cell>
          <cell r="R330">
            <v>21</v>
          </cell>
          <cell r="T330">
            <v>0.14285714285714285</v>
          </cell>
        </row>
        <row r="331">
          <cell r="B331" t="str">
            <v>HYDRO 2000 INC.</v>
          </cell>
          <cell r="C331">
            <v>2011</v>
          </cell>
          <cell r="F331">
            <v>399593.46</v>
          </cell>
          <cell r="L331">
            <v>1208</v>
          </cell>
          <cell r="P331">
            <v>6368</v>
          </cell>
          <cell r="R331">
            <v>21</v>
          </cell>
          <cell r="T331">
            <v>0.14285714285714285</v>
          </cell>
        </row>
        <row r="332">
          <cell r="B332" t="str">
            <v>HYDRO 2000 INC.</v>
          </cell>
          <cell r="C332">
            <v>2012</v>
          </cell>
          <cell r="F332">
            <v>488455.44569999998</v>
          </cell>
          <cell r="L332">
            <v>1216</v>
          </cell>
          <cell r="P332">
            <v>5816</v>
          </cell>
          <cell r="R332">
            <v>21</v>
          </cell>
          <cell r="T332">
            <v>0.14285714285714285</v>
          </cell>
        </row>
        <row r="336">
          <cell r="B336" t="str">
            <v>HYDRO HAWKESBURY INC.</v>
          </cell>
          <cell r="C336">
            <v>2005</v>
          </cell>
          <cell r="F336">
            <v>711858.12</v>
          </cell>
          <cell r="L336">
            <v>5248</v>
          </cell>
          <cell r="P336">
            <v>37386</v>
          </cell>
          <cell r="R336">
            <v>65</v>
          </cell>
          <cell r="T336">
            <v>0.12307692307692308</v>
          </cell>
        </row>
        <row r="337">
          <cell r="B337" t="str">
            <v>HYDRO HAWKESBURY INC.</v>
          </cell>
          <cell r="C337">
            <v>2006</v>
          </cell>
          <cell r="F337">
            <v>659322.84</v>
          </cell>
          <cell r="L337">
            <v>5286</v>
          </cell>
          <cell r="P337">
            <v>37012</v>
          </cell>
          <cell r="R337">
            <v>65</v>
          </cell>
          <cell r="T337">
            <v>0.13846153846153847</v>
          </cell>
        </row>
        <row r="338">
          <cell r="B338" t="str">
            <v>HYDRO HAWKESBURY INC.</v>
          </cell>
          <cell r="C338">
            <v>2007</v>
          </cell>
          <cell r="F338">
            <v>740571.32000000007</v>
          </cell>
          <cell r="L338">
            <v>5428</v>
          </cell>
          <cell r="P338">
            <v>37110</v>
          </cell>
          <cell r="R338">
            <v>65</v>
          </cell>
          <cell r="T338">
            <v>0.13846153846153847</v>
          </cell>
        </row>
        <row r="339">
          <cell r="B339" t="str">
            <v>HYDRO HAWKESBURY INC.</v>
          </cell>
          <cell r="C339">
            <v>2008</v>
          </cell>
          <cell r="F339">
            <v>767314.16999999993</v>
          </cell>
          <cell r="L339">
            <v>5375</v>
          </cell>
          <cell r="P339">
            <v>35335</v>
          </cell>
          <cell r="R339">
            <v>65</v>
          </cell>
          <cell r="T339">
            <v>0.13846153846153847</v>
          </cell>
        </row>
        <row r="340">
          <cell r="B340" t="str">
            <v>HYDRO HAWKESBURY INC.</v>
          </cell>
          <cell r="C340">
            <v>2009</v>
          </cell>
          <cell r="F340">
            <v>765804.46</v>
          </cell>
          <cell r="L340">
            <v>5449</v>
          </cell>
          <cell r="P340">
            <v>35693</v>
          </cell>
          <cell r="R340">
            <v>66</v>
          </cell>
          <cell r="T340">
            <v>0.15151515151515152</v>
          </cell>
        </row>
        <row r="341">
          <cell r="B341" t="str">
            <v>HYDRO HAWKESBURY INC.</v>
          </cell>
          <cell r="C341">
            <v>2010</v>
          </cell>
          <cell r="F341">
            <v>818233.1100000001</v>
          </cell>
          <cell r="L341">
            <v>5496</v>
          </cell>
          <cell r="P341">
            <v>30183</v>
          </cell>
          <cell r="R341">
            <v>66</v>
          </cell>
          <cell r="T341">
            <v>0.15151515151515152</v>
          </cell>
        </row>
        <row r="342">
          <cell r="B342" t="str">
            <v>HYDRO HAWKESBURY INC.</v>
          </cell>
          <cell r="C342">
            <v>2011</v>
          </cell>
          <cell r="F342">
            <v>881605.3899999999</v>
          </cell>
          <cell r="L342">
            <v>5521</v>
          </cell>
          <cell r="P342">
            <v>31966</v>
          </cell>
          <cell r="R342">
            <v>66</v>
          </cell>
          <cell r="T342">
            <v>0.15151515151515152</v>
          </cell>
        </row>
        <row r="343">
          <cell r="B343" t="str">
            <v>HYDRO HAWKESBURY INC.</v>
          </cell>
          <cell r="C343">
            <v>2012</v>
          </cell>
          <cell r="F343">
            <v>964305.59680000006</v>
          </cell>
          <cell r="L343">
            <v>5579</v>
          </cell>
          <cell r="P343">
            <v>29</v>
          </cell>
          <cell r="R343">
            <v>66</v>
          </cell>
          <cell r="T343">
            <v>0.15151515151515152</v>
          </cell>
        </row>
        <row r="347">
          <cell r="B347" t="str">
            <v>HYDRO ONE BRAMPTON NETWORKS INC.</v>
          </cell>
          <cell r="C347">
            <v>2005</v>
          </cell>
          <cell r="F347">
            <v>13233342.74</v>
          </cell>
          <cell r="L347">
            <v>116166</v>
          </cell>
          <cell r="P347">
            <v>731200</v>
          </cell>
          <cell r="R347">
            <v>2486</v>
          </cell>
          <cell r="T347">
            <v>0.69308125502815765</v>
          </cell>
        </row>
        <row r="348">
          <cell r="B348" t="str">
            <v>HYDRO ONE BRAMPTON NETWORKS INC.</v>
          </cell>
          <cell r="C348">
            <v>2006</v>
          </cell>
          <cell r="F348">
            <v>15027445.98</v>
          </cell>
          <cell r="L348">
            <v>120364</v>
          </cell>
          <cell r="P348">
            <v>784900</v>
          </cell>
          <cell r="R348">
            <v>2601</v>
          </cell>
          <cell r="T348">
            <v>0.6981930026912726</v>
          </cell>
        </row>
        <row r="349">
          <cell r="B349" t="str">
            <v>HYDRO ONE BRAMPTON NETWORKS INC.</v>
          </cell>
          <cell r="C349">
            <v>2007</v>
          </cell>
          <cell r="F349">
            <v>15166237.430000002</v>
          </cell>
          <cell r="L349">
            <v>126026</v>
          </cell>
          <cell r="P349">
            <v>772100</v>
          </cell>
          <cell r="R349">
            <v>2702</v>
          </cell>
          <cell r="T349">
            <v>0.70392301998519613</v>
          </cell>
        </row>
        <row r="350">
          <cell r="B350" t="str">
            <v>HYDRO ONE BRAMPTON NETWORKS INC.</v>
          </cell>
          <cell r="C350">
            <v>2008</v>
          </cell>
          <cell r="F350">
            <v>17647425.670000002</v>
          </cell>
          <cell r="L350">
            <v>129585</v>
          </cell>
          <cell r="P350">
            <v>729000</v>
          </cell>
          <cell r="R350">
            <v>2744</v>
          </cell>
          <cell r="T350">
            <v>0.70626822157434399</v>
          </cell>
        </row>
        <row r="351">
          <cell r="B351" t="str">
            <v>HYDRO ONE BRAMPTON NETWORKS INC.</v>
          </cell>
          <cell r="C351">
            <v>2009</v>
          </cell>
          <cell r="F351">
            <v>16525952</v>
          </cell>
          <cell r="L351">
            <v>131027</v>
          </cell>
          <cell r="P351">
            <v>737026</v>
          </cell>
          <cell r="R351">
            <v>2778</v>
          </cell>
          <cell r="T351">
            <v>0.70518358531317493</v>
          </cell>
        </row>
        <row r="352">
          <cell r="B352" t="str">
            <v>HYDRO ONE BRAMPTON NETWORKS INC.</v>
          </cell>
          <cell r="C352">
            <v>2010</v>
          </cell>
          <cell r="F352">
            <v>18008623.330000002</v>
          </cell>
          <cell r="L352">
            <v>134228</v>
          </cell>
          <cell r="P352">
            <v>799130</v>
          </cell>
          <cell r="R352">
            <v>2823</v>
          </cell>
          <cell r="T352">
            <v>0.71448813319164006</v>
          </cell>
        </row>
        <row r="353">
          <cell r="B353" t="str">
            <v>HYDRO ONE BRAMPTON NETWORKS INC.</v>
          </cell>
          <cell r="C353">
            <v>2011</v>
          </cell>
          <cell r="F353">
            <v>18099067.301070951</v>
          </cell>
          <cell r="L353">
            <v>137856</v>
          </cell>
          <cell r="P353">
            <v>820000</v>
          </cell>
          <cell r="R353">
            <v>2896</v>
          </cell>
          <cell r="T353">
            <v>0.72306629834254144</v>
          </cell>
        </row>
        <row r="354">
          <cell r="B354" t="str">
            <v>HYDRO ONE BRAMPTON NETWORKS INC.</v>
          </cell>
          <cell r="C354">
            <v>2012</v>
          </cell>
          <cell r="F354">
            <v>19523281.629999999</v>
          </cell>
          <cell r="L354">
            <v>141795</v>
          </cell>
          <cell r="P354">
            <v>817322</v>
          </cell>
          <cell r="R354">
            <v>2952</v>
          </cell>
          <cell r="T354">
            <v>0.73306233062330628</v>
          </cell>
        </row>
        <row r="358">
          <cell r="B358" t="str">
            <v>HYDRO ONE NETWORKS INC.</v>
          </cell>
          <cell r="C358">
            <v>2005</v>
          </cell>
          <cell r="F358">
            <v>329243826.68000001</v>
          </cell>
          <cell r="L358">
            <v>1152927</v>
          </cell>
          <cell r="P358">
            <v>4407238</v>
          </cell>
          <cell r="R358">
            <v>119650</v>
          </cell>
          <cell r="T358">
            <v>3.5269536147095694E-2</v>
          </cell>
        </row>
        <row r="359">
          <cell r="B359" t="str">
            <v>HYDRO ONE NETWORKS INC.</v>
          </cell>
          <cell r="C359">
            <v>2006</v>
          </cell>
          <cell r="F359">
            <v>371996261.61000001</v>
          </cell>
          <cell r="L359">
            <v>1164887</v>
          </cell>
          <cell r="P359">
            <v>4163173</v>
          </cell>
          <cell r="R359">
            <v>119879</v>
          </cell>
          <cell r="T359">
            <v>3.5285579626123005E-2</v>
          </cell>
        </row>
        <row r="360">
          <cell r="B360" t="str">
            <v>HYDRO ONE NETWORKS INC.</v>
          </cell>
          <cell r="C360">
            <v>2007</v>
          </cell>
          <cell r="F360">
            <v>454177447.30000001</v>
          </cell>
          <cell r="L360">
            <v>1173360</v>
          </cell>
          <cell r="P360">
            <v>4146927</v>
          </cell>
          <cell r="R360">
            <v>120231</v>
          </cell>
          <cell r="T360">
            <v>3.5273764669677535E-2</v>
          </cell>
        </row>
        <row r="361">
          <cell r="B361" t="str">
            <v>HYDRO ONE NETWORKS INC.</v>
          </cell>
          <cell r="C361">
            <v>2008</v>
          </cell>
          <cell r="F361">
            <v>446088021.48000002</v>
          </cell>
          <cell r="L361">
            <v>1187253</v>
          </cell>
          <cell r="P361">
            <v>3867055</v>
          </cell>
          <cell r="R361">
            <v>120516</v>
          </cell>
          <cell r="T361">
            <v>3.527332470377377E-2</v>
          </cell>
        </row>
        <row r="362">
          <cell r="B362" t="str">
            <v>HYDRO ONE NETWORKS INC.</v>
          </cell>
          <cell r="C362">
            <v>2009</v>
          </cell>
          <cell r="F362">
            <v>482799623.98389995</v>
          </cell>
          <cell r="L362">
            <v>1193767</v>
          </cell>
          <cell r="P362">
            <v>4143339</v>
          </cell>
          <cell r="R362">
            <v>120750</v>
          </cell>
          <cell r="T362">
            <v>3.5271221532091099E-2</v>
          </cell>
        </row>
        <row r="363">
          <cell r="B363" t="str">
            <v>HYDRO ONE NETWORKS INC.</v>
          </cell>
          <cell r="C363">
            <v>2010</v>
          </cell>
          <cell r="F363">
            <v>519892967.51999998</v>
          </cell>
          <cell r="L363">
            <v>1203030</v>
          </cell>
          <cell r="P363">
            <v>4180551</v>
          </cell>
          <cell r="R363">
            <v>120921</v>
          </cell>
          <cell r="T363">
            <v>3.527096203306291E-2</v>
          </cell>
        </row>
        <row r="364">
          <cell r="B364" t="str">
            <v>HYDRO ONE NETWORKS INC.</v>
          </cell>
          <cell r="C364">
            <v>2011</v>
          </cell>
          <cell r="F364">
            <v>522934642.77000004</v>
          </cell>
          <cell r="L364">
            <v>1211071</v>
          </cell>
          <cell r="P364">
            <v>3923771</v>
          </cell>
          <cell r="R364">
            <v>117385</v>
          </cell>
          <cell r="T364">
            <v>6.7180644886484647E-2</v>
          </cell>
        </row>
        <row r="365">
          <cell r="B365" t="str">
            <v>HYDRO ONE NETWORKS INC.</v>
          </cell>
          <cell r="C365">
            <v>2012</v>
          </cell>
          <cell r="F365">
            <v>509039133.18000001</v>
          </cell>
          <cell r="L365">
            <v>1221411</v>
          </cell>
          <cell r="P365">
            <v>3716700</v>
          </cell>
          <cell r="R365">
            <v>118340</v>
          </cell>
          <cell r="T365">
            <v>6.8505999661990877E-2</v>
          </cell>
        </row>
        <row r="380">
          <cell r="B380" t="str">
            <v>HYDRO OTTAWA LIMITED</v>
          </cell>
          <cell r="C380">
            <v>2005</v>
          </cell>
          <cell r="F380">
            <v>32817707.990000006</v>
          </cell>
          <cell r="L380">
            <v>278581</v>
          </cell>
          <cell r="P380">
            <v>1464855</v>
          </cell>
          <cell r="R380">
            <v>5242</v>
          </cell>
          <cell r="T380">
            <v>0.36703548264021368</v>
          </cell>
        </row>
        <row r="381">
          <cell r="B381" t="str">
            <v>HYDRO OTTAWA LIMITED</v>
          </cell>
          <cell r="C381">
            <v>2006</v>
          </cell>
          <cell r="F381">
            <v>39694751.361499988</v>
          </cell>
          <cell r="L381">
            <v>282393</v>
          </cell>
          <cell r="P381">
            <v>1495303</v>
          </cell>
          <cell r="R381">
            <v>5451</v>
          </cell>
          <cell r="T381">
            <v>0.36708860759493672</v>
          </cell>
        </row>
        <row r="382">
          <cell r="B382" t="str">
            <v>HYDRO OTTAWA LIMITED</v>
          </cell>
          <cell r="C382">
            <v>2007</v>
          </cell>
          <cell r="F382">
            <v>40599346.184500009</v>
          </cell>
          <cell r="L382">
            <v>287006</v>
          </cell>
          <cell r="P382">
            <v>1425095</v>
          </cell>
          <cell r="R382">
            <v>5739</v>
          </cell>
          <cell r="T382">
            <v>0.49503397804495558</v>
          </cell>
        </row>
        <row r="383">
          <cell r="B383" t="str">
            <v>HYDRO OTTAWA LIMITED</v>
          </cell>
          <cell r="C383">
            <v>2008</v>
          </cell>
          <cell r="F383">
            <v>50450138.860500008</v>
          </cell>
          <cell r="L383">
            <v>291639</v>
          </cell>
          <cell r="P383">
            <v>1355421</v>
          </cell>
          <cell r="R383">
            <v>5353</v>
          </cell>
          <cell r="T383">
            <v>0.4900056043340183</v>
          </cell>
        </row>
        <row r="384">
          <cell r="B384" t="str">
            <v>HYDRO OTTAWA LIMITED</v>
          </cell>
          <cell r="C384">
            <v>2009</v>
          </cell>
          <cell r="F384">
            <v>50099746.523999996</v>
          </cell>
          <cell r="L384">
            <v>296007</v>
          </cell>
          <cell r="P384">
            <v>1363575</v>
          </cell>
          <cell r="R384">
            <v>5387</v>
          </cell>
          <cell r="T384">
            <v>0.49693707072582144</v>
          </cell>
        </row>
        <row r="385">
          <cell r="B385" t="str">
            <v>HYDRO OTTAWA LIMITED</v>
          </cell>
          <cell r="C385">
            <v>2010</v>
          </cell>
          <cell r="F385">
            <v>52519053.272500001</v>
          </cell>
          <cell r="L385">
            <v>300664</v>
          </cell>
          <cell r="P385">
            <v>1518168</v>
          </cell>
          <cell r="R385">
            <v>5414</v>
          </cell>
          <cell r="T385">
            <v>0.50258588843738461</v>
          </cell>
        </row>
        <row r="386">
          <cell r="B386" t="str">
            <v>HYDRO OTTAWA LIMITED</v>
          </cell>
          <cell r="C386">
            <v>2011</v>
          </cell>
          <cell r="F386">
            <v>53053012.890099995</v>
          </cell>
          <cell r="L386">
            <v>305266</v>
          </cell>
          <cell r="P386">
            <v>1501701</v>
          </cell>
          <cell r="R386">
            <v>5606</v>
          </cell>
          <cell r="T386">
            <v>0.47984302533000356</v>
          </cell>
        </row>
        <row r="387">
          <cell r="B387" t="str">
            <v>HYDRO OTTAWA LIMITED</v>
          </cell>
          <cell r="C387">
            <v>2012</v>
          </cell>
          <cell r="F387">
            <v>69443905.36649999</v>
          </cell>
          <cell r="L387">
            <v>309534</v>
          </cell>
          <cell r="P387">
            <v>1458497</v>
          </cell>
          <cell r="R387">
            <v>5658</v>
          </cell>
          <cell r="T387">
            <v>0.48338635560268645</v>
          </cell>
        </row>
        <row r="391">
          <cell r="B391" t="str">
            <v>INNISFIL HYDRO DISTRIBUTION SYSTEMS LIMITED</v>
          </cell>
          <cell r="C391">
            <v>2005</v>
          </cell>
          <cell r="F391">
            <v>2593786.6799999997</v>
          </cell>
          <cell r="L391">
            <v>13793</v>
          </cell>
          <cell r="P391">
            <v>62729</v>
          </cell>
          <cell r="R391">
            <v>597</v>
          </cell>
          <cell r="T391">
            <v>0.17420435510887772</v>
          </cell>
        </row>
        <row r="392">
          <cell r="B392" t="str">
            <v>INNISFIL HYDRO DISTRIBUTION SYSTEMS LIMITED</v>
          </cell>
          <cell r="C392">
            <v>2006</v>
          </cell>
          <cell r="F392">
            <v>2864569.8499999996</v>
          </cell>
          <cell r="L392">
            <v>13832</v>
          </cell>
          <cell r="P392">
            <v>48245</v>
          </cell>
          <cell r="R392">
            <v>631</v>
          </cell>
          <cell r="T392">
            <v>0.17591125198098256</v>
          </cell>
        </row>
        <row r="393">
          <cell r="B393" t="str">
            <v>INNISFIL HYDRO DISTRIBUTION SYSTEMS LIMITED</v>
          </cell>
          <cell r="C393">
            <v>2007</v>
          </cell>
          <cell r="F393">
            <v>3178235.1720000003</v>
          </cell>
          <cell r="L393">
            <v>14120</v>
          </cell>
          <cell r="P393">
            <v>48562</v>
          </cell>
          <cell r="R393">
            <v>637</v>
          </cell>
          <cell r="T393">
            <v>0.18210361067503925</v>
          </cell>
        </row>
        <row r="394">
          <cell r="B394" t="str">
            <v>INNISFIL HYDRO DISTRIBUTION SYSTEMS LIMITED</v>
          </cell>
          <cell r="C394">
            <v>2008</v>
          </cell>
          <cell r="F394">
            <v>3585077.9899999998</v>
          </cell>
          <cell r="L394">
            <v>14471</v>
          </cell>
          <cell r="P394">
            <v>49100</v>
          </cell>
          <cell r="R394">
            <v>647</v>
          </cell>
          <cell r="T394">
            <v>0.18856259659969088</v>
          </cell>
        </row>
        <row r="395">
          <cell r="B395" t="str">
            <v>INNISFIL HYDRO DISTRIBUTION SYSTEMS LIMITED</v>
          </cell>
          <cell r="C395">
            <v>2009</v>
          </cell>
          <cell r="F395">
            <v>3677981.0599999996</v>
          </cell>
          <cell r="L395">
            <v>14563</v>
          </cell>
          <cell r="P395">
            <v>49692</v>
          </cell>
          <cell r="R395">
            <v>741</v>
          </cell>
          <cell r="T395">
            <v>0.18353576248313092</v>
          </cell>
        </row>
        <row r="396">
          <cell r="B396" t="str">
            <v>INNISFIL HYDRO DISTRIBUTION SYSTEMS LIMITED</v>
          </cell>
          <cell r="C396">
            <v>2010</v>
          </cell>
          <cell r="F396">
            <v>3824885.5900000003</v>
          </cell>
          <cell r="L396">
            <v>14707</v>
          </cell>
          <cell r="P396">
            <v>51327</v>
          </cell>
          <cell r="R396">
            <v>753</v>
          </cell>
          <cell r="T396">
            <v>0.18592297476759628</v>
          </cell>
        </row>
        <row r="397">
          <cell r="B397" t="str">
            <v>INNISFIL HYDRO DISTRIBUTION SYSTEMS LIMITED</v>
          </cell>
          <cell r="C397">
            <v>2011</v>
          </cell>
          <cell r="F397">
            <v>4174017.17</v>
          </cell>
          <cell r="L397">
            <v>14826</v>
          </cell>
          <cell r="P397">
            <v>49220</v>
          </cell>
          <cell r="R397">
            <v>748</v>
          </cell>
          <cell r="T397">
            <v>0.18850267379679145</v>
          </cell>
        </row>
        <row r="398">
          <cell r="B398" t="str">
            <v>INNISFIL HYDRO DISTRIBUTION SYSTEMS LIMITED</v>
          </cell>
          <cell r="C398">
            <v>2012</v>
          </cell>
          <cell r="F398">
            <v>4715317.5844999999</v>
          </cell>
          <cell r="L398">
            <v>15062</v>
          </cell>
          <cell r="P398">
            <v>46737</v>
          </cell>
          <cell r="R398">
            <v>783</v>
          </cell>
          <cell r="T398">
            <v>0.20817369093231161</v>
          </cell>
        </row>
        <row r="402">
          <cell r="B402" t="str">
            <v>KENORA HYDRO ELECTRIC CORPORATION LTD.</v>
          </cell>
          <cell r="C402">
            <v>2005</v>
          </cell>
          <cell r="F402">
            <v>1212356.6099999999</v>
          </cell>
          <cell r="L402">
            <v>5847</v>
          </cell>
          <cell r="P402">
            <v>23000</v>
          </cell>
          <cell r="R402">
            <v>98</v>
          </cell>
          <cell r="T402">
            <v>0.10204081632653061</v>
          </cell>
        </row>
        <row r="403">
          <cell r="B403" t="str">
            <v>KENORA HYDRO ELECTRIC CORPORATION LTD.</v>
          </cell>
          <cell r="C403">
            <v>2006</v>
          </cell>
          <cell r="F403">
            <v>1238237.1100000001</v>
          </cell>
          <cell r="L403">
            <v>5828</v>
          </cell>
          <cell r="P403">
            <v>20864</v>
          </cell>
          <cell r="R403">
            <v>98</v>
          </cell>
          <cell r="T403">
            <v>0.10204081632653061</v>
          </cell>
        </row>
        <row r="404">
          <cell r="B404" t="str">
            <v>KENORA HYDRO ELECTRIC CORPORATION LTD.</v>
          </cell>
          <cell r="C404">
            <v>2007</v>
          </cell>
          <cell r="F404">
            <v>1379695.2099999997</v>
          </cell>
          <cell r="L404">
            <v>5642</v>
          </cell>
          <cell r="P404">
            <v>20993</v>
          </cell>
          <cell r="R404">
            <v>98</v>
          </cell>
          <cell r="T404">
            <v>0.10204081632653061</v>
          </cell>
        </row>
        <row r="405">
          <cell r="B405" t="str">
            <v>KENORA HYDRO ELECTRIC CORPORATION LTD.</v>
          </cell>
          <cell r="C405">
            <v>2008</v>
          </cell>
          <cell r="F405">
            <v>1522532.05</v>
          </cell>
          <cell r="L405">
            <v>5583</v>
          </cell>
          <cell r="P405">
            <v>22435</v>
          </cell>
          <cell r="R405">
            <v>98</v>
          </cell>
          <cell r="T405">
            <v>0.10204081632653061</v>
          </cell>
        </row>
        <row r="406">
          <cell r="B406" t="str">
            <v>KENORA HYDRO ELECTRIC CORPORATION LTD.</v>
          </cell>
          <cell r="C406">
            <v>2009</v>
          </cell>
          <cell r="F406">
            <v>1752256.6199999999</v>
          </cell>
          <cell r="L406">
            <v>5579</v>
          </cell>
          <cell r="P406">
            <v>22360</v>
          </cell>
          <cell r="R406">
            <v>98</v>
          </cell>
          <cell r="T406">
            <v>0.10204081632653061</v>
          </cell>
        </row>
        <row r="407">
          <cell r="B407" t="str">
            <v>KENORA HYDRO ELECTRIC CORPORATION LTD.</v>
          </cell>
          <cell r="C407">
            <v>2010</v>
          </cell>
          <cell r="F407">
            <v>1676831.65</v>
          </cell>
          <cell r="L407">
            <v>5580</v>
          </cell>
          <cell r="P407">
            <v>21034</v>
          </cell>
          <cell r="R407">
            <v>98</v>
          </cell>
          <cell r="T407">
            <v>0.10204081632653061</v>
          </cell>
        </row>
        <row r="408">
          <cell r="B408" t="str">
            <v>KENORA HYDRO ELECTRIC CORPORATION LTD.</v>
          </cell>
          <cell r="C408">
            <v>2011</v>
          </cell>
          <cell r="F408">
            <v>1961059.307264444</v>
          </cell>
          <cell r="L408">
            <v>5572</v>
          </cell>
          <cell r="P408">
            <v>20492</v>
          </cell>
          <cell r="R408">
            <v>98</v>
          </cell>
          <cell r="T408">
            <v>0.10204081632653061</v>
          </cell>
        </row>
        <row r="409">
          <cell r="B409" t="str">
            <v>KENORA HYDRO ELECTRIC CORPORATION LTD.</v>
          </cell>
          <cell r="C409">
            <v>2012</v>
          </cell>
          <cell r="F409">
            <v>1805783.18</v>
          </cell>
          <cell r="L409">
            <v>5568</v>
          </cell>
          <cell r="P409">
            <v>20768</v>
          </cell>
          <cell r="R409">
            <v>98</v>
          </cell>
          <cell r="T409">
            <v>0.10204081632653061</v>
          </cell>
        </row>
        <row r="413">
          <cell r="B413" t="str">
            <v>KINGSTON HYDRO CORPORATION</v>
          </cell>
          <cell r="C413">
            <v>2005</v>
          </cell>
          <cell r="F413">
            <v>5008954</v>
          </cell>
          <cell r="L413">
            <v>26265</v>
          </cell>
          <cell r="P413">
            <v>143124</v>
          </cell>
          <cell r="R413">
            <v>348</v>
          </cell>
          <cell r="T413">
            <v>0.3045977011494253</v>
          </cell>
        </row>
        <row r="414">
          <cell r="B414" t="str">
            <v>KINGSTON HYDRO CORPORATION</v>
          </cell>
          <cell r="C414">
            <v>2006</v>
          </cell>
          <cell r="F414">
            <v>4321594</v>
          </cell>
          <cell r="L414">
            <v>26525</v>
          </cell>
          <cell r="P414">
            <v>125800</v>
          </cell>
          <cell r="R414">
            <v>348</v>
          </cell>
          <cell r="T414">
            <v>0.3045977011494253</v>
          </cell>
        </row>
        <row r="415">
          <cell r="B415" t="str">
            <v>KINGSTON HYDRO CORPORATION</v>
          </cell>
          <cell r="C415">
            <v>2007</v>
          </cell>
          <cell r="F415">
            <v>4432648.1900000004</v>
          </cell>
          <cell r="L415">
            <v>26632</v>
          </cell>
          <cell r="P415">
            <v>132343</v>
          </cell>
          <cell r="R415">
            <v>348</v>
          </cell>
          <cell r="T415">
            <v>0.3045977011494253</v>
          </cell>
        </row>
        <row r="416">
          <cell r="B416" t="str">
            <v>KINGSTON HYDRO CORPORATION</v>
          </cell>
          <cell r="C416">
            <v>2008</v>
          </cell>
          <cell r="F416">
            <v>4990520.66</v>
          </cell>
          <cell r="L416">
            <v>26940</v>
          </cell>
          <cell r="P416">
            <v>126174</v>
          </cell>
          <cell r="R416">
            <v>386</v>
          </cell>
          <cell r="T416">
            <v>0.34715025906735753</v>
          </cell>
        </row>
        <row r="417">
          <cell r="B417" t="str">
            <v>KINGSTON HYDRO CORPORATION</v>
          </cell>
          <cell r="C417">
            <v>2009</v>
          </cell>
          <cell r="F417">
            <v>5311350</v>
          </cell>
          <cell r="L417">
            <v>26832</v>
          </cell>
          <cell r="P417">
            <v>134412</v>
          </cell>
          <cell r="R417">
            <v>357</v>
          </cell>
          <cell r="T417">
            <v>0.34733893557422968</v>
          </cell>
        </row>
        <row r="418">
          <cell r="B418" t="str">
            <v>KINGSTON HYDRO CORPORATION</v>
          </cell>
          <cell r="C418">
            <v>2010</v>
          </cell>
          <cell r="F418">
            <v>5645427</v>
          </cell>
          <cell r="L418">
            <v>26944</v>
          </cell>
          <cell r="P418">
            <v>125098</v>
          </cell>
          <cell r="R418">
            <v>361</v>
          </cell>
          <cell r="T418">
            <v>0.35457063711911357</v>
          </cell>
        </row>
        <row r="419">
          <cell r="B419" t="str">
            <v>KINGSTON HYDRO CORPORATION</v>
          </cell>
          <cell r="C419">
            <v>2011</v>
          </cell>
          <cell r="F419">
            <v>5768581</v>
          </cell>
          <cell r="L419">
            <v>26844</v>
          </cell>
          <cell r="P419">
            <v>136597</v>
          </cell>
          <cell r="R419">
            <v>362</v>
          </cell>
          <cell r="T419">
            <v>0.35635359116022097</v>
          </cell>
        </row>
        <row r="420">
          <cell r="B420" t="str">
            <v>KINGSTON HYDRO CORPORATION</v>
          </cell>
          <cell r="C420">
            <v>2012</v>
          </cell>
          <cell r="F420">
            <v>5873203</v>
          </cell>
          <cell r="L420">
            <v>26775</v>
          </cell>
          <cell r="P420">
            <v>122717</v>
          </cell>
          <cell r="R420">
            <v>361</v>
          </cell>
          <cell r="T420">
            <v>0.35734072022160662</v>
          </cell>
        </row>
        <row r="424">
          <cell r="B424" t="str">
            <v>KITCHENER-WILMOT HYDRO INC.</v>
          </cell>
          <cell r="C424">
            <v>2005</v>
          </cell>
          <cell r="F424">
            <v>8926823.040000001</v>
          </cell>
          <cell r="L424">
            <v>79487</v>
          </cell>
          <cell r="P424">
            <v>386568</v>
          </cell>
          <cell r="R424">
            <v>1706</v>
          </cell>
          <cell r="T424">
            <v>0.40093786635404455</v>
          </cell>
        </row>
        <row r="425">
          <cell r="B425" t="str">
            <v>KITCHENER-WILMOT HYDRO INC.</v>
          </cell>
          <cell r="C425">
            <v>2006</v>
          </cell>
          <cell r="F425">
            <v>10110656.76</v>
          </cell>
          <cell r="L425">
            <v>80940</v>
          </cell>
          <cell r="P425">
            <v>379972</v>
          </cell>
          <cell r="R425">
            <v>1787</v>
          </cell>
          <cell r="T425">
            <v>0.42025741466144378</v>
          </cell>
        </row>
        <row r="426">
          <cell r="B426" t="str">
            <v>KITCHENER-WILMOT HYDRO INC.</v>
          </cell>
          <cell r="C426">
            <v>2007</v>
          </cell>
          <cell r="F426">
            <v>10554747.51</v>
          </cell>
          <cell r="L426">
            <v>82599</v>
          </cell>
          <cell r="P426">
            <v>370934</v>
          </cell>
          <cell r="R426">
            <v>1840</v>
          </cell>
          <cell r="T426">
            <v>0.4331521739130435</v>
          </cell>
        </row>
        <row r="427">
          <cell r="B427" t="str">
            <v>KITCHENER-WILMOT HYDRO INC.</v>
          </cell>
          <cell r="C427">
            <v>2008</v>
          </cell>
          <cell r="F427">
            <v>11184204.51</v>
          </cell>
          <cell r="L427">
            <v>84195</v>
          </cell>
          <cell r="P427">
            <v>350930</v>
          </cell>
          <cell r="R427">
            <v>1872</v>
          </cell>
          <cell r="T427">
            <v>0.44230769230769229</v>
          </cell>
        </row>
        <row r="428">
          <cell r="B428" t="str">
            <v>KITCHENER-WILMOT HYDRO INC.</v>
          </cell>
          <cell r="C428">
            <v>2009</v>
          </cell>
          <cell r="F428">
            <v>11204178.859999999</v>
          </cell>
          <cell r="L428">
            <v>85174</v>
          </cell>
          <cell r="P428">
            <v>339973</v>
          </cell>
          <cell r="R428">
            <v>1854</v>
          </cell>
          <cell r="T428">
            <v>0.44174757281553401</v>
          </cell>
        </row>
        <row r="429">
          <cell r="B429" t="str">
            <v>KITCHENER-WILMOT HYDRO INC.</v>
          </cell>
          <cell r="C429">
            <v>2010</v>
          </cell>
          <cell r="F429">
            <v>11318641.240000002</v>
          </cell>
          <cell r="L429">
            <v>86611</v>
          </cell>
          <cell r="P429">
            <v>367988</v>
          </cell>
          <cell r="R429">
            <v>1866</v>
          </cell>
          <cell r="T429">
            <v>0.44158628081457663</v>
          </cell>
        </row>
        <row r="430">
          <cell r="B430" t="str">
            <v>KITCHENER-WILMOT HYDRO INC.</v>
          </cell>
          <cell r="C430">
            <v>2011</v>
          </cell>
          <cell r="F430">
            <v>12675779.18</v>
          </cell>
          <cell r="L430">
            <v>87965</v>
          </cell>
          <cell r="P430">
            <v>377020</v>
          </cell>
          <cell r="R430">
            <v>1878</v>
          </cell>
          <cell r="T430">
            <v>0.44302449414270501</v>
          </cell>
        </row>
        <row r="431">
          <cell r="B431" t="str">
            <v>KITCHENER-WILMOT HYDRO INC.</v>
          </cell>
          <cell r="C431">
            <v>2012</v>
          </cell>
          <cell r="F431">
            <v>13712945.107607372</v>
          </cell>
          <cell r="L431">
            <v>89026</v>
          </cell>
          <cell r="P431">
            <v>378977</v>
          </cell>
          <cell r="R431">
            <v>1887</v>
          </cell>
          <cell r="T431">
            <v>0.45257021727609964</v>
          </cell>
        </row>
        <row r="435">
          <cell r="B435" t="str">
            <v>LAKEFRONT UTILITIES INC.</v>
          </cell>
          <cell r="C435">
            <v>2005</v>
          </cell>
          <cell r="F435">
            <v>1527405.8699999999</v>
          </cell>
          <cell r="L435">
            <v>8551</v>
          </cell>
          <cell r="P435">
            <v>48706</v>
          </cell>
          <cell r="R435">
            <v>100</v>
          </cell>
          <cell r="T435">
            <v>7.0000000000000007E-2</v>
          </cell>
        </row>
        <row r="436">
          <cell r="B436" t="str">
            <v>LAKEFRONT UTILITIES INC.</v>
          </cell>
          <cell r="C436">
            <v>2006</v>
          </cell>
          <cell r="F436">
            <v>1733325.3399999999</v>
          </cell>
          <cell r="L436">
            <v>9048</v>
          </cell>
          <cell r="P436">
            <v>47537</v>
          </cell>
          <cell r="R436">
            <v>114</v>
          </cell>
          <cell r="T436">
            <v>0.16666666666666666</v>
          </cell>
        </row>
        <row r="437">
          <cell r="B437" t="str">
            <v>LAKEFRONT UTILITIES INC.</v>
          </cell>
          <cell r="C437">
            <v>2007</v>
          </cell>
          <cell r="F437">
            <v>1857935.4500000002</v>
          </cell>
          <cell r="L437">
            <v>9057</v>
          </cell>
          <cell r="P437">
            <v>49230</v>
          </cell>
          <cell r="R437">
            <v>114</v>
          </cell>
          <cell r="T437">
            <v>0.16666666666666666</v>
          </cell>
        </row>
        <row r="438">
          <cell r="B438" t="str">
            <v>LAKEFRONT UTILITIES INC.</v>
          </cell>
          <cell r="C438">
            <v>2008</v>
          </cell>
          <cell r="F438">
            <v>1854928.2899999998</v>
          </cell>
          <cell r="L438">
            <v>9215</v>
          </cell>
          <cell r="P438">
            <v>46944</v>
          </cell>
          <cell r="R438">
            <v>114</v>
          </cell>
          <cell r="T438">
            <v>0.16666666666666666</v>
          </cell>
        </row>
        <row r="439">
          <cell r="B439" t="str">
            <v>LAKEFRONT UTILITIES INC.</v>
          </cell>
          <cell r="C439">
            <v>2009</v>
          </cell>
          <cell r="F439">
            <v>1863847.04</v>
          </cell>
          <cell r="L439">
            <v>9440</v>
          </cell>
          <cell r="P439">
            <v>44542</v>
          </cell>
          <cell r="R439">
            <v>115</v>
          </cell>
          <cell r="T439">
            <v>0.17391304347826086</v>
          </cell>
        </row>
        <row r="440">
          <cell r="B440" t="str">
            <v>LAKEFRONT UTILITIES INC.</v>
          </cell>
          <cell r="C440">
            <v>2010</v>
          </cell>
          <cell r="F440">
            <v>2024634.71</v>
          </cell>
          <cell r="L440">
            <v>9571</v>
          </cell>
          <cell r="P440">
            <v>45140</v>
          </cell>
          <cell r="R440">
            <v>115</v>
          </cell>
          <cell r="T440">
            <v>0.17391304347826086</v>
          </cell>
        </row>
        <row r="441">
          <cell r="B441" t="str">
            <v>LAKEFRONT UTILITIES INC.</v>
          </cell>
          <cell r="C441">
            <v>2011</v>
          </cell>
          <cell r="F441">
            <v>2217997.3800000004</v>
          </cell>
          <cell r="L441">
            <v>9976</v>
          </cell>
          <cell r="P441">
            <v>44452</v>
          </cell>
          <cell r="R441">
            <v>115</v>
          </cell>
          <cell r="T441">
            <v>0.17391304347826086</v>
          </cell>
        </row>
        <row r="442">
          <cell r="B442" t="str">
            <v>LAKEFRONT UTILITIES INC.</v>
          </cell>
          <cell r="C442">
            <v>2012</v>
          </cell>
          <cell r="F442">
            <v>2112425.5151000004</v>
          </cell>
          <cell r="L442">
            <v>9773</v>
          </cell>
          <cell r="P442">
            <v>45252</v>
          </cell>
          <cell r="R442">
            <v>115</v>
          </cell>
          <cell r="T442">
            <v>0.17391304347826086</v>
          </cell>
        </row>
        <row r="446">
          <cell r="B446" t="str">
            <v>LAKELAND POWER DISTRIBUTION LTD.</v>
          </cell>
          <cell r="C446">
            <v>2005</v>
          </cell>
          <cell r="F446">
            <v>1925357.68</v>
          </cell>
          <cell r="L446">
            <v>8995</v>
          </cell>
          <cell r="P446">
            <v>44197</v>
          </cell>
          <cell r="R446">
            <v>659</v>
          </cell>
          <cell r="T446">
            <v>0.11987860394537178</v>
          </cell>
        </row>
        <row r="447">
          <cell r="B447" t="str">
            <v>LAKELAND POWER DISTRIBUTION LTD.</v>
          </cell>
          <cell r="C447">
            <v>2006</v>
          </cell>
          <cell r="F447">
            <v>2393951.9000000004</v>
          </cell>
          <cell r="L447">
            <v>9050</v>
          </cell>
          <cell r="P447">
            <v>40915</v>
          </cell>
          <cell r="R447">
            <v>338</v>
          </cell>
          <cell r="T447">
            <v>0.17159763313609466</v>
          </cell>
        </row>
        <row r="448">
          <cell r="B448" t="str">
            <v>LAKELAND POWER DISTRIBUTION LTD.</v>
          </cell>
          <cell r="C448">
            <v>2007</v>
          </cell>
          <cell r="F448">
            <v>2392212.1799999997</v>
          </cell>
          <cell r="L448">
            <v>9135</v>
          </cell>
          <cell r="P448">
            <v>42285</v>
          </cell>
          <cell r="R448">
            <v>355</v>
          </cell>
          <cell r="T448">
            <v>0.19718309859154928</v>
          </cell>
        </row>
        <row r="449">
          <cell r="B449" t="str">
            <v>LAKELAND POWER DISTRIBUTION LTD.</v>
          </cell>
          <cell r="C449">
            <v>2008</v>
          </cell>
          <cell r="F449">
            <v>3016005.1700000004</v>
          </cell>
          <cell r="L449">
            <v>9295</v>
          </cell>
          <cell r="P449">
            <v>49384</v>
          </cell>
          <cell r="R449">
            <v>355</v>
          </cell>
          <cell r="T449">
            <v>0.2</v>
          </cell>
        </row>
        <row r="450">
          <cell r="B450" t="str">
            <v>LAKELAND POWER DISTRIBUTION LTD.</v>
          </cell>
          <cell r="C450">
            <v>2009</v>
          </cell>
          <cell r="F450">
            <v>3105519.07</v>
          </cell>
          <cell r="L450">
            <v>9344</v>
          </cell>
          <cell r="P450">
            <v>44128</v>
          </cell>
          <cell r="R450">
            <v>350</v>
          </cell>
          <cell r="T450">
            <v>0.18571428571428572</v>
          </cell>
        </row>
        <row r="451">
          <cell r="B451" t="str">
            <v>LAKELAND POWER DISTRIBUTION LTD.</v>
          </cell>
          <cell r="C451">
            <v>2010</v>
          </cell>
          <cell r="F451">
            <v>3295723.87</v>
          </cell>
          <cell r="L451">
            <v>9439</v>
          </cell>
          <cell r="P451">
            <v>39610</v>
          </cell>
          <cell r="R451">
            <v>355</v>
          </cell>
          <cell r="T451">
            <v>0.18873239436619718</v>
          </cell>
        </row>
        <row r="452">
          <cell r="B452" t="str">
            <v>LAKELAND POWER DISTRIBUTION LTD.</v>
          </cell>
          <cell r="C452">
            <v>2011</v>
          </cell>
          <cell r="F452">
            <v>3178167.2400000007</v>
          </cell>
          <cell r="L452">
            <v>9598</v>
          </cell>
          <cell r="P452">
            <v>41419</v>
          </cell>
          <cell r="R452">
            <v>333</v>
          </cell>
          <cell r="T452">
            <v>0.22822822822822822</v>
          </cell>
        </row>
        <row r="453">
          <cell r="B453" t="str">
            <v>LAKELAND POWER DISTRIBUTION LTD.</v>
          </cell>
          <cell r="C453">
            <v>2012</v>
          </cell>
          <cell r="F453">
            <v>3094802.2394999997</v>
          </cell>
          <cell r="L453">
            <v>9685</v>
          </cell>
          <cell r="P453">
            <v>38731</v>
          </cell>
          <cell r="R453">
            <v>300</v>
          </cell>
          <cell r="T453">
            <v>0.25666666666666665</v>
          </cell>
        </row>
        <row r="457">
          <cell r="B457" t="str">
            <v>LONDON HYDRO INC.</v>
          </cell>
          <cell r="C457">
            <v>2005</v>
          </cell>
          <cell r="F457">
            <v>21011035.850000001</v>
          </cell>
          <cell r="L457">
            <v>138046</v>
          </cell>
          <cell r="P457">
            <v>708063</v>
          </cell>
          <cell r="R457">
            <v>2536</v>
          </cell>
          <cell r="T457">
            <v>0.50473186119873814</v>
          </cell>
        </row>
        <row r="458">
          <cell r="B458" t="str">
            <v>LONDON HYDRO INC.</v>
          </cell>
          <cell r="C458">
            <v>2006</v>
          </cell>
          <cell r="F458">
            <v>23004940.010000002</v>
          </cell>
          <cell r="L458">
            <v>140007</v>
          </cell>
          <cell r="P458">
            <v>719375</v>
          </cell>
          <cell r="R458">
            <v>2568</v>
          </cell>
          <cell r="T458">
            <v>0.50973520249221183</v>
          </cell>
        </row>
        <row r="459">
          <cell r="B459" t="str">
            <v>LONDON HYDRO INC.</v>
          </cell>
          <cell r="C459">
            <v>2007</v>
          </cell>
          <cell r="F459">
            <v>24376047.779999997</v>
          </cell>
          <cell r="L459">
            <v>142105</v>
          </cell>
          <cell r="P459">
            <v>681825</v>
          </cell>
          <cell r="R459">
            <v>2609</v>
          </cell>
          <cell r="T459">
            <v>0.51169030279800687</v>
          </cell>
        </row>
        <row r="460">
          <cell r="B460" t="str">
            <v>LONDON HYDRO INC.</v>
          </cell>
          <cell r="C460">
            <v>2008</v>
          </cell>
          <cell r="F460">
            <v>26118820.129999999</v>
          </cell>
          <cell r="L460">
            <v>143797</v>
          </cell>
          <cell r="P460">
            <v>659564</v>
          </cell>
          <cell r="R460">
            <v>2781</v>
          </cell>
          <cell r="T460">
            <v>0.50773103200287661</v>
          </cell>
        </row>
        <row r="461">
          <cell r="B461" t="str">
            <v>LONDON HYDRO INC.</v>
          </cell>
          <cell r="C461">
            <v>2009</v>
          </cell>
          <cell r="F461">
            <v>26547183.299999997</v>
          </cell>
          <cell r="L461">
            <v>145298</v>
          </cell>
          <cell r="P461">
            <v>662418</v>
          </cell>
          <cell r="R461">
            <v>2705</v>
          </cell>
          <cell r="T461">
            <v>0.51090573012939</v>
          </cell>
        </row>
        <row r="462">
          <cell r="B462" t="str">
            <v>LONDON HYDRO INC.</v>
          </cell>
          <cell r="C462">
            <v>2010</v>
          </cell>
          <cell r="F462">
            <v>28760403.079999998</v>
          </cell>
          <cell r="L462">
            <v>146974</v>
          </cell>
          <cell r="P462">
            <v>687625</v>
          </cell>
          <cell r="R462">
            <v>2774</v>
          </cell>
          <cell r="T462">
            <v>0.50829127613554437</v>
          </cell>
        </row>
        <row r="463">
          <cell r="B463" t="str">
            <v>LONDON HYDRO INC.</v>
          </cell>
          <cell r="C463">
            <v>2011</v>
          </cell>
          <cell r="F463">
            <v>30095686.240000002</v>
          </cell>
          <cell r="L463">
            <v>148331</v>
          </cell>
          <cell r="P463">
            <v>717155</v>
          </cell>
          <cell r="R463">
            <v>2820</v>
          </cell>
          <cell r="T463">
            <v>0.51666666666666672</v>
          </cell>
        </row>
        <row r="464">
          <cell r="B464" t="str">
            <v>LONDON HYDRO INC.</v>
          </cell>
          <cell r="C464">
            <v>2012</v>
          </cell>
          <cell r="F464">
            <v>29512195.462994259</v>
          </cell>
          <cell r="L464">
            <v>149742</v>
          </cell>
          <cell r="P464">
            <v>693268</v>
          </cell>
          <cell r="R464">
            <v>2842</v>
          </cell>
          <cell r="T464">
            <v>0.52076002814919076</v>
          </cell>
        </row>
        <row r="468">
          <cell r="B468" t="str">
            <v>MIDLAND POWER UTILITY CORPORATION</v>
          </cell>
          <cell r="C468">
            <v>2005</v>
          </cell>
          <cell r="F468">
            <v>1520850.79</v>
          </cell>
          <cell r="L468">
            <v>6516</v>
          </cell>
          <cell r="P468">
            <v>39722</v>
          </cell>
          <cell r="R468">
            <v>115</v>
          </cell>
          <cell r="T468">
            <v>0.31304347826086959</v>
          </cell>
        </row>
        <row r="469">
          <cell r="B469" t="str">
            <v>MIDLAND POWER UTILITY CORPORATION</v>
          </cell>
          <cell r="C469">
            <v>2006</v>
          </cell>
          <cell r="F469">
            <v>1711075.01</v>
          </cell>
          <cell r="L469">
            <v>6634</v>
          </cell>
          <cell r="P469">
            <v>39188</v>
          </cell>
          <cell r="R469">
            <v>115</v>
          </cell>
          <cell r="T469">
            <v>0.31304347826086959</v>
          </cell>
        </row>
        <row r="470">
          <cell r="B470" t="str">
            <v>MIDLAND POWER UTILITY CORPORATION</v>
          </cell>
          <cell r="C470">
            <v>2007</v>
          </cell>
          <cell r="F470">
            <v>1669455.19</v>
          </cell>
          <cell r="L470">
            <v>6709</v>
          </cell>
          <cell r="P470">
            <v>40128</v>
          </cell>
          <cell r="R470">
            <v>115</v>
          </cell>
          <cell r="T470">
            <v>0.31304347826086959</v>
          </cell>
        </row>
        <row r="471">
          <cell r="B471" t="str">
            <v>MIDLAND POWER UTILITY CORPORATION</v>
          </cell>
          <cell r="C471">
            <v>2008</v>
          </cell>
          <cell r="F471">
            <v>1776801.97</v>
          </cell>
          <cell r="L471">
            <v>6773</v>
          </cell>
          <cell r="P471">
            <v>38488</v>
          </cell>
          <cell r="R471">
            <v>115</v>
          </cell>
          <cell r="T471">
            <v>0.31304347826086959</v>
          </cell>
        </row>
        <row r="472">
          <cell r="B472" t="str">
            <v>MIDLAND POWER UTILITY CORPORATION</v>
          </cell>
          <cell r="C472">
            <v>2009</v>
          </cell>
          <cell r="F472">
            <v>1733089.35</v>
          </cell>
          <cell r="L472">
            <v>6893</v>
          </cell>
          <cell r="P472">
            <v>37116</v>
          </cell>
          <cell r="R472">
            <v>115</v>
          </cell>
          <cell r="T472">
            <v>0.31304347826086959</v>
          </cell>
        </row>
        <row r="473">
          <cell r="B473" t="str">
            <v>MIDLAND POWER UTILITY CORPORATION</v>
          </cell>
          <cell r="C473">
            <v>2010</v>
          </cell>
          <cell r="F473">
            <v>1800590.57</v>
          </cell>
          <cell r="L473">
            <v>6914</v>
          </cell>
          <cell r="P473">
            <v>40302</v>
          </cell>
          <cell r="R473">
            <v>149</v>
          </cell>
          <cell r="T473">
            <v>0.25503355704697989</v>
          </cell>
        </row>
        <row r="474">
          <cell r="B474" t="str">
            <v>MIDLAND POWER UTILITY CORPORATION</v>
          </cell>
          <cell r="C474">
            <v>2011</v>
          </cell>
          <cell r="F474">
            <v>1928284.9900000002</v>
          </cell>
          <cell r="L474">
            <v>6951</v>
          </cell>
          <cell r="P474">
            <v>37873</v>
          </cell>
          <cell r="R474">
            <v>265</v>
          </cell>
          <cell r="T474">
            <v>0.25283018867924528</v>
          </cell>
        </row>
        <row r="475">
          <cell r="B475" t="str">
            <v>MIDLAND POWER UTILITY CORPORATION</v>
          </cell>
          <cell r="C475">
            <v>2012</v>
          </cell>
          <cell r="F475">
            <v>2282498.9339000001</v>
          </cell>
          <cell r="L475">
            <v>6975</v>
          </cell>
          <cell r="P475">
            <v>38530</v>
          </cell>
          <cell r="R475">
            <v>132</v>
          </cell>
          <cell r="T475">
            <v>0.37121212121212122</v>
          </cell>
        </row>
        <row r="479">
          <cell r="B479" t="str">
            <v>MILTON HYDRO DISTRIBUTION INC.</v>
          </cell>
          <cell r="C479">
            <v>2005</v>
          </cell>
          <cell r="F479">
            <v>3997409.29</v>
          </cell>
          <cell r="L479">
            <v>19858</v>
          </cell>
          <cell r="P479">
            <v>120578</v>
          </cell>
          <cell r="R479">
            <v>788</v>
          </cell>
          <cell r="T479">
            <v>0.30583756345177665</v>
          </cell>
        </row>
        <row r="480">
          <cell r="B480" t="str">
            <v>MILTON HYDRO DISTRIBUTION INC.</v>
          </cell>
          <cell r="C480">
            <v>2006</v>
          </cell>
          <cell r="F480">
            <v>4029180.06</v>
          </cell>
          <cell r="L480">
            <v>20975</v>
          </cell>
          <cell r="P480">
            <v>126855</v>
          </cell>
          <cell r="R480">
            <v>792</v>
          </cell>
          <cell r="T480">
            <v>0.32954545454545453</v>
          </cell>
        </row>
        <row r="481">
          <cell r="B481" t="str">
            <v>MILTON HYDRO DISTRIBUTION INC.</v>
          </cell>
          <cell r="C481">
            <v>2007</v>
          </cell>
          <cell r="F481">
            <v>4428987.2300000004</v>
          </cell>
          <cell r="L481">
            <v>22811</v>
          </cell>
          <cell r="P481">
            <v>130375</v>
          </cell>
          <cell r="R481">
            <v>833</v>
          </cell>
          <cell r="T481">
            <v>0.3517406962785114</v>
          </cell>
        </row>
        <row r="482">
          <cell r="B482" t="str">
            <v>MILTON HYDRO DISTRIBUTION INC.</v>
          </cell>
          <cell r="C482">
            <v>2008</v>
          </cell>
          <cell r="F482">
            <v>4971485.8500000006</v>
          </cell>
          <cell r="L482">
            <v>25373</v>
          </cell>
          <cell r="P482">
            <v>125846</v>
          </cell>
          <cell r="R482">
            <v>866</v>
          </cell>
          <cell r="T482">
            <v>0.36951501154734412</v>
          </cell>
        </row>
        <row r="483">
          <cell r="B483" t="str">
            <v>MILTON HYDRO DISTRIBUTION INC.</v>
          </cell>
          <cell r="C483">
            <v>2009</v>
          </cell>
          <cell r="F483">
            <v>5286434.95</v>
          </cell>
          <cell r="L483">
            <v>27323</v>
          </cell>
          <cell r="P483">
            <v>134672</v>
          </cell>
          <cell r="R483">
            <v>866</v>
          </cell>
          <cell r="T483">
            <v>0.36951501154734412</v>
          </cell>
        </row>
        <row r="484">
          <cell r="B484" t="str">
            <v>MILTON HYDRO DISTRIBUTION INC.</v>
          </cell>
          <cell r="C484">
            <v>2010</v>
          </cell>
          <cell r="F484">
            <v>5445143.0944726532</v>
          </cell>
          <cell r="L484">
            <v>29142</v>
          </cell>
          <cell r="P484">
            <v>147307</v>
          </cell>
          <cell r="R484">
            <v>938</v>
          </cell>
          <cell r="T484">
            <v>0.38592750533049042</v>
          </cell>
        </row>
        <row r="485">
          <cell r="B485" t="str">
            <v>MILTON HYDRO DISTRIBUTION INC.</v>
          </cell>
          <cell r="C485">
            <v>2011</v>
          </cell>
          <cell r="F485">
            <v>6368533</v>
          </cell>
          <cell r="L485">
            <v>30485</v>
          </cell>
          <cell r="P485">
            <v>161635</v>
          </cell>
          <cell r="R485">
            <v>950</v>
          </cell>
          <cell r="T485">
            <v>0.4031578947368421</v>
          </cell>
        </row>
        <row r="486">
          <cell r="B486" t="str">
            <v>MILTON HYDRO DISTRIBUTION INC.</v>
          </cell>
          <cell r="C486">
            <v>2012</v>
          </cell>
          <cell r="F486">
            <v>6718637</v>
          </cell>
          <cell r="L486">
            <v>32324</v>
          </cell>
          <cell r="P486">
            <v>166579</v>
          </cell>
          <cell r="R486">
            <v>983</v>
          </cell>
          <cell r="T486">
            <v>0.40590030518819942</v>
          </cell>
        </row>
        <row r="490">
          <cell r="B490" t="str">
            <v>NEWMARKET-TAY POWER DISTRIBUTION LTD.</v>
          </cell>
          <cell r="C490">
            <v>2005</v>
          </cell>
          <cell r="F490">
            <v>5554092.8500000006</v>
          </cell>
          <cell r="L490">
            <v>30166</v>
          </cell>
          <cell r="P490">
            <v>158205</v>
          </cell>
          <cell r="R490">
            <v>1002</v>
          </cell>
          <cell r="T490">
            <v>0.42015968063872255</v>
          </cell>
        </row>
        <row r="491">
          <cell r="B491" t="str">
            <v>NEWMARKET-TAY POWER DISTRIBUTION LTD.</v>
          </cell>
          <cell r="C491">
            <v>2006</v>
          </cell>
          <cell r="F491">
            <v>5497459.8900000006</v>
          </cell>
          <cell r="L491">
            <v>30684</v>
          </cell>
          <cell r="P491">
            <v>163930</v>
          </cell>
          <cell r="R491">
            <v>1012</v>
          </cell>
          <cell r="T491">
            <v>0.42490118577075098</v>
          </cell>
        </row>
        <row r="492">
          <cell r="B492" t="str">
            <v>NEWMARKET-TAY POWER DISTRIBUTION LTD.</v>
          </cell>
          <cell r="C492">
            <v>2007</v>
          </cell>
          <cell r="F492">
            <v>5481285.5899999999</v>
          </cell>
          <cell r="L492">
            <v>31193</v>
          </cell>
          <cell r="P492">
            <v>155199</v>
          </cell>
          <cell r="R492">
            <v>1034</v>
          </cell>
          <cell r="T492">
            <v>0.43907156673114117</v>
          </cell>
        </row>
        <row r="493">
          <cell r="B493" t="str">
            <v>NEWMARKET-TAY POWER DISTRIBUTION LTD.</v>
          </cell>
          <cell r="C493">
            <v>2008</v>
          </cell>
          <cell r="F493">
            <v>6214558.9799999995</v>
          </cell>
          <cell r="L493">
            <v>31874</v>
          </cell>
          <cell r="P493">
            <v>141148</v>
          </cell>
          <cell r="R493">
            <v>1050</v>
          </cell>
          <cell r="T493">
            <v>0.44476190476190475</v>
          </cell>
        </row>
        <row r="494">
          <cell r="B494" t="str">
            <v>NEWMARKET-TAY POWER DISTRIBUTION LTD.</v>
          </cell>
          <cell r="C494">
            <v>2009</v>
          </cell>
          <cell r="F494">
            <v>6389095.7399999993</v>
          </cell>
          <cell r="L494">
            <v>32429</v>
          </cell>
          <cell r="P494">
            <v>143359</v>
          </cell>
          <cell r="R494">
            <v>1053</v>
          </cell>
          <cell r="T494">
            <v>0.44444444444444442</v>
          </cell>
        </row>
        <row r="495">
          <cell r="B495" t="str">
            <v>NEWMARKET-TAY POWER DISTRIBUTION LTD.</v>
          </cell>
          <cell r="C495">
            <v>2010</v>
          </cell>
          <cell r="F495">
            <v>6686058.25</v>
          </cell>
          <cell r="L495">
            <v>32911</v>
          </cell>
          <cell r="P495">
            <v>154388</v>
          </cell>
          <cell r="R495">
            <v>1071</v>
          </cell>
          <cell r="T495">
            <v>0.450046685340803</v>
          </cell>
        </row>
        <row r="496">
          <cell r="B496" t="str">
            <v>NEWMARKET-TAY POWER DISTRIBUTION LTD.</v>
          </cell>
          <cell r="C496">
            <v>2011</v>
          </cell>
          <cell r="F496">
            <v>6319124.1570364134</v>
          </cell>
          <cell r="L496">
            <v>33338</v>
          </cell>
          <cell r="P496">
            <v>156479</v>
          </cell>
          <cell r="R496">
            <v>830</v>
          </cell>
          <cell r="T496">
            <v>0.56746987951807226</v>
          </cell>
        </row>
        <row r="497">
          <cell r="B497" t="str">
            <v>NEWMARKET-TAY POWER DISTRIBUTION LTD.</v>
          </cell>
          <cell r="C497">
            <v>2012</v>
          </cell>
          <cell r="F497">
            <v>6631888.0200000005</v>
          </cell>
          <cell r="L497">
            <v>33883</v>
          </cell>
          <cell r="P497">
            <v>154735</v>
          </cell>
          <cell r="R497">
            <v>832</v>
          </cell>
          <cell r="T497">
            <v>0.55288461538461542</v>
          </cell>
        </row>
        <row r="501">
          <cell r="B501" t="str">
            <v>NIAGARA PENINSULA ENERGY INC.</v>
          </cell>
          <cell r="C501">
            <v>2005</v>
          </cell>
          <cell r="F501">
            <v>12002400</v>
          </cell>
          <cell r="L501">
            <v>48671</v>
          </cell>
          <cell r="P501">
            <v>260983</v>
          </cell>
          <cell r="R501">
            <v>2114</v>
          </cell>
          <cell r="T501">
            <v>0.25591296121097445</v>
          </cell>
        </row>
        <row r="502">
          <cell r="B502" t="str">
            <v>NIAGARA PENINSULA ENERGY INC.</v>
          </cell>
          <cell r="C502">
            <v>2006</v>
          </cell>
          <cell r="F502">
            <v>12327207.15</v>
          </cell>
          <cell r="L502">
            <v>48493</v>
          </cell>
          <cell r="P502">
            <v>268958</v>
          </cell>
          <cell r="R502">
            <v>1830</v>
          </cell>
          <cell r="T502">
            <v>0.20327868852459016</v>
          </cell>
        </row>
        <row r="503">
          <cell r="B503" t="str">
            <v>NIAGARA PENINSULA ENERGY INC.</v>
          </cell>
          <cell r="C503">
            <v>2007</v>
          </cell>
          <cell r="F503">
            <v>13040678.510000002</v>
          </cell>
          <cell r="L503">
            <v>50195</v>
          </cell>
          <cell r="P503">
            <v>254457</v>
          </cell>
          <cell r="T503">
            <v>0.27298954201226111</v>
          </cell>
        </row>
        <row r="504">
          <cell r="B504" t="str">
            <v>NIAGARA PENINSULA ENERGY INC.</v>
          </cell>
          <cell r="C504">
            <v>2008</v>
          </cell>
          <cell r="F504">
            <v>12572741.07</v>
          </cell>
          <cell r="L504">
            <v>50255</v>
          </cell>
          <cell r="P504">
            <v>249175</v>
          </cell>
          <cell r="R504">
            <v>1820</v>
          </cell>
          <cell r="T504">
            <v>0.2379120879120879</v>
          </cell>
        </row>
        <row r="505">
          <cell r="B505" t="str">
            <v>NIAGARA PENINSULA ENERGY INC.</v>
          </cell>
          <cell r="C505">
            <v>2009</v>
          </cell>
          <cell r="F505">
            <v>12606613.100000001</v>
          </cell>
          <cell r="L505">
            <v>50403</v>
          </cell>
          <cell r="P505">
            <v>254557</v>
          </cell>
          <cell r="R505">
            <v>1944</v>
          </cell>
          <cell r="T505">
            <v>0.24125514403292181</v>
          </cell>
        </row>
        <row r="506">
          <cell r="B506" t="str">
            <v>NIAGARA PENINSULA ENERGY INC.</v>
          </cell>
          <cell r="C506">
            <v>2010</v>
          </cell>
          <cell r="F506">
            <v>13264563.35</v>
          </cell>
          <cell r="L506">
            <v>51048</v>
          </cell>
          <cell r="P506">
            <v>261045</v>
          </cell>
          <cell r="R506">
            <v>1950</v>
          </cell>
          <cell r="T506">
            <v>0.24564102564102563</v>
          </cell>
        </row>
        <row r="507">
          <cell r="B507" t="str">
            <v>NIAGARA PENINSULA ENERGY INC.</v>
          </cell>
          <cell r="C507">
            <v>2011</v>
          </cell>
          <cell r="F507">
            <v>13737556.289999999</v>
          </cell>
          <cell r="L507">
            <v>51162</v>
          </cell>
          <cell r="P507">
            <v>269269</v>
          </cell>
          <cell r="R507">
            <v>1975</v>
          </cell>
          <cell r="T507">
            <v>0.24860759493670886</v>
          </cell>
        </row>
        <row r="508">
          <cell r="B508" t="str">
            <v>NIAGARA PENINSULA ENERGY INC.</v>
          </cell>
          <cell r="C508">
            <v>2012</v>
          </cell>
          <cell r="F508">
            <v>14194449.67</v>
          </cell>
          <cell r="L508">
            <v>50986</v>
          </cell>
          <cell r="P508">
            <v>262917</v>
          </cell>
          <cell r="R508">
            <v>1960</v>
          </cell>
          <cell r="T508">
            <v>0.25510204081632654</v>
          </cell>
        </row>
        <row r="512">
          <cell r="B512" t="str">
            <v>NIAGARA-ON-THE-LAKE HYDRO INC.</v>
          </cell>
          <cell r="C512">
            <v>2005</v>
          </cell>
          <cell r="F512">
            <v>1313224.51</v>
          </cell>
          <cell r="L512">
            <v>7466</v>
          </cell>
          <cell r="P512">
            <v>40534</v>
          </cell>
          <cell r="R512">
            <v>335</v>
          </cell>
          <cell r="T512">
            <v>0.24477611940298508</v>
          </cell>
        </row>
        <row r="513">
          <cell r="B513" t="str">
            <v>NIAGARA-ON-THE-LAKE HYDRO INC.</v>
          </cell>
          <cell r="C513">
            <v>2006</v>
          </cell>
          <cell r="F513">
            <v>1425971.29</v>
          </cell>
          <cell r="L513">
            <v>7703</v>
          </cell>
          <cell r="P513">
            <v>43843</v>
          </cell>
          <cell r="R513">
            <v>338</v>
          </cell>
          <cell r="T513">
            <v>0.2455621301775148</v>
          </cell>
        </row>
        <row r="514">
          <cell r="B514" t="str">
            <v>NIAGARA-ON-THE-LAKE HYDRO INC.</v>
          </cell>
          <cell r="C514">
            <v>2007</v>
          </cell>
          <cell r="F514">
            <v>1674732.4999999998</v>
          </cell>
          <cell r="L514">
            <v>7778</v>
          </cell>
          <cell r="P514">
            <v>41136</v>
          </cell>
          <cell r="R514">
            <v>337</v>
          </cell>
          <cell r="T514">
            <v>0.26706231454005935</v>
          </cell>
        </row>
        <row r="515">
          <cell r="B515" t="str">
            <v>NIAGARA-ON-THE-LAKE HYDRO INC.</v>
          </cell>
          <cell r="C515">
            <v>2008</v>
          </cell>
          <cell r="F515">
            <v>1648926.6100000003</v>
          </cell>
          <cell r="L515">
            <v>7798</v>
          </cell>
          <cell r="P515">
            <v>40775</v>
          </cell>
          <cell r="R515">
            <v>337</v>
          </cell>
          <cell r="T515">
            <v>0.26706231454005935</v>
          </cell>
        </row>
        <row r="516">
          <cell r="B516" t="str">
            <v>NIAGARA-ON-THE-LAKE HYDRO INC.</v>
          </cell>
          <cell r="C516">
            <v>2009</v>
          </cell>
          <cell r="F516">
            <v>1729363.6800000002</v>
          </cell>
          <cell r="L516">
            <v>7858</v>
          </cell>
          <cell r="P516">
            <v>40256</v>
          </cell>
          <cell r="R516">
            <v>341</v>
          </cell>
          <cell r="T516">
            <v>0.27859237536656889</v>
          </cell>
        </row>
        <row r="517">
          <cell r="B517" t="str">
            <v>NIAGARA-ON-THE-LAKE HYDRO INC.</v>
          </cell>
          <cell r="C517">
            <v>2010</v>
          </cell>
          <cell r="F517">
            <v>1685101.27</v>
          </cell>
          <cell r="L517">
            <v>7882</v>
          </cell>
          <cell r="P517">
            <v>42306</v>
          </cell>
          <cell r="R517">
            <v>342</v>
          </cell>
          <cell r="T517">
            <v>0.2953216374269006</v>
          </cell>
        </row>
        <row r="518">
          <cell r="B518" t="str">
            <v>NIAGARA-ON-THE-LAKE HYDRO INC.</v>
          </cell>
          <cell r="C518">
            <v>2011</v>
          </cell>
          <cell r="F518">
            <v>1822554.3199999998</v>
          </cell>
          <cell r="L518">
            <v>8000</v>
          </cell>
          <cell r="P518">
            <v>45651</v>
          </cell>
          <cell r="R518">
            <v>348</v>
          </cell>
          <cell r="T518">
            <v>0.29310344827586204</v>
          </cell>
        </row>
        <row r="519">
          <cell r="B519" t="str">
            <v>NIAGARA-ON-THE-LAKE HYDRO INC.</v>
          </cell>
          <cell r="C519">
            <v>2012</v>
          </cell>
          <cell r="F519">
            <v>1956395.799502</v>
          </cell>
          <cell r="L519">
            <v>8187</v>
          </cell>
          <cell r="P519">
            <v>44481</v>
          </cell>
          <cell r="R519">
            <v>326</v>
          </cell>
          <cell r="T519">
            <v>0.27914110429447853</v>
          </cell>
        </row>
        <row r="523">
          <cell r="B523" t="str">
            <v>NORFOLK POWER DISTRIBUTION INC.</v>
          </cell>
          <cell r="C523">
            <v>2005</v>
          </cell>
          <cell r="F523">
            <v>3651125.03</v>
          </cell>
          <cell r="L523">
            <v>18171</v>
          </cell>
          <cell r="P523">
            <v>73575</v>
          </cell>
          <cell r="R523">
            <v>771</v>
          </cell>
          <cell r="T523">
            <v>0.10116731517509728</v>
          </cell>
        </row>
        <row r="524">
          <cell r="B524" t="str">
            <v>NORFOLK POWER DISTRIBUTION INC.</v>
          </cell>
          <cell r="C524">
            <v>2006</v>
          </cell>
          <cell r="F524">
            <v>3957087.72</v>
          </cell>
          <cell r="L524">
            <v>18384</v>
          </cell>
          <cell r="P524">
            <v>75689</v>
          </cell>
          <cell r="R524">
            <v>653</v>
          </cell>
          <cell r="T524">
            <v>0.1225114854517611</v>
          </cell>
        </row>
        <row r="525">
          <cell r="B525" t="str">
            <v>NORFOLK POWER DISTRIBUTION INC.</v>
          </cell>
          <cell r="C525">
            <v>2007</v>
          </cell>
          <cell r="F525">
            <v>4733896.5999999996</v>
          </cell>
          <cell r="L525">
            <v>18641</v>
          </cell>
          <cell r="P525">
            <v>77718</v>
          </cell>
          <cell r="R525">
            <v>655</v>
          </cell>
          <cell r="T525">
            <v>0.1251908396946565</v>
          </cell>
        </row>
        <row r="526">
          <cell r="B526" t="str">
            <v>NORFOLK POWER DISTRIBUTION INC.</v>
          </cell>
          <cell r="C526">
            <v>2008</v>
          </cell>
          <cell r="F526">
            <v>5327426.6499999985</v>
          </cell>
          <cell r="L526">
            <v>18806</v>
          </cell>
          <cell r="P526">
            <v>75381</v>
          </cell>
          <cell r="R526">
            <v>691</v>
          </cell>
          <cell r="T526">
            <v>0.12156295224312591</v>
          </cell>
        </row>
        <row r="527">
          <cell r="B527" t="str">
            <v>NORFOLK POWER DISTRIBUTION INC.</v>
          </cell>
          <cell r="C527">
            <v>2009</v>
          </cell>
          <cell r="F527">
            <v>4369672.34</v>
          </cell>
          <cell r="L527">
            <v>18893</v>
          </cell>
          <cell r="P527">
            <v>92162</v>
          </cell>
          <cell r="R527">
            <v>765</v>
          </cell>
          <cell r="T527">
            <v>0.14117647058823529</v>
          </cell>
        </row>
        <row r="528">
          <cell r="B528" t="str">
            <v>NORFOLK POWER DISTRIBUTION INC.</v>
          </cell>
          <cell r="C528">
            <v>2010</v>
          </cell>
          <cell r="F528">
            <v>4649652.49</v>
          </cell>
          <cell r="L528">
            <v>18940</v>
          </cell>
          <cell r="P528">
            <v>87941</v>
          </cell>
          <cell r="R528">
            <v>768</v>
          </cell>
          <cell r="T528">
            <v>0.140625</v>
          </cell>
        </row>
        <row r="529">
          <cell r="B529" t="str">
            <v>NORFOLK POWER DISTRIBUTION INC.</v>
          </cell>
          <cell r="C529">
            <v>2011</v>
          </cell>
          <cell r="F529">
            <v>4646785.1900000004</v>
          </cell>
          <cell r="L529">
            <v>19032</v>
          </cell>
          <cell r="P529">
            <v>80766</v>
          </cell>
          <cell r="R529">
            <v>770</v>
          </cell>
          <cell r="T529">
            <v>0.14805194805194805</v>
          </cell>
        </row>
        <row r="530">
          <cell r="B530" t="str">
            <v>NORFOLK POWER DISTRIBUTION INC.</v>
          </cell>
          <cell r="C530">
            <v>2012</v>
          </cell>
          <cell r="F530">
            <v>5957976.0117999995</v>
          </cell>
          <cell r="L530">
            <v>19075</v>
          </cell>
          <cell r="P530">
            <v>86338</v>
          </cell>
          <cell r="R530">
            <v>779</v>
          </cell>
          <cell r="T530">
            <v>0.14890885750962773</v>
          </cell>
        </row>
        <row r="534">
          <cell r="B534" t="str">
            <v>NORTH BAY HYDRO DISTRIBUTION LIMITED</v>
          </cell>
          <cell r="C534">
            <v>2005</v>
          </cell>
          <cell r="F534">
            <v>4461802</v>
          </cell>
          <cell r="L534">
            <v>23405</v>
          </cell>
          <cell r="P534">
            <v>119000</v>
          </cell>
          <cell r="R534">
            <v>558</v>
          </cell>
          <cell r="T534">
            <v>0.16129032258064516</v>
          </cell>
        </row>
        <row r="535">
          <cell r="B535" t="str">
            <v>NORTH BAY HYDRO DISTRIBUTION LIMITED</v>
          </cell>
          <cell r="C535">
            <v>2006</v>
          </cell>
          <cell r="F535">
            <v>5475700.5600000015</v>
          </cell>
          <cell r="L535">
            <v>23493</v>
          </cell>
          <cell r="P535">
            <v>107416</v>
          </cell>
          <cell r="R535">
            <v>600</v>
          </cell>
          <cell r="T535">
            <v>0.15166666666666667</v>
          </cell>
        </row>
        <row r="536">
          <cell r="B536" t="str">
            <v>NORTH BAY HYDRO DISTRIBUTION LIMITED</v>
          </cell>
          <cell r="C536">
            <v>2007</v>
          </cell>
          <cell r="F536">
            <v>4889380.55</v>
          </cell>
          <cell r="L536">
            <v>23642</v>
          </cell>
          <cell r="P536">
            <v>113519</v>
          </cell>
          <cell r="R536">
            <v>608</v>
          </cell>
          <cell r="T536">
            <v>0.15625</v>
          </cell>
        </row>
        <row r="537">
          <cell r="B537" t="str">
            <v>NORTH BAY HYDRO DISTRIBUTION LIMITED</v>
          </cell>
          <cell r="C537">
            <v>2008</v>
          </cell>
          <cell r="F537">
            <v>4844870.040000001</v>
          </cell>
          <cell r="L537">
            <v>23669</v>
          </cell>
          <cell r="P537">
            <v>108731</v>
          </cell>
          <cell r="R537">
            <v>612</v>
          </cell>
          <cell r="T537">
            <v>0.15686274509803921</v>
          </cell>
        </row>
        <row r="538">
          <cell r="B538" t="str">
            <v>NORTH BAY HYDRO DISTRIBUTION LIMITED</v>
          </cell>
          <cell r="C538">
            <v>2009</v>
          </cell>
          <cell r="F538">
            <v>4616463.49</v>
          </cell>
          <cell r="L538">
            <v>23755</v>
          </cell>
          <cell r="P538">
            <v>119797</v>
          </cell>
          <cell r="R538">
            <v>616</v>
          </cell>
          <cell r="T538">
            <v>0.16071428571428573</v>
          </cell>
        </row>
        <row r="539">
          <cell r="B539" t="str">
            <v>NORTH BAY HYDRO DISTRIBUTION LIMITED</v>
          </cell>
          <cell r="C539">
            <v>2010</v>
          </cell>
          <cell r="F539">
            <v>4809999.0699999994</v>
          </cell>
          <cell r="L539">
            <v>23754</v>
          </cell>
          <cell r="P539">
            <v>109866</v>
          </cell>
          <cell r="R539">
            <v>611</v>
          </cell>
          <cell r="T539">
            <v>0.15875613747954173</v>
          </cell>
        </row>
        <row r="540">
          <cell r="B540" t="str">
            <v>NORTH BAY HYDRO DISTRIBUTION LIMITED</v>
          </cell>
          <cell r="C540">
            <v>2011</v>
          </cell>
          <cell r="F540">
            <v>4996953.09</v>
          </cell>
          <cell r="L540">
            <v>23850</v>
          </cell>
          <cell r="P540">
            <v>113732</v>
          </cell>
          <cell r="R540">
            <v>618</v>
          </cell>
          <cell r="T540">
            <v>0.17475728155339806</v>
          </cell>
        </row>
        <row r="541">
          <cell r="B541" t="str">
            <v>NORTH BAY HYDRO DISTRIBUTION LIMITED</v>
          </cell>
          <cell r="C541">
            <v>2012</v>
          </cell>
          <cell r="F541">
            <v>5223313.1300000008</v>
          </cell>
          <cell r="L541">
            <v>23972</v>
          </cell>
          <cell r="P541">
            <v>105211</v>
          </cell>
          <cell r="R541">
            <v>621</v>
          </cell>
          <cell r="T541">
            <v>0.17713365539452497</v>
          </cell>
        </row>
        <row r="545">
          <cell r="B545" t="str">
            <v>NORTHERN ONTARIO WIRES INC.</v>
          </cell>
          <cell r="C545">
            <v>2005</v>
          </cell>
          <cell r="F545">
            <v>1619376.47</v>
          </cell>
          <cell r="L545">
            <v>6202</v>
          </cell>
          <cell r="P545">
            <v>23943</v>
          </cell>
          <cell r="R545">
            <v>370</v>
          </cell>
          <cell r="T545">
            <v>1.3513513513513514E-2</v>
          </cell>
        </row>
        <row r="546">
          <cell r="B546" t="str">
            <v>NORTHERN ONTARIO WIRES INC.</v>
          </cell>
          <cell r="C546">
            <v>2006</v>
          </cell>
          <cell r="F546">
            <v>1743541.716</v>
          </cell>
          <cell r="L546">
            <v>6135</v>
          </cell>
          <cell r="P546">
            <v>21843</v>
          </cell>
          <cell r="R546">
            <v>370</v>
          </cell>
          <cell r="T546">
            <v>1.3513513513513514E-2</v>
          </cell>
        </row>
        <row r="547">
          <cell r="B547" t="str">
            <v>NORTHERN ONTARIO WIRES INC.</v>
          </cell>
          <cell r="C547">
            <v>2007</v>
          </cell>
          <cell r="F547">
            <v>1897276.0390000001</v>
          </cell>
          <cell r="L547">
            <v>6112</v>
          </cell>
          <cell r="P547">
            <v>25689</v>
          </cell>
          <cell r="R547">
            <v>370</v>
          </cell>
          <cell r="T547">
            <v>1.3513513513513514E-2</v>
          </cell>
        </row>
        <row r="548">
          <cell r="B548" t="str">
            <v>NORTHERN ONTARIO WIRES INC.</v>
          </cell>
          <cell r="C548">
            <v>2008</v>
          </cell>
          <cell r="F548">
            <v>1990937.6945</v>
          </cell>
          <cell r="L548">
            <v>6055</v>
          </cell>
          <cell r="P548">
            <v>24006</v>
          </cell>
          <cell r="R548">
            <v>370</v>
          </cell>
          <cell r="T548">
            <v>1.3513513513513514E-2</v>
          </cell>
        </row>
        <row r="549">
          <cell r="B549" t="str">
            <v>NORTHERN ONTARIO WIRES INC.</v>
          </cell>
          <cell r="C549">
            <v>2009</v>
          </cell>
          <cell r="F549">
            <v>2006930.3590000002</v>
          </cell>
          <cell r="L549">
            <v>6050</v>
          </cell>
          <cell r="P549">
            <v>24291</v>
          </cell>
          <cell r="R549">
            <v>370</v>
          </cell>
          <cell r="T549">
            <v>1.3513513513513514E-2</v>
          </cell>
        </row>
        <row r="550">
          <cell r="B550" t="str">
            <v>NORTHERN ONTARIO WIRES INC.</v>
          </cell>
          <cell r="C550">
            <v>2010</v>
          </cell>
          <cell r="F550">
            <v>2057585.608</v>
          </cell>
          <cell r="L550">
            <v>6026</v>
          </cell>
          <cell r="P550">
            <v>23892</v>
          </cell>
          <cell r="R550">
            <v>370</v>
          </cell>
          <cell r="T550">
            <v>1.3513513513513514E-2</v>
          </cell>
        </row>
        <row r="551">
          <cell r="B551" t="str">
            <v>NORTHERN ONTARIO WIRES INC.</v>
          </cell>
          <cell r="C551">
            <v>2011</v>
          </cell>
          <cell r="F551">
            <v>2135477.1869999999</v>
          </cell>
          <cell r="L551">
            <v>6059</v>
          </cell>
          <cell r="P551">
            <v>22918</v>
          </cell>
          <cell r="R551">
            <v>370</v>
          </cell>
          <cell r="T551">
            <v>1.3513513513513514E-2</v>
          </cell>
        </row>
        <row r="552">
          <cell r="B552" t="str">
            <v>NORTHERN ONTARIO WIRES INC.</v>
          </cell>
          <cell r="C552">
            <v>2012</v>
          </cell>
          <cell r="F552">
            <v>2463137.0425</v>
          </cell>
          <cell r="L552">
            <v>6068</v>
          </cell>
          <cell r="P552">
            <v>22683</v>
          </cell>
          <cell r="R552">
            <v>370</v>
          </cell>
          <cell r="T552">
            <v>8.1081081081081086E-3</v>
          </cell>
        </row>
        <row r="556">
          <cell r="B556" t="str">
            <v>OAKVILLE HYDRO ELECTRICITY DISTRIBUTION INC.</v>
          </cell>
          <cell r="C556">
            <v>2005</v>
          </cell>
          <cell r="F556">
            <v>9670235.5499999989</v>
          </cell>
          <cell r="L556">
            <v>54677</v>
          </cell>
          <cell r="P556">
            <v>335427</v>
          </cell>
          <cell r="R556">
            <v>1347</v>
          </cell>
          <cell r="T556">
            <v>0.60282108389012623</v>
          </cell>
        </row>
        <row r="557">
          <cell r="B557" t="str">
            <v>OAKVILLE HYDRO ELECTRICITY DISTRIBUTION INC.</v>
          </cell>
          <cell r="C557">
            <v>2006</v>
          </cell>
          <cell r="F557">
            <v>10955815.17</v>
          </cell>
          <cell r="L557">
            <v>58220</v>
          </cell>
          <cell r="P557">
            <v>363987</v>
          </cell>
          <cell r="R557">
            <v>1372</v>
          </cell>
          <cell r="T557">
            <v>0.60641399416909625</v>
          </cell>
        </row>
        <row r="558">
          <cell r="B558" t="str">
            <v>OAKVILLE HYDRO ELECTRICITY DISTRIBUTION INC.</v>
          </cell>
          <cell r="C558">
            <v>2007</v>
          </cell>
          <cell r="F558">
            <v>10541910.630000001</v>
          </cell>
          <cell r="L558">
            <v>59883</v>
          </cell>
          <cell r="P558">
            <v>351188</v>
          </cell>
          <cell r="R558">
            <v>1397</v>
          </cell>
          <cell r="T558">
            <v>0.60987831066571219</v>
          </cell>
        </row>
        <row r="559">
          <cell r="B559" t="str">
            <v>OAKVILLE HYDRO ELECTRICITY DISTRIBUTION INC.</v>
          </cell>
          <cell r="C559">
            <v>2008</v>
          </cell>
          <cell r="F559">
            <v>9628982.3100000005</v>
          </cell>
          <cell r="L559">
            <v>62038</v>
          </cell>
          <cell r="P559">
            <v>347832</v>
          </cell>
          <cell r="R559">
            <v>1414</v>
          </cell>
          <cell r="T559">
            <v>0.61315417256011318</v>
          </cell>
        </row>
        <row r="560">
          <cell r="B560" t="str">
            <v>OAKVILLE HYDRO ELECTRICITY DISTRIBUTION INC.</v>
          </cell>
          <cell r="C560">
            <v>2009</v>
          </cell>
          <cell r="F560">
            <v>10168114.280000001</v>
          </cell>
          <cell r="L560">
            <v>62179</v>
          </cell>
          <cell r="P560">
            <v>339629</v>
          </cell>
          <cell r="R560">
            <v>1428</v>
          </cell>
          <cell r="T560">
            <v>0.61414565826330536</v>
          </cell>
        </row>
        <row r="561">
          <cell r="B561" t="str">
            <v>OAKVILLE HYDRO ELECTRICITY DISTRIBUTION INC.</v>
          </cell>
          <cell r="C561">
            <v>2010</v>
          </cell>
          <cell r="F561">
            <v>10805669.199999999</v>
          </cell>
          <cell r="L561">
            <v>62674</v>
          </cell>
          <cell r="P561">
            <v>354830</v>
          </cell>
          <cell r="R561">
            <v>1439</v>
          </cell>
          <cell r="T561">
            <v>0.61570535093815149</v>
          </cell>
        </row>
        <row r="562">
          <cell r="B562" t="str">
            <v>OAKVILLE HYDRO ELECTRICITY DISTRIBUTION INC.</v>
          </cell>
          <cell r="C562">
            <v>2011</v>
          </cell>
          <cell r="F562">
            <v>12832360.600000001</v>
          </cell>
          <cell r="L562">
            <v>63614</v>
          </cell>
          <cell r="P562">
            <v>380100</v>
          </cell>
          <cell r="R562">
            <v>1455</v>
          </cell>
          <cell r="T562">
            <v>0.61443298969072169</v>
          </cell>
        </row>
        <row r="563">
          <cell r="B563" t="str">
            <v>OAKVILLE HYDRO ELECTRICITY DISTRIBUTION INC.</v>
          </cell>
          <cell r="C563">
            <v>2012</v>
          </cell>
          <cell r="F563">
            <v>13122737.663600001</v>
          </cell>
          <cell r="L563">
            <v>64106</v>
          </cell>
          <cell r="P563">
            <v>362482</v>
          </cell>
          <cell r="R563">
            <v>1529</v>
          </cell>
          <cell r="T563">
            <v>0.69980379332897313</v>
          </cell>
        </row>
        <row r="567">
          <cell r="B567" t="str">
            <v>ORANGEVILLE HYDRO LIMITED</v>
          </cell>
          <cell r="C567">
            <v>2005</v>
          </cell>
          <cell r="F567">
            <v>1836500.6700000002</v>
          </cell>
          <cell r="L567">
            <v>10609</v>
          </cell>
          <cell r="P567">
            <v>47678</v>
          </cell>
          <cell r="R567">
            <v>161</v>
          </cell>
          <cell r="T567">
            <v>0.40372670807453415</v>
          </cell>
        </row>
        <row r="568">
          <cell r="B568" t="str">
            <v>ORANGEVILLE HYDRO LIMITED</v>
          </cell>
          <cell r="C568">
            <v>2006</v>
          </cell>
          <cell r="F568">
            <v>1915549.7399999998</v>
          </cell>
          <cell r="L568">
            <v>10675</v>
          </cell>
          <cell r="P568">
            <v>50330</v>
          </cell>
          <cell r="R568">
            <v>165</v>
          </cell>
          <cell r="T568">
            <v>0.4</v>
          </cell>
        </row>
        <row r="569">
          <cell r="B569" t="str">
            <v>ORANGEVILLE HYDRO LIMITED</v>
          </cell>
          <cell r="C569">
            <v>2007</v>
          </cell>
          <cell r="F569">
            <v>2122872.1100000003</v>
          </cell>
          <cell r="L569">
            <v>10811</v>
          </cell>
          <cell r="P569">
            <v>47692</v>
          </cell>
          <cell r="R569">
            <v>168</v>
          </cell>
          <cell r="T569">
            <v>0.39880952380952384</v>
          </cell>
        </row>
        <row r="570">
          <cell r="B570" t="str">
            <v>ORANGEVILLE HYDRO LIMITED</v>
          </cell>
          <cell r="C570">
            <v>2008</v>
          </cell>
          <cell r="F570">
            <v>2363401.52</v>
          </cell>
          <cell r="L570">
            <v>10881</v>
          </cell>
          <cell r="P570">
            <v>44089</v>
          </cell>
          <cell r="R570">
            <v>170</v>
          </cell>
          <cell r="T570">
            <v>0.39411764705882352</v>
          </cell>
        </row>
        <row r="571">
          <cell r="B571" t="str">
            <v>ORANGEVILLE HYDRO LIMITED</v>
          </cell>
          <cell r="C571">
            <v>2009</v>
          </cell>
          <cell r="F571">
            <v>2370139.4400000004</v>
          </cell>
          <cell r="L571">
            <v>11091</v>
          </cell>
          <cell r="P571">
            <v>45326</v>
          </cell>
          <cell r="R571">
            <v>173</v>
          </cell>
          <cell r="T571">
            <v>0.41040462427745666</v>
          </cell>
        </row>
        <row r="572">
          <cell r="B572" t="str">
            <v>ORANGEVILLE HYDRO LIMITED</v>
          </cell>
          <cell r="C572">
            <v>2010</v>
          </cell>
          <cell r="F572">
            <v>2558231.12</v>
          </cell>
          <cell r="L572">
            <v>11256</v>
          </cell>
          <cell r="P572">
            <v>47841</v>
          </cell>
          <cell r="R572">
            <v>176</v>
          </cell>
          <cell r="T572">
            <v>0.41477272727272729</v>
          </cell>
        </row>
        <row r="573">
          <cell r="B573" t="str">
            <v>ORANGEVILLE HYDRO LIMITED</v>
          </cell>
          <cell r="C573">
            <v>2011</v>
          </cell>
          <cell r="F573">
            <v>2866565.0100000002</v>
          </cell>
          <cell r="L573">
            <v>11248</v>
          </cell>
          <cell r="P573">
            <v>47996</v>
          </cell>
          <cell r="R573">
            <v>176</v>
          </cell>
          <cell r="T573">
            <v>0.41477272727272729</v>
          </cell>
        </row>
        <row r="574">
          <cell r="B574" t="str">
            <v>ORANGEVILLE HYDRO LIMITED</v>
          </cell>
          <cell r="C574">
            <v>2012</v>
          </cell>
          <cell r="F574">
            <v>3031389.2965463437</v>
          </cell>
          <cell r="L574">
            <v>11392</v>
          </cell>
          <cell r="P574">
            <v>47320</v>
          </cell>
          <cell r="R574">
            <v>187</v>
          </cell>
          <cell r="T574">
            <v>0.49197860962566847</v>
          </cell>
        </row>
        <row r="578">
          <cell r="B578" t="str">
            <v>ORILLIA POWER DISTRIBUTION CORPORATION</v>
          </cell>
          <cell r="C578">
            <v>2005</v>
          </cell>
          <cell r="F578">
            <v>2949155.17</v>
          </cell>
          <cell r="L578">
            <v>12374</v>
          </cell>
          <cell r="P578">
            <v>60656</v>
          </cell>
          <cell r="R578">
            <v>299</v>
          </cell>
          <cell r="T578">
            <v>0.1806020066889632</v>
          </cell>
        </row>
        <row r="579">
          <cell r="B579" t="str">
            <v>ORILLIA POWER DISTRIBUTION CORPORATION</v>
          </cell>
          <cell r="C579">
            <v>2006</v>
          </cell>
          <cell r="F579">
            <v>3278174.1500000004</v>
          </cell>
          <cell r="L579">
            <v>12551</v>
          </cell>
          <cell r="P579">
            <v>58542</v>
          </cell>
          <cell r="R579">
            <v>302</v>
          </cell>
          <cell r="T579">
            <v>0.18874172185430463</v>
          </cell>
        </row>
        <row r="580">
          <cell r="B580" t="str">
            <v>ORILLIA POWER DISTRIBUTION CORPORATION</v>
          </cell>
          <cell r="C580">
            <v>2007</v>
          </cell>
          <cell r="F580">
            <v>3413830.9900000007</v>
          </cell>
          <cell r="L580">
            <v>12648</v>
          </cell>
          <cell r="P580">
            <v>57057</v>
          </cell>
          <cell r="R580">
            <v>302</v>
          </cell>
          <cell r="T580">
            <v>0.18874172185430463</v>
          </cell>
        </row>
        <row r="581">
          <cell r="B581" t="str">
            <v>ORILLIA POWER DISTRIBUTION CORPORATION</v>
          </cell>
          <cell r="C581">
            <v>2008</v>
          </cell>
          <cell r="F581">
            <v>3737525.09</v>
          </cell>
          <cell r="L581">
            <v>12797</v>
          </cell>
          <cell r="P581">
            <v>55775</v>
          </cell>
          <cell r="R581">
            <v>304</v>
          </cell>
          <cell r="T581">
            <v>0.19407894736842105</v>
          </cell>
        </row>
        <row r="582">
          <cell r="B582" t="str">
            <v>ORILLIA POWER DISTRIBUTION CORPORATION</v>
          </cell>
          <cell r="C582">
            <v>2009</v>
          </cell>
          <cell r="F582">
            <v>3831334.23</v>
          </cell>
          <cell r="L582">
            <v>12809</v>
          </cell>
          <cell r="P582">
            <v>59109</v>
          </cell>
          <cell r="R582">
            <v>307</v>
          </cell>
          <cell r="T582">
            <v>0.19218241042345277</v>
          </cell>
        </row>
        <row r="583">
          <cell r="B583" t="str">
            <v>ORILLIA POWER DISTRIBUTION CORPORATION</v>
          </cell>
          <cell r="C583">
            <v>2010</v>
          </cell>
          <cell r="F583">
            <v>4093750.7700000005</v>
          </cell>
          <cell r="L583">
            <v>12862</v>
          </cell>
          <cell r="P583">
            <v>57908</v>
          </cell>
          <cell r="R583">
            <v>313</v>
          </cell>
          <cell r="T583">
            <v>0.20766773162939298</v>
          </cell>
        </row>
        <row r="584">
          <cell r="B584" t="str">
            <v>ORILLIA POWER DISTRIBUTION CORPORATION</v>
          </cell>
          <cell r="C584">
            <v>2011</v>
          </cell>
          <cell r="F584">
            <v>4405707.6100000003</v>
          </cell>
          <cell r="L584">
            <v>13035</v>
          </cell>
          <cell r="P584">
            <v>59312</v>
          </cell>
          <cell r="R584">
            <v>314</v>
          </cell>
          <cell r="T584">
            <v>0.21019108280254778</v>
          </cell>
        </row>
        <row r="585">
          <cell r="B585" t="str">
            <v>ORILLIA POWER DISTRIBUTION CORPORATION</v>
          </cell>
          <cell r="C585">
            <v>2012</v>
          </cell>
          <cell r="F585">
            <v>4587512.6666000001</v>
          </cell>
          <cell r="L585">
            <v>13146</v>
          </cell>
          <cell r="P585">
            <v>56769</v>
          </cell>
          <cell r="R585">
            <v>244</v>
          </cell>
          <cell r="T585">
            <v>0.25409836065573771</v>
          </cell>
        </row>
        <row r="589">
          <cell r="B589" t="str">
            <v>OSHAWA PUC NETWORKS INC.</v>
          </cell>
          <cell r="C589">
            <v>2005</v>
          </cell>
          <cell r="F589">
            <v>7675841.6899999995</v>
          </cell>
          <cell r="L589">
            <v>49500</v>
          </cell>
          <cell r="P589">
            <v>217814</v>
          </cell>
          <cell r="R589">
            <v>2002</v>
          </cell>
          <cell r="T589">
            <v>0.49900099900099898</v>
          </cell>
        </row>
        <row r="590">
          <cell r="B590" t="str">
            <v>OSHAWA PUC NETWORKS INC.</v>
          </cell>
          <cell r="C590">
            <v>2006</v>
          </cell>
          <cell r="F590">
            <v>7571117.0899999999</v>
          </cell>
          <cell r="L590">
            <v>50528</v>
          </cell>
          <cell r="P590">
            <v>222832</v>
          </cell>
          <cell r="R590">
            <v>934</v>
          </cell>
          <cell r="T590">
            <v>0.4614561027837259</v>
          </cell>
        </row>
        <row r="591">
          <cell r="B591" t="str">
            <v>OSHAWA PUC NETWORKS INC.</v>
          </cell>
          <cell r="C591">
            <v>2007</v>
          </cell>
          <cell r="F591">
            <v>8193467.25</v>
          </cell>
          <cell r="L591">
            <v>50980</v>
          </cell>
          <cell r="P591">
            <v>221904</v>
          </cell>
          <cell r="R591">
            <v>953</v>
          </cell>
          <cell r="T591">
            <v>0.46169989506820569</v>
          </cell>
        </row>
        <row r="592">
          <cell r="B592" t="str">
            <v>OSHAWA PUC NETWORKS INC.</v>
          </cell>
          <cell r="C592">
            <v>2008</v>
          </cell>
          <cell r="F592">
            <v>8435686.1600000001</v>
          </cell>
          <cell r="L592">
            <v>51813</v>
          </cell>
          <cell r="P592">
            <v>208345</v>
          </cell>
          <cell r="R592">
            <v>948</v>
          </cell>
          <cell r="T592">
            <v>0.46202531645569622</v>
          </cell>
        </row>
        <row r="593">
          <cell r="B593" t="str">
            <v>OSHAWA PUC NETWORKS INC.</v>
          </cell>
          <cell r="C593">
            <v>2009</v>
          </cell>
          <cell r="F593">
            <v>8399845.8200000003</v>
          </cell>
          <cell r="L593">
            <v>52184</v>
          </cell>
          <cell r="P593">
            <v>210068</v>
          </cell>
          <cell r="R593">
            <v>950</v>
          </cell>
          <cell r="T593">
            <v>0.46210526315789474</v>
          </cell>
        </row>
        <row r="594">
          <cell r="B594" t="str">
            <v>OSHAWA PUC NETWORKS INC.</v>
          </cell>
          <cell r="C594">
            <v>2010</v>
          </cell>
          <cell r="F594">
            <v>8362787</v>
          </cell>
          <cell r="L594">
            <v>52710</v>
          </cell>
          <cell r="P594">
            <v>220115</v>
          </cell>
          <cell r="R594">
            <v>955</v>
          </cell>
          <cell r="T594">
            <v>0.41151832460732984</v>
          </cell>
        </row>
        <row r="595">
          <cell r="B595" t="str">
            <v>OSHAWA PUC NETWORKS INC.</v>
          </cell>
          <cell r="C595">
            <v>2011</v>
          </cell>
          <cell r="F595">
            <v>9463961.5289999992</v>
          </cell>
          <cell r="L595">
            <v>53083</v>
          </cell>
          <cell r="P595">
            <v>234849</v>
          </cell>
          <cell r="R595">
            <v>987</v>
          </cell>
          <cell r="T595">
            <v>0.42249240121580545</v>
          </cell>
        </row>
        <row r="596">
          <cell r="B596" t="str">
            <v>OSHAWA PUC NETWORKS INC.</v>
          </cell>
          <cell r="C596">
            <v>2012</v>
          </cell>
          <cell r="F596">
            <v>10665324</v>
          </cell>
          <cell r="L596">
            <v>53361</v>
          </cell>
          <cell r="P596">
            <v>231093</v>
          </cell>
          <cell r="R596">
            <v>996</v>
          </cell>
          <cell r="T596">
            <v>0.4246987951807229</v>
          </cell>
        </row>
        <row r="600">
          <cell r="B600" t="str">
            <v>OTTAWA RIVER POWER CORPORATION</v>
          </cell>
          <cell r="C600">
            <v>2005</v>
          </cell>
          <cell r="F600">
            <v>1856499.68</v>
          </cell>
          <cell r="L600">
            <v>10190</v>
          </cell>
          <cell r="P600">
            <v>41386</v>
          </cell>
          <cell r="R600">
            <v>146</v>
          </cell>
          <cell r="T600">
            <v>0.13013698630136986</v>
          </cell>
        </row>
        <row r="601">
          <cell r="B601" t="str">
            <v>OTTAWA RIVER POWER CORPORATION</v>
          </cell>
          <cell r="C601">
            <v>2006</v>
          </cell>
          <cell r="F601">
            <v>2016036.34</v>
          </cell>
          <cell r="L601">
            <v>10230</v>
          </cell>
          <cell r="P601">
            <v>37266</v>
          </cell>
          <cell r="R601">
            <v>146</v>
          </cell>
          <cell r="T601">
            <v>0.13013698630136986</v>
          </cell>
        </row>
        <row r="602">
          <cell r="B602" t="str">
            <v>OTTAWA RIVER POWER CORPORATION</v>
          </cell>
          <cell r="C602">
            <v>2007</v>
          </cell>
          <cell r="F602">
            <v>2304424.3199999998</v>
          </cell>
          <cell r="L602">
            <v>10230</v>
          </cell>
          <cell r="P602">
            <v>38695</v>
          </cell>
          <cell r="R602">
            <v>146</v>
          </cell>
          <cell r="T602">
            <v>0.13013698630136986</v>
          </cell>
        </row>
        <row r="603">
          <cell r="B603" t="str">
            <v>OTTAWA RIVER POWER CORPORATION</v>
          </cell>
          <cell r="C603">
            <v>2008</v>
          </cell>
          <cell r="F603">
            <v>2367836.2000000002</v>
          </cell>
          <cell r="L603">
            <v>10381</v>
          </cell>
          <cell r="P603">
            <v>37482</v>
          </cell>
          <cell r="R603">
            <v>146</v>
          </cell>
          <cell r="T603">
            <v>0.13013698630136986</v>
          </cell>
        </row>
        <row r="604">
          <cell r="B604" t="str">
            <v>OTTAWA RIVER POWER CORPORATION</v>
          </cell>
          <cell r="C604">
            <v>2009</v>
          </cell>
          <cell r="F604">
            <v>2408819.2400000002</v>
          </cell>
          <cell r="L604">
            <v>10389</v>
          </cell>
          <cell r="P604">
            <v>36925</v>
          </cell>
          <cell r="R604">
            <v>146</v>
          </cell>
          <cell r="T604">
            <v>0.13013698630136986</v>
          </cell>
        </row>
        <row r="605">
          <cell r="B605" t="str">
            <v>OTTAWA RIVER POWER CORPORATION</v>
          </cell>
          <cell r="C605">
            <v>2010</v>
          </cell>
          <cell r="F605">
            <v>2304501.39</v>
          </cell>
          <cell r="L605">
            <v>10475</v>
          </cell>
          <cell r="P605">
            <v>33526</v>
          </cell>
          <cell r="R605">
            <v>148</v>
          </cell>
          <cell r="T605">
            <v>0.12837837837837837</v>
          </cell>
        </row>
        <row r="606">
          <cell r="B606" t="str">
            <v>OTTAWA RIVER POWER CORPORATION</v>
          </cell>
          <cell r="C606">
            <v>2011</v>
          </cell>
          <cell r="F606">
            <v>2685545.5300000003</v>
          </cell>
          <cell r="L606">
            <v>10555</v>
          </cell>
          <cell r="P606">
            <v>37173</v>
          </cell>
          <cell r="R606">
            <v>148</v>
          </cell>
          <cell r="T606">
            <v>0.12837837837837837</v>
          </cell>
        </row>
        <row r="607">
          <cell r="B607" t="str">
            <v>OTTAWA RIVER POWER CORPORATION</v>
          </cell>
          <cell r="C607">
            <v>2012</v>
          </cell>
          <cell r="F607">
            <v>2683611.0800000005</v>
          </cell>
          <cell r="L607">
            <v>10633</v>
          </cell>
          <cell r="P607">
            <v>35963</v>
          </cell>
          <cell r="R607">
            <v>148</v>
          </cell>
          <cell r="T607">
            <v>0.12837837837837837</v>
          </cell>
        </row>
        <row r="611">
          <cell r="B611" t="str">
            <v>PARRY SOUND POWER CORPORATION</v>
          </cell>
          <cell r="C611">
            <v>2005</v>
          </cell>
          <cell r="F611">
            <v>984578.89000000013</v>
          </cell>
          <cell r="L611">
            <v>3265</v>
          </cell>
          <cell r="P611">
            <v>20000</v>
          </cell>
          <cell r="R611">
            <v>128</v>
          </cell>
          <cell r="T611">
            <v>8.59375E-2</v>
          </cell>
        </row>
        <row r="612">
          <cell r="B612" t="str">
            <v>PARRY SOUND POWER CORPORATION</v>
          </cell>
          <cell r="C612">
            <v>2006</v>
          </cell>
          <cell r="F612">
            <v>1000744.0899999999</v>
          </cell>
          <cell r="L612">
            <v>3271</v>
          </cell>
          <cell r="P612">
            <v>17750</v>
          </cell>
          <cell r="R612">
            <v>128</v>
          </cell>
          <cell r="T612">
            <v>8.59375E-2</v>
          </cell>
        </row>
        <row r="613">
          <cell r="B613" t="str">
            <v>PARRY SOUND POWER CORPORATION</v>
          </cell>
          <cell r="C613">
            <v>2007</v>
          </cell>
          <cell r="F613">
            <v>1033627.8699999999</v>
          </cell>
          <cell r="L613">
            <v>3365</v>
          </cell>
          <cell r="P613">
            <v>19170</v>
          </cell>
          <cell r="R613">
            <v>128</v>
          </cell>
          <cell r="T613">
            <v>8.59375E-2</v>
          </cell>
        </row>
        <row r="614">
          <cell r="B614" t="str">
            <v>PARRY SOUND POWER CORPORATION</v>
          </cell>
          <cell r="C614">
            <v>2008</v>
          </cell>
          <cell r="F614">
            <v>1171644.75</v>
          </cell>
          <cell r="L614">
            <v>3356</v>
          </cell>
          <cell r="P614">
            <v>18670</v>
          </cell>
          <cell r="R614">
            <v>128</v>
          </cell>
          <cell r="T614">
            <v>8.59375E-2</v>
          </cell>
        </row>
        <row r="615">
          <cell r="B615" t="str">
            <v>PARRY SOUND POWER CORPORATION</v>
          </cell>
          <cell r="C615">
            <v>2009</v>
          </cell>
          <cell r="F615">
            <v>1210059.1100000001</v>
          </cell>
          <cell r="L615">
            <v>3359</v>
          </cell>
          <cell r="P615">
            <v>20600</v>
          </cell>
          <cell r="R615">
            <v>128</v>
          </cell>
          <cell r="T615">
            <v>8.59375E-2</v>
          </cell>
        </row>
        <row r="616">
          <cell r="B616" t="str">
            <v>PARRY SOUND POWER CORPORATION</v>
          </cell>
          <cell r="C616">
            <v>2010</v>
          </cell>
          <cell r="F616">
            <v>1204457.8900000001</v>
          </cell>
          <cell r="L616">
            <v>3377</v>
          </cell>
          <cell r="P616">
            <v>17871</v>
          </cell>
          <cell r="R616">
            <v>129</v>
          </cell>
          <cell r="T616">
            <v>8.5271317829457363E-2</v>
          </cell>
        </row>
        <row r="617">
          <cell r="B617" t="str">
            <v>PARRY SOUND POWER CORPORATION</v>
          </cell>
          <cell r="C617">
            <v>2011</v>
          </cell>
          <cell r="F617">
            <v>1301891.3899999999</v>
          </cell>
          <cell r="L617">
            <v>3441</v>
          </cell>
          <cell r="P617">
            <v>19700</v>
          </cell>
          <cell r="R617">
            <v>129</v>
          </cell>
          <cell r="T617">
            <v>8.5271317829457363E-2</v>
          </cell>
        </row>
        <row r="618">
          <cell r="B618" t="str">
            <v>PARRY SOUND POWER CORPORATION</v>
          </cell>
          <cell r="C618">
            <v>2012</v>
          </cell>
          <cell r="F618">
            <v>1362932.92</v>
          </cell>
          <cell r="L618">
            <v>3480</v>
          </cell>
          <cell r="P618">
            <v>17100</v>
          </cell>
          <cell r="R618">
            <v>129</v>
          </cell>
          <cell r="T618">
            <v>8.5271317829457363E-2</v>
          </cell>
        </row>
        <row r="622">
          <cell r="B622" t="str">
            <v>PETERBOROUGH DISTRIBUTION INCORPORATED</v>
          </cell>
          <cell r="C622">
            <v>2005</v>
          </cell>
          <cell r="F622">
            <v>5271823.58</v>
          </cell>
          <cell r="L622">
            <v>33531</v>
          </cell>
          <cell r="P622">
            <v>154667</v>
          </cell>
          <cell r="R622">
            <v>536</v>
          </cell>
          <cell r="T622">
            <v>0.29104477611940299</v>
          </cell>
        </row>
        <row r="623">
          <cell r="B623" t="str">
            <v>PETERBOROUGH DISTRIBUTION INCORPORATED</v>
          </cell>
          <cell r="C623">
            <v>2006</v>
          </cell>
          <cell r="F623">
            <v>6166857.4700000007</v>
          </cell>
          <cell r="L623">
            <v>33866</v>
          </cell>
          <cell r="P623">
            <v>157909</v>
          </cell>
          <cell r="R623">
            <v>545</v>
          </cell>
          <cell r="T623">
            <v>0.29541284403669726</v>
          </cell>
        </row>
        <row r="624">
          <cell r="B624" t="str">
            <v>PETERBOROUGH DISTRIBUTION INCORPORATED</v>
          </cell>
          <cell r="C624">
            <v>2007</v>
          </cell>
          <cell r="F624">
            <v>6430586.3799999999</v>
          </cell>
          <cell r="L624">
            <v>34161</v>
          </cell>
          <cell r="P624">
            <v>152219</v>
          </cell>
          <cell r="R624">
            <v>545</v>
          </cell>
          <cell r="T624">
            <v>0.29541284403669726</v>
          </cell>
        </row>
        <row r="625">
          <cell r="B625" t="str">
            <v>PETERBOROUGH DISTRIBUTION INCORPORATED</v>
          </cell>
          <cell r="C625">
            <v>2008</v>
          </cell>
          <cell r="F625">
            <v>7017337.2199999997</v>
          </cell>
          <cell r="L625">
            <v>34349</v>
          </cell>
          <cell r="P625">
            <v>148395</v>
          </cell>
          <cell r="R625">
            <v>550</v>
          </cell>
          <cell r="T625">
            <v>0.30181818181818182</v>
          </cell>
        </row>
        <row r="626">
          <cell r="B626" t="str">
            <v>PETERBOROUGH DISTRIBUTION INCORPORATED</v>
          </cell>
          <cell r="C626">
            <v>2009</v>
          </cell>
          <cell r="F626">
            <v>6359261.0899999999</v>
          </cell>
          <cell r="L626">
            <v>34654</v>
          </cell>
          <cell r="P626">
            <v>153787</v>
          </cell>
          <cell r="R626">
            <v>550</v>
          </cell>
          <cell r="T626">
            <v>0.30181818181818182</v>
          </cell>
        </row>
        <row r="627">
          <cell r="B627" t="str">
            <v>PETERBOROUGH DISTRIBUTION INCORPORATED</v>
          </cell>
          <cell r="C627">
            <v>2010</v>
          </cell>
          <cell r="F627">
            <v>6041271.7999999998</v>
          </cell>
          <cell r="L627">
            <v>35012</v>
          </cell>
          <cell r="P627">
            <v>150103</v>
          </cell>
          <cell r="R627">
            <v>552</v>
          </cell>
          <cell r="T627">
            <v>0.30434782608695654</v>
          </cell>
        </row>
        <row r="628">
          <cell r="B628" t="str">
            <v>PETERBOROUGH DISTRIBUTION INCORPORATED</v>
          </cell>
          <cell r="C628">
            <v>2011</v>
          </cell>
          <cell r="F628">
            <v>6763967.1500000004</v>
          </cell>
          <cell r="L628">
            <v>35270</v>
          </cell>
          <cell r="P628">
            <v>161697</v>
          </cell>
          <cell r="R628">
            <v>553</v>
          </cell>
          <cell r="T628">
            <v>0.30379746835443039</v>
          </cell>
        </row>
        <row r="629">
          <cell r="B629" t="str">
            <v>PETERBOROUGH DISTRIBUTION INCORPORATED</v>
          </cell>
          <cell r="C629">
            <v>2012</v>
          </cell>
          <cell r="F629">
            <v>6408729.4408</v>
          </cell>
          <cell r="L629">
            <v>35436</v>
          </cell>
          <cell r="P629">
            <v>147149</v>
          </cell>
          <cell r="R629">
            <v>560</v>
          </cell>
          <cell r="T629">
            <v>0.30714285714285716</v>
          </cell>
        </row>
        <row r="633">
          <cell r="B633" t="str">
            <v>POWERSTREAM INC.</v>
          </cell>
          <cell r="C633">
            <v>2005</v>
          </cell>
          <cell r="F633">
            <v>44920078.160000004</v>
          </cell>
          <cell r="L633">
            <v>285600</v>
          </cell>
          <cell r="P633">
            <v>1802105</v>
          </cell>
          <cell r="R633">
            <v>7342</v>
          </cell>
          <cell r="T633">
            <v>0.64505584309452468</v>
          </cell>
        </row>
        <row r="634">
          <cell r="B634" t="str">
            <v>POWERSTREAM INC.</v>
          </cell>
          <cell r="C634">
            <v>2006</v>
          </cell>
          <cell r="F634">
            <v>42313303.840000004</v>
          </cell>
          <cell r="L634">
            <v>295994</v>
          </cell>
          <cell r="P634">
            <v>1901048</v>
          </cell>
          <cell r="R634">
            <v>7465</v>
          </cell>
          <cell r="T634">
            <v>0.66215673141326192</v>
          </cell>
        </row>
        <row r="635">
          <cell r="B635" t="str">
            <v>POWERSTREAM INC.</v>
          </cell>
          <cell r="C635">
            <v>2007</v>
          </cell>
          <cell r="F635">
            <v>45684280.689999998</v>
          </cell>
          <cell r="L635">
            <v>304755</v>
          </cell>
          <cell r="P635">
            <v>1827737</v>
          </cell>
          <cell r="R635">
            <v>7645</v>
          </cell>
          <cell r="T635">
            <v>0.66540222367560498</v>
          </cell>
        </row>
        <row r="636">
          <cell r="B636" t="str">
            <v>POWERSTREAM INC.</v>
          </cell>
          <cell r="C636">
            <v>2008</v>
          </cell>
          <cell r="F636">
            <v>52247509.759999998</v>
          </cell>
          <cell r="L636">
            <v>314201</v>
          </cell>
          <cell r="P636">
            <v>1762513</v>
          </cell>
          <cell r="R636">
            <v>7591</v>
          </cell>
          <cell r="T636">
            <v>0.65854301146094063</v>
          </cell>
        </row>
        <row r="637">
          <cell r="B637" t="str">
            <v>POWERSTREAM INC.</v>
          </cell>
          <cell r="C637">
            <v>2009</v>
          </cell>
          <cell r="F637">
            <v>54413951.18</v>
          </cell>
          <cell r="L637">
            <v>317914</v>
          </cell>
          <cell r="P637">
            <v>1762834</v>
          </cell>
          <cell r="R637">
            <v>7681</v>
          </cell>
          <cell r="T637">
            <v>0.64132274443431847</v>
          </cell>
        </row>
        <row r="638">
          <cell r="B638" t="str">
            <v>POWERSTREAM INC.</v>
          </cell>
          <cell r="C638">
            <v>2010</v>
          </cell>
          <cell r="F638">
            <v>51331976.382738434</v>
          </cell>
          <cell r="L638">
            <v>325540</v>
          </cell>
          <cell r="P638">
            <v>1895989</v>
          </cell>
          <cell r="R638">
            <v>7381</v>
          </cell>
          <cell r="T638">
            <v>0.65438287494919389</v>
          </cell>
        </row>
        <row r="639">
          <cell r="B639" t="str">
            <v>POWERSTREAM INC.</v>
          </cell>
          <cell r="C639">
            <v>2011</v>
          </cell>
          <cell r="F639">
            <v>54881976.237251922</v>
          </cell>
          <cell r="L639">
            <v>332993</v>
          </cell>
          <cell r="P639">
            <v>1961144</v>
          </cell>
          <cell r="R639">
            <v>7431</v>
          </cell>
          <cell r="T639">
            <v>0.65226752792356346</v>
          </cell>
        </row>
        <row r="640">
          <cell r="B640" t="str">
            <v>POWERSTREAM INC.</v>
          </cell>
          <cell r="C640">
            <v>2012</v>
          </cell>
          <cell r="F640">
            <v>72205853.489759102</v>
          </cell>
          <cell r="L640">
            <v>340343</v>
          </cell>
          <cell r="P640">
            <v>1940793</v>
          </cell>
          <cell r="R640">
            <v>7466</v>
          </cell>
          <cell r="T640">
            <v>0.66220198231984995</v>
          </cell>
        </row>
        <row r="644">
          <cell r="B644" t="str">
            <v>PUC DISTRIBUTION INC.</v>
          </cell>
          <cell r="C644">
            <v>2005</v>
          </cell>
          <cell r="F644">
            <v>6720746.3900000006</v>
          </cell>
          <cell r="L644">
            <v>32497</v>
          </cell>
          <cell r="P644">
            <v>156336</v>
          </cell>
          <cell r="R644">
            <v>715</v>
          </cell>
          <cell r="T644">
            <v>0.15524475524475526</v>
          </cell>
        </row>
        <row r="645">
          <cell r="B645" t="str">
            <v>PUC DISTRIBUTION INC.</v>
          </cell>
          <cell r="C645">
            <v>2006</v>
          </cell>
          <cell r="F645">
            <v>6531643.6800000006</v>
          </cell>
          <cell r="L645">
            <v>32438</v>
          </cell>
          <cell r="P645">
            <v>137316</v>
          </cell>
          <cell r="R645">
            <v>722</v>
          </cell>
          <cell r="T645">
            <v>0.15512465373961218</v>
          </cell>
        </row>
        <row r="646">
          <cell r="B646" t="str">
            <v>PUC DISTRIBUTION INC.</v>
          </cell>
          <cell r="C646">
            <v>2007</v>
          </cell>
          <cell r="F646">
            <v>7270459.0099999998</v>
          </cell>
          <cell r="L646">
            <v>32512</v>
          </cell>
          <cell r="P646">
            <v>139708</v>
          </cell>
          <cell r="R646">
            <v>725</v>
          </cell>
          <cell r="T646">
            <v>0.15724137931034482</v>
          </cell>
        </row>
        <row r="647">
          <cell r="B647" t="str">
            <v>PUC DISTRIBUTION INC.</v>
          </cell>
          <cell r="C647">
            <v>2008</v>
          </cell>
          <cell r="F647">
            <v>6969509</v>
          </cell>
          <cell r="L647">
            <v>32734</v>
          </cell>
          <cell r="P647">
            <v>139124</v>
          </cell>
          <cell r="R647">
            <v>728</v>
          </cell>
          <cell r="T647">
            <v>0.15934065934065933</v>
          </cell>
        </row>
        <row r="648">
          <cell r="B648" t="str">
            <v>PUC DISTRIBUTION INC.</v>
          </cell>
          <cell r="C648">
            <v>2009</v>
          </cell>
          <cell r="F648">
            <v>7679535.3600000013</v>
          </cell>
          <cell r="L648">
            <v>32808</v>
          </cell>
          <cell r="P648">
            <v>147108</v>
          </cell>
          <cell r="R648">
            <v>732</v>
          </cell>
          <cell r="T648">
            <v>0.15846994535519127</v>
          </cell>
        </row>
        <row r="649">
          <cell r="B649" t="str">
            <v>PUC DISTRIBUTION INC.</v>
          </cell>
          <cell r="C649">
            <v>2010</v>
          </cell>
          <cell r="F649">
            <v>8099346.2799999993</v>
          </cell>
          <cell r="L649">
            <v>32870</v>
          </cell>
          <cell r="P649">
            <v>141244</v>
          </cell>
          <cell r="R649">
            <v>733</v>
          </cell>
          <cell r="T649">
            <v>0.15961800818553887</v>
          </cell>
        </row>
        <row r="650">
          <cell r="B650" t="str">
            <v>PUC DISTRIBUTION INC.</v>
          </cell>
          <cell r="C650">
            <v>2011</v>
          </cell>
          <cell r="F650">
            <v>8408512</v>
          </cell>
          <cell r="L650">
            <v>32998</v>
          </cell>
          <cell r="P650">
            <v>149857</v>
          </cell>
          <cell r="R650">
            <v>737</v>
          </cell>
          <cell r="T650">
            <v>0.16282225237449119</v>
          </cell>
        </row>
        <row r="651">
          <cell r="B651" t="str">
            <v>PUC DISTRIBUTION INC.</v>
          </cell>
          <cell r="C651">
            <v>2012</v>
          </cell>
          <cell r="F651">
            <v>9300317.7226000018</v>
          </cell>
          <cell r="L651">
            <v>33058</v>
          </cell>
          <cell r="P651">
            <v>132090</v>
          </cell>
          <cell r="R651">
            <v>739</v>
          </cell>
          <cell r="T651">
            <v>0.16238159675236807</v>
          </cell>
        </row>
        <row r="655">
          <cell r="B655" t="str">
            <v>RENFREW HYDRO INC.</v>
          </cell>
          <cell r="C655">
            <v>2005</v>
          </cell>
          <cell r="F655">
            <v>697695.37</v>
          </cell>
          <cell r="L655">
            <v>4116</v>
          </cell>
          <cell r="P655">
            <v>19031</v>
          </cell>
          <cell r="R655">
            <v>70</v>
          </cell>
          <cell r="T655">
            <v>2.8571428571428571E-2</v>
          </cell>
        </row>
        <row r="656">
          <cell r="B656" t="str">
            <v>RENFREW HYDRO INC.</v>
          </cell>
          <cell r="C656">
            <v>2006</v>
          </cell>
          <cell r="F656">
            <v>872133.11999999988</v>
          </cell>
          <cell r="L656">
            <v>4133</v>
          </cell>
          <cell r="P656">
            <v>19051</v>
          </cell>
          <cell r="R656">
            <v>55</v>
          </cell>
          <cell r="T656">
            <v>3.6363636363636362E-2</v>
          </cell>
        </row>
        <row r="657">
          <cell r="B657" t="str">
            <v>RENFREW HYDRO INC.</v>
          </cell>
          <cell r="C657">
            <v>2007</v>
          </cell>
          <cell r="F657">
            <v>940510.67999999993</v>
          </cell>
          <cell r="L657">
            <v>4149</v>
          </cell>
          <cell r="P657">
            <v>19154</v>
          </cell>
          <cell r="R657">
            <v>55</v>
          </cell>
          <cell r="T657">
            <v>3.6363636363636362E-2</v>
          </cell>
        </row>
        <row r="658">
          <cell r="B658" t="str">
            <v>RENFREW HYDRO INC.</v>
          </cell>
          <cell r="C658">
            <v>2008</v>
          </cell>
          <cell r="F658">
            <v>1027939.27</v>
          </cell>
          <cell r="L658">
            <v>4194</v>
          </cell>
          <cell r="P658">
            <v>19183</v>
          </cell>
          <cell r="R658">
            <v>55</v>
          </cell>
          <cell r="T658">
            <v>3.6363636363636362E-2</v>
          </cell>
        </row>
        <row r="659">
          <cell r="B659" t="str">
            <v>RENFREW HYDRO INC.</v>
          </cell>
          <cell r="C659">
            <v>2009</v>
          </cell>
          <cell r="F659">
            <v>1018969.4800000001</v>
          </cell>
          <cell r="L659">
            <v>4180</v>
          </cell>
          <cell r="P659">
            <v>19807</v>
          </cell>
          <cell r="R659">
            <v>55</v>
          </cell>
          <cell r="T659">
            <v>3.6363636363636362E-2</v>
          </cell>
        </row>
        <row r="660">
          <cell r="B660" t="str">
            <v>RENFREW HYDRO INC.</v>
          </cell>
          <cell r="C660">
            <v>2010</v>
          </cell>
          <cell r="F660">
            <v>971487.31999999983</v>
          </cell>
          <cell r="L660">
            <v>4155</v>
          </cell>
          <cell r="P660">
            <v>18705</v>
          </cell>
          <cell r="R660">
            <v>55</v>
          </cell>
          <cell r="T660">
            <v>3.6363636363636362E-2</v>
          </cell>
        </row>
        <row r="661">
          <cell r="B661" t="str">
            <v>RENFREW HYDRO INC.</v>
          </cell>
          <cell r="C661">
            <v>2011</v>
          </cell>
          <cell r="F661">
            <v>1098769.07</v>
          </cell>
          <cell r="L661">
            <v>4183</v>
          </cell>
          <cell r="P661">
            <v>18295</v>
          </cell>
          <cell r="R661">
            <v>55</v>
          </cell>
          <cell r="T661">
            <v>3.6363636363636362E-2</v>
          </cell>
        </row>
        <row r="662">
          <cell r="B662" t="str">
            <v>RENFREW HYDRO INC.</v>
          </cell>
          <cell r="C662">
            <v>2012</v>
          </cell>
          <cell r="F662">
            <v>1193548.1199999999</v>
          </cell>
          <cell r="L662">
            <v>4215</v>
          </cell>
          <cell r="P662">
            <v>16739</v>
          </cell>
          <cell r="R662">
            <v>55</v>
          </cell>
          <cell r="T662">
            <v>3.6363636363636362E-2</v>
          </cell>
        </row>
        <row r="666">
          <cell r="B666" t="str">
            <v>RIDEAU ST. LAWRENCE DISTRIBUTION INC.</v>
          </cell>
          <cell r="C666">
            <v>2005</v>
          </cell>
          <cell r="F666">
            <v>1177051.5</v>
          </cell>
          <cell r="L666">
            <v>5823</v>
          </cell>
          <cell r="P666">
            <v>25475</v>
          </cell>
          <cell r="R666">
            <v>86</v>
          </cell>
          <cell r="T666">
            <v>0.10465116279069768</v>
          </cell>
        </row>
        <row r="667">
          <cell r="B667" t="str">
            <v>RIDEAU ST. LAWRENCE DISTRIBUTION INC.</v>
          </cell>
          <cell r="C667">
            <v>2006</v>
          </cell>
          <cell r="F667">
            <v>1346420.57</v>
          </cell>
          <cell r="L667">
            <v>5839</v>
          </cell>
          <cell r="P667">
            <v>29587</v>
          </cell>
          <cell r="R667">
            <v>87</v>
          </cell>
          <cell r="T667">
            <v>0.10344827586206896</v>
          </cell>
        </row>
        <row r="668">
          <cell r="B668" t="str">
            <v>RIDEAU ST. LAWRENCE DISTRIBUTION INC.</v>
          </cell>
          <cell r="C668">
            <v>2007</v>
          </cell>
          <cell r="F668">
            <v>1411255.9999999998</v>
          </cell>
          <cell r="L668">
            <v>5864</v>
          </cell>
          <cell r="P668">
            <v>32731</v>
          </cell>
          <cell r="R668">
            <v>87</v>
          </cell>
          <cell r="T668">
            <v>0.10344827586206896</v>
          </cell>
        </row>
        <row r="669">
          <cell r="B669" t="str">
            <v>RIDEAU ST. LAWRENCE DISTRIBUTION INC.</v>
          </cell>
          <cell r="C669">
            <v>2008</v>
          </cell>
          <cell r="F669">
            <v>1512432.6199999999</v>
          </cell>
          <cell r="L669">
            <v>5859</v>
          </cell>
          <cell r="P669">
            <v>39622</v>
          </cell>
          <cell r="R669">
            <v>88</v>
          </cell>
          <cell r="T669">
            <v>0.10227272727272728</v>
          </cell>
        </row>
        <row r="670">
          <cell r="B670" t="str">
            <v>RIDEAU ST. LAWRENCE DISTRIBUTION INC.</v>
          </cell>
          <cell r="C670">
            <v>2009</v>
          </cell>
          <cell r="F670">
            <v>1577170.79</v>
          </cell>
          <cell r="L670">
            <v>5814</v>
          </cell>
          <cell r="P670">
            <v>26268</v>
          </cell>
          <cell r="R670">
            <v>89</v>
          </cell>
          <cell r="T670">
            <v>0.10112359550561797</v>
          </cell>
        </row>
        <row r="671">
          <cell r="B671" t="str">
            <v>RIDEAU ST. LAWRENCE DISTRIBUTION INC.</v>
          </cell>
          <cell r="C671">
            <v>2010</v>
          </cell>
          <cell r="F671">
            <v>1632867.5100000002</v>
          </cell>
          <cell r="L671">
            <v>5818</v>
          </cell>
          <cell r="P671">
            <v>32187</v>
          </cell>
          <cell r="R671">
            <v>94</v>
          </cell>
          <cell r="T671">
            <v>0.10638297872340426</v>
          </cell>
        </row>
        <row r="672">
          <cell r="B672" t="str">
            <v>RIDEAU ST. LAWRENCE DISTRIBUTION INC.</v>
          </cell>
          <cell r="C672">
            <v>2011</v>
          </cell>
          <cell r="F672">
            <v>1585721.55</v>
          </cell>
          <cell r="L672">
            <v>5839</v>
          </cell>
          <cell r="P672">
            <v>32356</v>
          </cell>
          <cell r="R672">
            <v>94</v>
          </cell>
          <cell r="T672">
            <v>0.10638297872340426</v>
          </cell>
        </row>
        <row r="673">
          <cell r="B673" t="str">
            <v>RIDEAU ST. LAWRENCE DISTRIBUTION INC.</v>
          </cell>
          <cell r="C673">
            <v>2012</v>
          </cell>
          <cell r="F673">
            <v>1743358.5176000001</v>
          </cell>
          <cell r="L673">
            <v>5862</v>
          </cell>
          <cell r="P673">
            <v>33214</v>
          </cell>
          <cell r="R673">
            <v>103</v>
          </cell>
          <cell r="T673">
            <v>0.10679611650485436</v>
          </cell>
        </row>
        <row r="677">
          <cell r="B677" t="str">
            <v>SIOUX LOOKOUT HYDRO INC.</v>
          </cell>
          <cell r="C677">
            <v>2005</v>
          </cell>
          <cell r="F677">
            <v>991517.33</v>
          </cell>
          <cell r="L677">
            <v>2760</v>
          </cell>
          <cell r="P677">
            <v>22753</v>
          </cell>
          <cell r="R677">
            <v>212</v>
          </cell>
          <cell r="T677">
            <v>2.8301886792452831E-2</v>
          </cell>
        </row>
        <row r="678">
          <cell r="B678" t="str">
            <v>SIOUX LOOKOUT HYDRO INC.</v>
          </cell>
          <cell r="C678">
            <v>2006</v>
          </cell>
          <cell r="F678">
            <v>980527.73</v>
          </cell>
          <cell r="L678">
            <v>2734</v>
          </cell>
          <cell r="P678">
            <v>22013</v>
          </cell>
          <cell r="R678">
            <v>211</v>
          </cell>
          <cell r="T678">
            <v>2.843601895734597E-2</v>
          </cell>
        </row>
        <row r="679">
          <cell r="B679" t="str">
            <v>SIOUX LOOKOUT HYDRO INC.</v>
          </cell>
          <cell r="C679">
            <v>2007</v>
          </cell>
          <cell r="F679">
            <v>1025147.62</v>
          </cell>
          <cell r="L679">
            <v>2754</v>
          </cell>
          <cell r="P679">
            <v>22552</v>
          </cell>
          <cell r="R679">
            <v>211</v>
          </cell>
          <cell r="T679">
            <v>2.843601895734597E-2</v>
          </cell>
        </row>
        <row r="680">
          <cell r="B680" t="str">
            <v>SIOUX LOOKOUT HYDRO INC.</v>
          </cell>
          <cell r="C680">
            <v>2008</v>
          </cell>
          <cell r="F680">
            <v>1124817.5599999998</v>
          </cell>
          <cell r="L680">
            <v>2734</v>
          </cell>
          <cell r="P680">
            <v>18091</v>
          </cell>
          <cell r="R680">
            <v>211</v>
          </cell>
          <cell r="T680">
            <v>2.843601895734597E-2</v>
          </cell>
        </row>
        <row r="681">
          <cell r="B681" t="str">
            <v>SIOUX LOOKOUT HYDRO INC.</v>
          </cell>
          <cell r="C681">
            <v>2009</v>
          </cell>
          <cell r="F681">
            <v>1110444.8864852274</v>
          </cell>
          <cell r="L681">
            <v>2727</v>
          </cell>
          <cell r="P681">
            <v>18326</v>
          </cell>
          <cell r="R681">
            <v>211</v>
          </cell>
          <cell r="T681">
            <v>2.843601895734597E-2</v>
          </cell>
        </row>
        <row r="682">
          <cell r="B682" t="str">
            <v>SIOUX LOOKOUT HYDRO INC.</v>
          </cell>
          <cell r="C682">
            <v>2010</v>
          </cell>
          <cell r="F682">
            <v>1140574.5999999999</v>
          </cell>
          <cell r="L682">
            <v>2754</v>
          </cell>
          <cell r="P682">
            <v>17859</v>
          </cell>
          <cell r="R682">
            <v>211</v>
          </cell>
          <cell r="T682">
            <v>2.843601895734597E-2</v>
          </cell>
        </row>
        <row r="683">
          <cell r="B683" t="str">
            <v>SIOUX LOOKOUT HYDRO INC.</v>
          </cell>
          <cell r="C683">
            <v>2011</v>
          </cell>
          <cell r="F683">
            <v>1150183.3199999998</v>
          </cell>
          <cell r="L683">
            <v>2755</v>
          </cell>
          <cell r="P683">
            <v>18704</v>
          </cell>
          <cell r="R683">
            <v>283</v>
          </cell>
          <cell r="T683">
            <v>2.1201413427561839E-2</v>
          </cell>
        </row>
        <row r="684">
          <cell r="B684" t="str">
            <v>SIOUX LOOKOUT HYDRO INC.</v>
          </cell>
          <cell r="C684">
            <v>2012</v>
          </cell>
          <cell r="F684">
            <v>1382138.8795147727</v>
          </cell>
          <cell r="L684">
            <v>2755</v>
          </cell>
          <cell r="P684">
            <v>18063</v>
          </cell>
          <cell r="R684">
            <v>283</v>
          </cell>
          <cell r="T684">
            <v>2.1201413427561839E-2</v>
          </cell>
        </row>
        <row r="688">
          <cell r="B688" t="str">
            <v>ST. THOMAS ENERGY INC.</v>
          </cell>
          <cell r="C688">
            <v>2005</v>
          </cell>
          <cell r="F688">
            <v>2904042.9699999997</v>
          </cell>
          <cell r="L688">
            <v>15243</v>
          </cell>
          <cell r="P688">
            <v>74621</v>
          </cell>
          <cell r="R688">
            <v>239</v>
          </cell>
          <cell r="T688">
            <v>0.28033472803347281</v>
          </cell>
        </row>
        <row r="689">
          <cell r="B689" t="str">
            <v>ST. THOMAS ENERGY INC.</v>
          </cell>
          <cell r="C689">
            <v>2006</v>
          </cell>
          <cell r="F689">
            <v>3300094.64</v>
          </cell>
          <cell r="L689">
            <v>15597</v>
          </cell>
          <cell r="P689">
            <v>77500</v>
          </cell>
          <cell r="R689">
            <v>246</v>
          </cell>
          <cell r="T689">
            <v>0.3048780487804878</v>
          </cell>
        </row>
        <row r="690">
          <cell r="B690" t="str">
            <v>ST. THOMAS ENERGY INC.</v>
          </cell>
          <cell r="C690">
            <v>2007</v>
          </cell>
          <cell r="F690">
            <v>3226973.5</v>
          </cell>
          <cell r="L690">
            <v>15919</v>
          </cell>
          <cell r="P690">
            <v>73561</v>
          </cell>
          <cell r="R690">
            <v>240</v>
          </cell>
          <cell r="T690">
            <v>0.33333333333333331</v>
          </cell>
        </row>
        <row r="691">
          <cell r="B691" t="str">
            <v>ST. THOMAS ENERGY INC.</v>
          </cell>
          <cell r="C691">
            <v>2008</v>
          </cell>
          <cell r="F691">
            <v>3075601.4</v>
          </cell>
          <cell r="L691">
            <v>16133</v>
          </cell>
          <cell r="P691">
            <v>67027</v>
          </cell>
          <cell r="R691">
            <v>244</v>
          </cell>
          <cell r="T691">
            <v>0.35245901639344263</v>
          </cell>
        </row>
        <row r="692">
          <cell r="B692" t="str">
            <v>ST. THOMAS ENERGY INC.</v>
          </cell>
          <cell r="C692">
            <v>2009</v>
          </cell>
          <cell r="F692">
            <v>3152055.5900000003</v>
          </cell>
          <cell r="L692">
            <v>16238</v>
          </cell>
          <cell r="P692">
            <v>61895</v>
          </cell>
          <cell r="R692">
            <v>243</v>
          </cell>
          <cell r="T692">
            <v>0.35802469135802467</v>
          </cell>
        </row>
        <row r="693">
          <cell r="B693" t="str">
            <v>ST. THOMAS ENERGY INC.</v>
          </cell>
          <cell r="C693">
            <v>2010</v>
          </cell>
          <cell r="F693">
            <v>3215894.01</v>
          </cell>
          <cell r="L693">
            <v>16419</v>
          </cell>
          <cell r="P693">
            <v>62047</v>
          </cell>
          <cell r="R693">
            <v>247</v>
          </cell>
          <cell r="T693">
            <v>0.36032388663967613</v>
          </cell>
        </row>
        <row r="694">
          <cell r="B694" t="str">
            <v>ST. THOMAS ENERGY INC.</v>
          </cell>
          <cell r="C694">
            <v>2011</v>
          </cell>
          <cell r="F694">
            <v>3450897.29</v>
          </cell>
          <cell r="L694">
            <v>16436</v>
          </cell>
          <cell r="P694">
            <v>65534</v>
          </cell>
          <cell r="R694">
            <v>248</v>
          </cell>
          <cell r="T694">
            <v>0.37096774193548387</v>
          </cell>
        </row>
        <row r="695">
          <cell r="B695" t="str">
            <v>ST. THOMAS ENERGY INC.</v>
          </cell>
          <cell r="C695">
            <v>2012</v>
          </cell>
          <cell r="F695">
            <v>4701995.9970000004</v>
          </cell>
          <cell r="L695">
            <v>16563</v>
          </cell>
          <cell r="P695">
            <v>63087</v>
          </cell>
          <cell r="R695">
            <v>252</v>
          </cell>
          <cell r="T695">
            <v>0.3888888888888889</v>
          </cell>
        </row>
        <row r="699">
          <cell r="B699" t="str">
            <v>THUNDER BAY HYDRO ELECTRICITY DISTRIBUTION INC.</v>
          </cell>
          <cell r="C699">
            <v>2005</v>
          </cell>
          <cell r="F699">
            <v>10019522.030000001</v>
          </cell>
          <cell r="L699">
            <v>49558</v>
          </cell>
          <cell r="P699">
            <v>197000</v>
          </cell>
          <cell r="R699">
            <v>1340</v>
          </cell>
          <cell r="T699">
            <v>0.33880597014925373</v>
          </cell>
        </row>
        <row r="700">
          <cell r="B700" t="str">
            <v>THUNDER BAY HYDRO ELECTRICITY DISTRIBUTION INC.</v>
          </cell>
          <cell r="C700">
            <v>2006</v>
          </cell>
          <cell r="F700">
            <v>10500903.51</v>
          </cell>
          <cell r="L700">
            <v>49556</v>
          </cell>
          <cell r="P700">
            <v>181900</v>
          </cell>
          <cell r="R700">
            <v>1340</v>
          </cell>
          <cell r="T700">
            <v>0.33880597014925373</v>
          </cell>
        </row>
        <row r="701">
          <cell r="B701" t="str">
            <v>THUNDER BAY HYDRO ELECTRICITY DISTRIBUTION INC.</v>
          </cell>
          <cell r="C701">
            <v>2007</v>
          </cell>
          <cell r="F701">
            <v>11589643.970000003</v>
          </cell>
          <cell r="L701">
            <v>49421</v>
          </cell>
          <cell r="P701">
            <v>190600</v>
          </cell>
          <cell r="R701">
            <v>1160</v>
          </cell>
          <cell r="T701">
            <v>0.19913793103448277</v>
          </cell>
        </row>
        <row r="702">
          <cell r="B702" t="str">
            <v>THUNDER BAY HYDRO ELECTRICITY DISTRIBUTION INC.</v>
          </cell>
          <cell r="C702">
            <v>2008</v>
          </cell>
          <cell r="F702">
            <v>11457312.399999999</v>
          </cell>
          <cell r="L702">
            <v>49361</v>
          </cell>
          <cell r="P702">
            <v>186530</v>
          </cell>
          <cell r="R702">
            <v>1172</v>
          </cell>
          <cell r="T702">
            <v>0.19795221843003413</v>
          </cell>
        </row>
        <row r="703">
          <cell r="B703" t="str">
            <v>THUNDER BAY HYDRO ELECTRICITY DISTRIBUTION INC.</v>
          </cell>
          <cell r="C703">
            <v>2009</v>
          </cell>
          <cell r="F703">
            <v>11703465.470000001</v>
          </cell>
          <cell r="L703">
            <v>49453</v>
          </cell>
          <cell r="P703">
            <v>186606</v>
          </cell>
          <cell r="R703">
            <v>1186</v>
          </cell>
          <cell r="T703">
            <v>0.1973018549747049</v>
          </cell>
        </row>
        <row r="704">
          <cell r="B704" t="str">
            <v>THUNDER BAY HYDRO ELECTRICITY DISTRIBUTION INC.</v>
          </cell>
          <cell r="C704">
            <v>2010</v>
          </cell>
          <cell r="F704">
            <v>12039742.83</v>
          </cell>
          <cell r="L704">
            <v>49508</v>
          </cell>
          <cell r="P704">
            <v>176768</v>
          </cell>
          <cell r="R704">
            <v>1178</v>
          </cell>
          <cell r="T704">
            <v>0.19864176570458403</v>
          </cell>
        </row>
        <row r="705">
          <cell r="B705" t="str">
            <v>THUNDER BAY HYDRO ELECTRICITY DISTRIBUTION INC.</v>
          </cell>
          <cell r="C705">
            <v>2011</v>
          </cell>
          <cell r="F705">
            <v>11965372.18</v>
          </cell>
          <cell r="L705">
            <v>49765</v>
          </cell>
          <cell r="P705">
            <v>171304</v>
          </cell>
          <cell r="R705">
            <v>1186</v>
          </cell>
          <cell r="T705">
            <v>0.19898819561551434</v>
          </cell>
        </row>
        <row r="706">
          <cell r="B706" t="str">
            <v>THUNDER BAY HYDRO ELECTRICITY DISTRIBUTION INC.</v>
          </cell>
          <cell r="C706">
            <v>2012</v>
          </cell>
          <cell r="F706">
            <v>12111748.147100002</v>
          </cell>
          <cell r="L706">
            <v>49998</v>
          </cell>
          <cell r="P706">
            <v>168172</v>
          </cell>
          <cell r="R706">
            <v>1157</v>
          </cell>
          <cell r="T706">
            <v>0.20311149524632671</v>
          </cell>
        </row>
        <row r="710">
          <cell r="B710" t="str">
            <v>TILLSONBURG HYDRO INC.</v>
          </cell>
          <cell r="C710">
            <v>2005</v>
          </cell>
          <cell r="F710">
            <v>1364812</v>
          </cell>
          <cell r="L710">
            <v>6343</v>
          </cell>
          <cell r="P710">
            <v>42283</v>
          </cell>
          <cell r="R710">
            <v>147</v>
          </cell>
          <cell r="T710">
            <v>0.31972789115646261</v>
          </cell>
        </row>
        <row r="711">
          <cell r="B711" t="str">
            <v>TILLSONBURG HYDRO INC.</v>
          </cell>
          <cell r="C711">
            <v>2006</v>
          </cell>
          <cell r="F711">
            <v>1578564</v>
          </cell>
          <cell r="L711">
            <v>6457</v>
          </cell>
          <cell r="P711">
            <v>43121</v>
          </cell>
          <cell r="R711">
            <v>151</v>
          </cell>
          <cell r="T711">
            <v>0.32450331125827814</v>
          </cell>
        </row>
        <row r="712">
          <cell r="B712" t="str">
            <v>TILLSONBURG HYDRO INC.</v>
          </cell>
          <cell r="C712">
            <v>2007</v>
          </cell>
          <cell r="F712">
            <v>1596156</v>
          </cell>
          <cell r="L712">
            <v>6571</v>
          </cell>
          <cell r="P712">
            <v>48436</v>
          </cell>
          <cell r="R712">
            <v>153</v>
          </cell>
          <cell r="T712">
            <v>0.33333333333333331</v>
          </cell>
        </row>
        <row r="713">
          <cell r="B713" t="str">
            <v>TILLSONBURG HYDRO INC.</v>
          </cell>
          <cell r="C713">
            <v>2008</v>
          </cell>
          <cell r="F713">
            <v>1616901.99</v>
          </cell>
          <cell r="L713">
            <v>6622</v>
          </cell>
          <cell r="P713">
            <v>41632</v>
          </cell>
          <cell r="R713">
            <v>156</v>
          </cell>
          <cell r="T713">
            <v>0.34615384615384615</v>
          </cell>
        </row>
        <row r="714">
          <cell r="B714" t="str">
            <v>TILLSONBURG HYDRO INC.</v>
          </cell>
          <cell r="C714">
            <v>2009</v>
          </cell>
          <cell r="F714">
            <v>1846785.04</v>
          </cell>
          <cell r="L714">
            <v>6669</v>
          </cell>
          <cell r="P714">
            <v>41632</v>
          </cell>
          <cell r="R714">
            <v>156</v>
          </cell>
          <cell r="T714">
            <v>0.34615384615384615</v>
          </cell>
        </row>
        <row r="715">
          <cell r="B715" t="str">
            <v>TILLSONBURG HYDRO INC.</v>
          </cell>
          <cell r="C715">
            <v>2010</v>
          </cell>
          <cell r="F715">
            <v>2123372.86</v>
          </cell>
          <cell r="L715">
            <v>6700</v>
          </cell>
          <cell r="P715">
            <v>41632</v>
          </cell>
          <cell r="R715">
            <v>156</v>
          </cell>
          <cell r="T715">
            <v>0.34615384615384615</v>
          </cell>
        </row>
        <row r="716">
          <cell r="B716" t="str">
            <v>TILLSONBURG HYDRO INC.</v>
          </cell>
          <cell r="C716">
            <v>2011</v>
          </cell>
          <cell r="F716">
            <v>2127161.3800000004</v>
          </cell>
          <cell r="L716">
            <v>6745</v>
          </cell>
          <cell r="P716">
            <v>37105</v>
          </cell>
          <cell r="R716">
            <v>157</v>
          </cell>
          <cell r="T716">
            <v>0.3503184713375796</v>
          </cell>
        </row>
        <row r="717">
          <cell r="B717" t="str">
            <v>TILLSONBURG HYDRO INC.</v>
          </cell>
          <cell r="C717">
            <v>2012</v>
          </cell>
          <cell r="F717">
            <v>2366184.4</v>
          </cell>
          <cell r="L717">
            <v>6782</v>
          </cell>
          <cell r="P717">
            <v>36355</v>
          </cell>
          <cell r="R717">
            <v>157</v>
          </cell>
          <cell r="T717">
            <v>0.3503184713375796</v>
          </cell>
        </row>
        <row r="721">
          <cell r="B721" t="str">
            <v>TORONTO HYDRO-ELECTRIC SYSTEM LIMITED</v>
          </cell>
          <cell r="C721">
            <v>2005</v>
          </cell>
          <cell r="F721">
            <v>136233684.62</v>
          </cell>
          <cell r="L721">
            <v>676678</v>
          </cell>
          <cell r="P721">
            <v>5005205</v>
          </cell>
        </row>
        <row r="722">
          <cell r="B722" t="str">
            <v>TORONTO HYDRO-ELECTRIC SYSTEM LIMITED</v>
          </cell>
          <cell r="C722">
            <v>2006</v>
          </cell>
          <cell r="F722">
            <v>139336878.24000001</v>
          </cell>
          <cell r="L722">
            <v>678106</v>
          </cell>
          <cell r="P722">
            <v>5018278</v>
          </cell>
        </row>
        <row r="723">
          <cell r="B723" t="str">
            <v>TORONTO HYDRO-ELECTRIC SYSTEM LIMITED</v>
          </cell>
          <cell r="C723">
            <v>2007</v>
          </cell>
          <cell r="F723">
            <v>151045666.58000001</v>
          </cell>
          <cell r="L723">
            <v>679913</v>
          </cell>
          <cell r="P723">
            <v>4788341</v>
          </cell>
        </row>
        <row r="724">
          <cell r="B724" t="str">
            <v>TORONTO HYDRO-ELECTRIC SYSTEM LIMITED</v>
          </cell>
          <cell r="C724">
            <v>2008</v>
          </cell>
          <cell r="F724">
            <v>160730463.16999999</v>
          </cell>
          <cell r="L724">
            <v>684145</v>
          </cell>
          <cell r="P724">
            <v>4564349</v>
          </cell>
          <cell r="R724">
            <v>9816</v>
          </cell>
          <cell r="T724">
            <v>0.57029339853300731</v>
          </cell>
        </row>
        <row r="725">
          <cell r="B725" t="str">
            <v>TORONTO HYDRO-ELECTRIC SYSTEM LIMITED</v>
          </cell>
          <cell r="C725">
            <v>2009</v>
          </cell>
          <cell r="F725">
            <v>171291288.77000001</v>
          </cell>
          <cell r="L725">
            <v>689138</v>
          </cell>
          <cell r="P725">
            <v>4607346</v>
          </cell>
          <cell r="R725">
            <v>9794</v>
          </cell>
          <cell r="T725">
            <v>0.57596487645497241</v>
          </cell>
        </row>
        <row r="726">
          <cell r="B726" t="str">
            <v>TORONTO HYDRO-ELECTRIC SYSTEM LIMITED</v>
          </cell>
          <cell r="C726">
            <v>2010</v>
          </cell>
          <cell r="F726">
            <v>198558924.24000001</v>
          </cell>
          <cell r="L726">
            <v>700386</v>
          </cell>
          <cell r="P726">
            <v>4785876</v>
          </cell>
          <cell r="R726">
            <v>9990</v>
          </cell>
          <cell r="T726">
            <v>0.57817817817817818</v>
          </cell>
        </row>
        <row r="727">
          <cell r="B727" t="str">
            <v>TORONTO HYDRO-ELECTRIC SYSTEM LIMITED</v>
          </cell>
          <cell r="C727">
            <v>2011</v>
          </cell>
          <cell r="F727">
            <v>219422075.25000003</v>
          </cell>
          <cell r="L727">
            <v>709323</v>
          </cell>
          <cell r="P727">
            <v>4919150</v>
          </cell>
          <cell r="R727">
            <v>10061</v>
          </cell>
          <cell r="T727">
            <v>0.5857270649040851</v>
          </cell>
        </row>
        <row r="728">
          <cell r="B728" t="str">
            <v>TORONTO HYDRO-ELECTRIC SYSTEM LIMITED</v>
          </cell>
          <cell r="C728">
            <v>2012</v>
          </cell>
          <cell r="F728">
            <v>211458815.23999995</v>
          </cell>
          <cell r="L728">
            <v>718661</v>
          </cell>
          <cell r="P728">
            <v>4829627</v>
          </cell>
          <cell r="R728">
            <v>9913</v>
          </cell>
          <cell r="T728">
            <v>0.58145869060829214</v>
          </cell>
        </row>
        <row r="732">
          <cell r="B732" t="str">
            <v>VERIDIAN CONNECTIONS INC.</v>
          </cell>
          <cell r="C732">
            <v>2005</v>
          </cell>
          <cell r="F732">
            <v>18104751</v>
          </cell>
          <cell r="L732">
            <v>106730</v>
          </cell>
          <cell r="P732">
            <v>477431</v>
          </cell>
          <cell r="R732">
            <v>1927</v>
          </cell>
          <cell r="T732">
            <v>0.30254281266216915</v>
          </cell>
        </row>
        <row r="733">
          <cell r="B733" t="str">
            <v>VERIDIAN CONNECTIONS INC.</v>
          </cell>
          <cell r="C733">
            <v>2006</v>
          </cell>
          <cell r="F733">
            <v>19335501.050000001</v>
          </cell>
          <cell r="L733">
            <v>107231</v>
          </cell>
          <cell r="P733">
            <v>506600</v>
          </cell>
          <cell r="R733">
            <v>1977</v>
          </cell>
          <cell r="T733">
            <v>0.31917046029337381</v>
          </cell>
        </row>
        <row r="734">
          <cell r="B734" t="str">
            <v>VERIDIAN CONNECTIONS INC.</v>
          </cell>
          <cell r="C734">
            <v>2007</v>
          </cell>
          <cell r="F734">
            <v>17090836.010000002</v>
          </cell>
          <cell r="L734">
            <v>109225</v>
          </cell>
          <cell r="P734">
            <v>480200</v>
          </cell>
          <cell r="R734">
            <v>2066</v>
          </cell>
          <cell r="T734">
            <v>0.32913843175217811</v>
          </cell>
        </row>
        <row r="735">
          <cell r="B735" t="str">
            <v>VERIDIAN CONNECTIONS INC.</v>
          </cell>
          <cell r="C735">
            <v>2008</v>
          </cell>
          <cell r="F735">
            <v>18770883.530000001</v>
          </cell>
          <cell r="L735">
            <v>110861</v>
          </cell>
          <cell r="P735">
            <v>444396</v>
          </cell>
          <cell r="R735">
            <v>2135</v>
          </cell>
          <cell r="T735">
            <v>0.35081967213114756</v>
          </cell>
        </row>
        <row r="736">
          <cell r="B736" t="str">
            <v>VERIDIAN CONNECTIONS INC.</v>
          </cell>
          <cell r="C736">
            <v>2009</v>
          </cell>
          <cell r="F736">
            <v>19002509.039999999</v>
          </cell>
          <cell r="L736">
            <v>111101</v>
          </cell>
          <cell r="P736">
            <v>488365</v>
          </cell>
          <cell r="R736">
            <v>2201</v>
          </cell>
          <cell r="T736">
            <v>0.41844616083598363</v>
          </cell>
        </row>
        <row r="737">
          <cell r="B737" t="str">
            <v>VERIDIAN CONNECTIONS INC.</v>
          </cell>
          <cell r="C737">
            <v>2010</v>
          </cell>
          <cell r="F737">
            <v>19546947.52</v>
          </cell>
          <cell r="L737">
            <v>112569</v>
          </cell>
          <cell r="P737">
            <v>509726</v>
          </cell>
          <cell r="R737">
            <v>2301</v>
          </cell>
          <cell r="T737">
            <v>0.4463276836158192</v>
          </cell>
        </row>
        <row r="738">
          <cell r="B738" t="str">
            <v>VERIDIAN CONNECTIONS INC.</v>
          </cell>
          <cell r="C738">
            <v>2011</v>
          </cell>
          <cell r="F738">
            <v>20541478.969999999</v>
          </cell>
          <cell r="L738">
            <v>113709</v>
          </cell>
          <cell r="P738">
            <v>526513</v>
          </cell>
          <cell r="R738">
            <v>2409</v>
          </cell>
          <cell r="T738">
            <v>0.44748858447488582</v>
          </cell>
        </row>
        <row r="739">
          <cell r="B739" t="str">
            <v>VERIDIAN CONNECTIONS INC.</v>
          </cell>
          <cell r="C739">
            <v>2012</v>
          </cell>
          <cell r="F739">
            <v>24873631.116302464</v>
          </cell>
          <cell r="L739">
            <v>115280</v>
          </cell>
          <cell r="P739">
            <v>531367</v>
          </cell>
          <cell r="R739">
            <v>2541</v>
          </cell>
          <cell r="T739">
            <v>0.42935852026761118</v>
          </cell>
        </row>
        <row r="743">
          <cell r="B743" t="str">
            <v>WASAGA DISTRIBUTION INC.</v>
          </cell>
          <cell r="C743">
            <v>2005</v>
          </cell>
          <cell r="F743">
            <v>1552577.23</v>
          </cell>
          <cell r="L743">
            <v>10545</v>
          </cell>
          <cell r="P743">
            <v>23337</v>
          </cell>
          <cell r="R743">
            <v>217</v>
          </cell>
          <cell r="T743">
            <v>0.44239631336405533</v>
          </cell>
        </row>
        <row r="744">
          <cell r="B744" t="str">
            <v>WASAGA DISTRIBUTION INC.</v>
          </cell>
          <cell r="C744">
            <v>2006</v>
          </cell>
          <cell r="F744">
            <v>1707371.6400000001</v>
          </cell>
          <cell r="L744">
            <v>10902</v>
          </cell>
          <cell r="P744">
            <v>26156</v>
          </cell>
          <cell r="R744">
            <v>223</v>
          </cell>
          <cell r="T744">
            <v>0.452914798206278</v>
          </cell>
        </row>
        <row r="745">
          <cell r="B745" t="str">
            <v>WASAGA DISTRIBUTION INC.</v>
          </cell>
          <cell r="C745">
            <v>2007</v>
          </cell>
          <cell r="F745">
            <v>1787829.5400000003</v>
          </cell>
          <cell r="L745">
            <v>11311</v>
          </cell>
          <cell r="P745">
            <v>26430</v>
          </cell>
          <cell r="R745">
            <v>229</v>
          </cell>
          <cell r="T745">
            <v>0.45414847161572053</v>
          </cell>
        </row>
        <row r="746">
          <cell r="B746" t="str">
            <v>WASAGA DISTRIBUTION INC.</v>
          </cell>
          <cell r="C746">
            <v>2008</v>
          </cell>
          <cell r="F746">
            <v>1883857.3</v>
          </cell>
          <cell r="L746">
            <v>11660</v>
          </cell>
          <cell r="P746">
            <v>25438</v>
          </cell>
          <cell r="R746">
            <v>232</v>
          </cell>
          <cell r="T746">
            <v>0.46120689655172414</v>
          </cell>
        </row>
        <row r="747">
          <cell r="B747" t="str">
            <v>WASAGA DISTRIBUTION INC.</v>
          </cell>
          <cell r="C747">
            <v>2009</v>
          </cell>
          <cell r="F747">
            <v>1985701.9254223893</v>
          </cell>
          <cell r="L747">
            <v>11844</v>
          </cell>
          <cell r="P747">
            <v>26445</v>
          </cell>
          <cell r="R747">
            <v>236</v>
          </cell>
          <cell r="T747">
            <v>0.47033898305084748</v>
          </cell>
        </row>
        <row r="748">
          <cell r="B748" t="str">
            <v>WASAGA DISTRIBUTION INC.</v>
          </cell>
          <cell r="C748">
            <v>2010</v>
          </cell>
          <cell r="F748">
            <v>2070460.6199999999</v>
          </cell>
          <cell r="L748">
            <v>12046</v>
          </cell>
          <cell r="P748">
            <v>27340</v>
          </cell>
          <cell r="R748">
            <v>240</v>
          </cell>
          <cell r="T748">
            <v>0.47916666666666669</v>
          </cell>
        </row>
        <row r="749">
          <cell r="B749" t="str">
            <v>WASAGA DISTRIBUTION INC.</v>
          </cell>
          <cell r="C749">
            <v>2011</v>
          </cell>
          <cell r="F749">
            <v>2189108.31</v>
          </cell>
          <cell r="L749">
            <v>12324</v>
          </cell>
          <cell r="P749">
            <v>28946</v>
          </cell>
          <cell r="R749">
            <v>243</v>
          </cell>
          <cell r="T749">
            <v>0.47736625514403291</v>
          </cell>
        </row>
        <row r="750">
          <cell r="B750" t="str">
            <v>WASAGA DISTRIBUTION INC.</v>
          </cell>
          <cell r="C750">
            <v>2012</v>
          </cell>
          <cell r="F750">
            <v>2626598.7999776108</v>
          </cell>
          <cell r="L750">
            <v>12538</v>
          </cell>
          <cell r="P750">
            <v>31515</v>
          </cell>
          <cell r="R750">
            <v>257</v>
          </cell>
          <cell r="T750">
            <v>0.45525291828793774</v>
          </cell>
        </row>
        <row r="754">
          <cell r="B754" t="str">
            <v>WATERLOO NORTH HYDRO INC.</v>
          </cell>
          <cell r="C754">
            <v>2005</v>
          </cell>
          <cell r="F754">
            <v>7870713.46</v>
          </cell>
          <cell r="L754">
            <v>48041</v>
          </cell>
          <cell r="P754">
            <v>258204</v>
          </cell>
          <cell r="R754">
            <v>1334</v>
          </cell>
          <cell r="T754">
            <v>0.29835082458770612</v>
          </cell>
        </row>
        <row r="755">
          <cell r="B755" t="str">
            <v>WATERLOO NORTH HYDRO INC.</v>
          </cell>
          <cell r="C755">
            <v>2006</v>
          </cell>
          <cell r="F755">
            <v>8120005.1400000006</v>
          </cell>
          <cell r="L755">
            <v>48777</v>
          </cell>
          <cell r="P755">
            <v>267631</v>
          </cell>
          <cell r="R755">
            <v>1342</v>
          </cell>
          <cell r="T755">
            <v>0.29955290611028318</v>
          </cell>
        </row>
        <row r="756">
          <cell r="B756" t="str">
            <v>WATERLOO NORTH HYDRO INC.</v>
          </cell>
          <cell r="C756">
            <v>2007</v>
          </cell>
          <cell r="F756">
            <v>8261851.7199999988</v>
          </cell>
          <cell r="L756">
            <v>49558</v>
          </cell>
          <cell r="P756">
            <v>264915</v>
          </cell>
          <cell r="R756">
            <v>1522.5</v>
          </cell>
          <cell r="T756">
            <v>0.31527093596059114</v>
          </cell>
        </row>
        <row r="757">
          <cell r="B757" t="str">
            <v>WATERLOO NORTH HYDRO INC.</v>
          </cell>
          <cell r="C757">
            <v>2008</v>
          </cell>
          <cell r="F757">
            <v>8360018.3099999987</v>
          </cell>
          <cell r="L757">
            <v>50478</v>
          </cell>
          <cell r="P757">
            <v>255540</v>
          </cell>
          <cell r="R757">
            <v>1542</v>
          </cell>
          <cell r="T757">
            <v>0.3132295719844358</v>
          </cell>
        </row>
        <row r="758">
          <cell r="B758" t="str">
            <v>WATERLOO NORTH HYDRO INC.</v>
          </cell>
          <cell r="C758">
            <v>2009</v>
          </cell>
          <cell r="F758">
            <v>8429647</v>
          </cell>
          <cell r="L758">
            <v>51075</v>
          </cell>
          <cell r="P758">
            <v>259232</v>
          </cell>
          <cell r="R758">
            <v>1541</v>
          </cell>
          <cell r="T758">
            <v>0.31278390655418559</v>
          </cell>
        </row>
        <row r="759">
          <cell r="B759" t="str">
            <v>WATERLOO NORTH HYDRO INC.</v>
          </cell>
          <cell r="C759">
            <v>2010</v>
          </cell>
          <cell r="F759">
            <v>9181267.8699999992</v>
          </cell>
          <cell r="L759">
            <v>51914</v>
          </cell>
          <cell r="P759">
            <v>283517</v>
          </cell>
          <cell r="R759">
            <v>1547</v>
          </cell>
          <cell r="T759">
            <v>0.3154492566257272</v>
          </cell>
        </row>
        <row r="760">
          <cell r="B760" t="str">
            <v>WATERLOO NORTH HYDRO INC.</v>
          </cell>
          <cell r="C760">
            <v>2011</v>
          </cell>
          <cell r="F760">
            <v>9361163.4000000004</v>
          </cell>
          <cell r="L760">
            <v>52612</v>
          </cell>
          <cell r="P760">
            <v>294349</v>
          </cell>
          <cell r="R760">
            <v>1542</v>
          </cell>
          <cell r="T760">
            <v>0.31841763942931256</v>
          </cell>
        </row>
        <row r="761">
          <cell r="B761" t="str">
            <v>WATERLOO NORTH HYDRO INC.</v>
          </cell>
          <cell r="C761">
            <v>2012</v>
          </cell>
          <cell r="F761">
            <v>9445450.0156999994</v>
          </cell>
          <cell r="L761">
            <v>53388</v>
          </cell>
          <cell r="P761">
            <v>286310</v>
          </cell>
          <cell r="R761">
            <v>1557</v>
          </cell>
          <cell r="T761">
            <v>0.31727681438664096</v>
          </cell>
        </row>
        <row r="765">
          <cell r="B765" t="str">
            <v>WELLAND HYDRO-ELECTRIC SYSTEM CORP.</v>
          </cell>
          <cell r="C765">
            <v>2005</v>
          </cell>
          <cell r="F765">
            <v>3695885</v>
          </cell>
          <cell r="L765">
            <v>21430</v>
          </cell>
          <cell r="P765">
            <v>104312</v>
          </cell>
          <cell r="R765">
            <v>430</v>
          </cell>
          <cell r="T765">
            <v>0.24186046511627907</v>
          </cell>
        </row>
        <row r="766">
          <cell r="B766" t="str">
            <v>WELLAND HYDRO-ELECTRIC SYSTEM CORP.</v>
          </cell>
          <cell r="C766">
            <v>2006</v>
          </cell>
          <cell r="F766">
            <v>3855996</v>
          </cell>
          <cell r="L766">
            <v>21295</v>
          </cell>
          <cell r="P766">
            <v>104372</v>
          </cell>
          <cell r="R766">
            <v>431</v>
          </cell>
          <cell r="T766">
            <v>0.24129930394431554</v>
          </cell>
        </row>
        <row r="767">
          <cell r="B767" t="str">
            <v>WELLAND HYDRO-ELECTRIC SYSTEM CORP.</v>
          </cell>
          <cell r="C767">
            <v>2007</v>
          </cell>
          <cell r="F767">
            <v>4362293.74</v>
          </cell>
          <cell r="L767">
            <v>21389</v>
          </cell>
          <cell r="P767">
            <v>104372</v>
          </cell>
          <cell r="R767">
            <v>438</v>
          </cell>
          <cell r="T767">
            <v>0.24885844748858446</v>
          </cell>
        </row>
        <row r="768">
          <cell r="B768" t="str">
            <v>WELLAND HYDRO-ELECTRIC SYSTEM CORP.</v>
          </cell>
          <cell r="C768">
            <v>2008</v>
          </cell>
          <cell r="F768">
            <v>4486554.82</v>
          </cell>
          <cell r="L768">
            <v>21706</v>
          </cell>
          <cell r="P768">
            <v>94801</v>
          </cell>
          <cell r="R768">
            <v>443</v>
          </cell>
          <cell r="T768">
            <v>0.25507900677200901</v>
          </cell>
        </row>
        <row r="769">
          <cell r="B769" t="str">
            <v>WELLAND HYDRO-ELECTRIC SYSTEM CORP.</v>
          </cell>
          <cell r="C769">
            <v>2009</v>
          </cell>
          <cell r="F769">
            <v>4808050</v>
          </cell>
          <cell r="L769">
            <v>21702</v>
          </cell>
          <cell r="P769">
            <v>85983</v>
          </cell>
          <cell r="R769">
            <v>443</v>
          </cell>
          <cell r="T769">
            <v>0.25507900677200901</v>
          </cell>
        </row>
        <row r="770">
          <cell r="B770" t="str">
            <v>WELLAND HYDRO-ELECTRIC SYSTEM CORP.</v>
          </cell>
          <cell r="C770">
            <v>2010</v>
          </cell>
          <cell r="F770">
            <v>4588247</v>
          </cell>
          <cell r="L770">
            <v>21411</v>
          </cell>
          <cell r="P770">
            <v>96028</v>
          </cell>
          <cell r="R770">
            <v>441</v>
          </cell>
          <cell r="T770">
            <v>0.25396825396825395</v>
          </cell>
        </row>
        <row r="771">
          <cell r="B771" t="str">
            <v>WELLAND HYDRO-ELECTRIC SYSTEM CORP.</v>
          </cell>
          <cell r="C771">
            <v>2011</v>
          </cell>
          <cell r="F771">
            <v>5112142.45</v>
          </cell>
          <cell r="L771">
            <v>21768</v>
          </cell>
          <cell r="P771">
            <v>98478</v>
          </cell>
          <cell r="R771">
            <v>300</v>
          </cell>
          <cell r="T771">
            <v>0.28999999999999998</v>
          </cell>
        </row>
        <row r="772">
          <cell r="B772" t="str">
            <v>WELLAND HYDRO-ELECTRIC SYSTEM CORP.</v>
          </cell>
          <cell r="C772">
            <v>2012</v>
          </cell>
          <cell r="F772">
            <v>5879789.7389000002</v>
          </cell>
          <cell r="L772">
            <v>22053</v>
          </cell>
          <cell r="P772">
            <v>89</v>
          </cell>
          <cell r="R772">
            <v>461</v>
          </cell>
          <cell r="T772">
            <v>0.26681127982646419</v>
          </cell>
        </row>
        <row r="776">
          <cell r="B776" t="str">
            <v>WELLINGTON NORTH POWER INC.</v>
          </cell>
          <cell r="C776">
            <v>2005</v>
          </cell>
          <cell r="F776">
            <v>911801.42</v>
          </cell>
          <cell r="L776">
            <v>3416</v>
          </cell>
          <cell r="P776">
            <v>16598</v>
          </cell>
          <cell r="R776">
            <v>165</v>
          </cell>
          <cell r="T776">
            <v>7.2727272727272724E-2</v>
          </cell>
        </row>
        <row r="777">
          <cell r="B777" t="str">
            <v>WELLINGTON NORTH POWER INC.</v>
          </cell>
          <cell r="C777">
            <v>2006</v>
          </cell>
          <cell r="F777">
            <v>1006786.8699999999</v>
          </cell>
          <cell r="L777">
            <v>3454</v>
          </cell>
          <cell r="P777">
            <v>16328</v>
          </cell>
          <cell r="R777">
            <v>139</v>
          </cell>
          <cell r="T777">
            <v>8.6330935251798566E-2</v>
          </cell>
        </row>
        <row r="778">
          <cell r="B778" t="str">
            <v>WELLINGTON NORTH POWER INC.</v>
          </cell>
          <cell r="C778">
            <v>2007</v>
          </cell>
          <cell r="F778">
            <v>990474.29</v>
          </cell>
          <cell r="L778">
            <v>3486</v>
          </cell>
          <cell r="P778">
            <v>16478</v>
          </cell>
          <cell r="R778">
            <v>73</v>
          </cell>
          <cell r="T778">
            <v>0.12328767123287671</v>
          </cell>
        </row>
        <row r="779">
          <cell r="B779" t="str">
            <v>WELLINGTON NORTH POWER INC.</v>
          </cell>
          <cell r="C779">
            <v>2008</v>
          </cell>
          <cell r="F779">
            <v>1186585.93</v>
          </cell>
          <cell r="L779">
            <v>3535</v>
          </cell>
          <cell r="P779">
            <v>16519</v>
          </cell>
          <cell r="R779">
            <v>75</v>
          </cell>
          <cell r="T779">
            <v>0.12</v>
          </cell>
        </row>
        <row r="780">
          <cell r="B780" t="str">
            <v>WELLINGTON NORTH POWER INC.</v>
          </cell>
          <cell r="C780">
            <v>2009</v>
          </cell>
          <cell r="F780">
            <v>1142783.3700000001</v>
          </cell>
          <cell r="L780">
            <v>3585</v>
          </cell>
          <cell r="P780">
            <v>16602</v>
          </cell>
          <cell r="R780">
            <v>76</v>
          </cell>
          <cell r="T780">
            <v>0.13157894736842105</v>
          </cell>
        </row>
        <row r="781">
          <cell r="B781" t="str">
            <v>WELLINGTON NORTH POWER INC.</v>
          </cell>
          <cell r="C781">
            <v>2010</v>
          </cell>
          <cell r="F781">
            <v>1237319.9099999999</v>
          </cell>
          <cell r="L781">
            <v>3613</v>
          </cell>
          <cell r="P781">
            <v>17452</v>
          </cell>
          <cell r="R781">
            <v>76</v>
          </cell>
          <cell r="T781">
            <v>0.13157894736842105</v>
          </cell>
        </row>
        <row r="782">
          <cell r="B782" t="str">
            <v>WELLINGTON NORTH POWER INC.</v>
          </cell>
          <cell r="C782">
            <v>2011</v>
          </cell>
          <cell r="F782">
            <v>1548406.54</v>
          </cell>
          <cell r="L782">
            <v>3626</v>
          </cell>
          <cell r="P782">
            <v>17539</v>
          </cell>
          <cell r="R782">
            <v>76</v>
          </cell>
          <cell r="T782">
            <v>0.13157894736842105</v>
          </cell>
        </row>
        <row r="783">
          <cell r="B783" t="str">
            <v>WELLINGTON NORTH POWER INC.</v>
          </cell>
          <cell r="C783">
            <v>2012</v>
          </cell>
          <cell r="F783">
            <v>1524560.8125</v>
          </cell>
          <cell r="L783">
            <v>3649</v>
          </cell>
          <cell r="P783">
            <v>17225</v>
          </cell>
          <cell r="R783">
            <v>76</v>
          </cell>
          <cell r="T783">
            <v>0.13157894736842105</v>
          </cell>
        </row>
        <row r="787">
          <cell r="B787" t="str">
            <v>WEST COAST HURON ENERGY INC.</v>
          </cell>
          <cell r="C787">
            <v>2005</v>
          </cell>
          <cell r="F787">
            <v>1352737</v>
          </cell>
          <cell r="L787">
            <v>3773</v>
          </cell>
          <cell r="P787">
            <v>25000</v>
          </cell>
          <cell r="R787">
            <v>65</v>
          </cell>
          <cell r="T787">
            <v>0.18461538461538463</v>
          </cell>
        </row>
        <row r="788">
          <cell r="B788" t="str">
            <v>WEST COAST HURON ENERGY INC.</v>
          </cell>
          <cell r="C788">
            <v>2006</v>
          </cell>
          <cell r="F788">
            <v>1409998</v>
          </cell>
          <cell r="L788">
            <v>3811</v>
          </cell>
          <cell r="P788">
            <v>25000</v>
          </cell>
          <cell r="R788">
            <v>65</v>
          </cell>
          <cell r="T788">
            <v>0.2</v>
          </cell>
        </row>
        <row r="789">
          <cell r="B789" t="str">
            <v>WEST COAST HURON ENERGY INC.</v>
          </cell>
          <cell r="C789">
            <v>2007</v>
          </cell>
          <cell r="F789">
            <v>1165055</v>
          </cell>
          <cell r="L789">
            <v>3853</v>
          </cell>
          <cell r="P789">
            <v>26000</v>
          </cell>
          <cell r="R789">
            <v>65</v>
          </cell>
          <cell r="T789">
            <v>0.2</v>
          </cell>
        </row>
        <row r="790">
          <cell r="B790" t="str">
            <v>WEST COAST HURON ENERGY INC.</v>
          </cell>
          <cell r="C790">
            <v>2008</v>
          </cell>
          <cell r="F790">
            <v>1266010</v>
          </cell>
          <cell r="L790">
            <v>3878</v>
          </cell>
          <cell r="P790">
            <v>26000</v>
          </cell>
          <cell r="R790">
            <v>65</v>
          </cell>
          <cell r="T790">
            <v>0.2</v>
          </cell>
        </row>
        <row r="791">
          <cell r="B791" t="str">
            <v>WEST COAST HURON ENERGY INC.</v>
          </cell>
          <cell r="C791">
            <v>2009</v>
          </cell>
          <cell r="F791">
            <v>1415777</v>
          </cell>
          <cell r="L791">
            <v>3759</v>
          </cell>
          <cell r="P791">
            <v>26561</v>
          </cell>
          <cell r="R791">
            <v>65</v>
          </cell>
          <cell r="T791">
            <v>0.2</v>
          </cell>
        </row>
        <row r="792">
          <cell r="B792" t="str">
            <v>WEST COAST HURON ENERGY INC.</v>
          </cell>
          <cell r="C792">
            <v>2010</v>
          </cell>
          <cell r="F792">
            <v>1250461</v>
          </cell>
          <cell r="L792">
            <v>3770</v>
          </cell>
          <cell r="P792">
            <v>26132</v>
          </cell>
          <cell r="R792">
            <v>65</v>
          </cell>
          <cell r="T792">
            <v>0.2</v>
          </cell>
        </row>
        <row r="793">
          <cell r="B793" t="str">
            <v>WEST COAST HURON ENERGY INC.</v>
          </cell>
          <cell r="C793">
            <v>2011</v>
          </cell>
          <cell r="F793">
            <v>1350737</v>
          </cell>
          <cell r="L793">
            <v>3697</v>
          </cell>
          <cell r="P793">
            <v>27350</v>
          </cell>
          <cell r="R793">
            <v>68</v>
          </cell>
          <cell r="T793">
            <v>0.22058823529411764</v>
          </cell>
        </row>
        <row r="794">
          <cell r="B794" t="str">
            <v>WEST COAST HURON ENERGY INC.</v>
          </cell>
          <cell r="C794">
            <v>2012</v>
          </cell>
          <cell r="F794">
            <v>1660820</v>
          </cell>
          <cell r="L794">
            <v>3753</v>
          </cell>
          <cell r="P794">
            <v>25064</v>
          </cell>
          <cell r="R794">
            <v>68</v>
          </cell>
          <cell r="T794">
            <v>0.22058823529411764</v>
          </cell>
        </row>
        <row r="798">
          <cell r="B798" t="str">
            <v>WESTARIO POWER INC.</v>
          </cell>
          <cell r="C798">
            <v>2005</v>
          </cell>
          <cell r="F798">
            <v>4096622</v>
          </cell>
          <cell r="L798">
            <v>20699</v>
          </cell>
          <cell r="P798">
            <v>83355</v>
          </cell>
          <cell r="R798">
            <v>432</v>
          </cell>
          <cell r="T798">
            <v>0.27314814814814814</v>
          </cell>
        </row>
        <row r="799">
          <cell r="B799" t="str">
            <v>WESTARIO POWER INC.</v>
          </cell>
          <cell r="C799">
            <v>2006</v>
          </cell>
          <cell r="F799">
            <v>4292152.45</v>
          </cell>
          <cell r="L799">
            <v>20983</v>
          </cell>
          <cell r="P799">
            <v>86857</v>
          </cell>
          <cell r="R799">
            <v>436</v>
          </cell>
          <cell r="T799">
            <v>0.28899082568807338</v>
          </cell>
        </row>
        <row r="800">
          <cell r="B800" t="str">
            <v>WESTARIO POWER INC.</v>
          </cell>
          <cell r="C800">
            <v>2007</v>
          </cell>
          <cell r="F800">
            <v>4058084.68</v>
          </cell>
          <cell r="L800">
            <v>21297</v>
          </cell>
          <cell r="P800">
            <v>90205</v>
          </cell>
          <cell r="R800">
            <v>435</v>
          </cell>
          <cell r="T800">
            <v>0.28965517241379313</v>
          </cell>
        </row>
        <row r="801">
          <cell r="B801" t="str">
            <v>WESTARIO POWER INC.</v>
          </cell>
          <cell r="C801">
            <v>2008</v>
          </cell>
          <cell r="F801">
            <v>5023705.6399999997</v>
          </cell>
          <cell r="L801">
            <v>21592</v>
          </cell>
          <cell r="P801">
            <v>84988</v>
          </cell>
          <cell r="R801">
            <v>440</v>
          </cell>
          <cell r="T801">
            <v>0.29772727272727273</v>
          </cell>
        </row>
        <row r="802">
          <cell r="B802" t="str">
            <v>WESTARIO POWER INC.</v>
          </cell>
          <cell r="C802">
            <v>2009</v>
          </cell>
          <cell r="F802">
            <v>4285620.05</v>
          </cell>
          <cell r="L802">
            <v>21744</v>
          </cell>
          <cell r="P802">
            <v>80151</v>
          </cell>
          <cell r="R802">
            <v>436</v>
          </cell>
          <cell r="T802">
            <v>0.28899082568807338</v>
          </cell>
        </row>
        <row r="803">
          <cell r="B803" t="str">
            <v>WESTARIO POWER INC.</v>
          </cell>
          <cell r="C803">
            <v>2010</v>
          </cell>
          <cell r="F803">
            <v>4282995.68</v>
          </cell>
          <cell r="L803">
            <v>22007</v>
          </cell>
          <cell r="P803">
            <v>89468</v>
          </cell>
          <cell r="R803">
            <v>515</v>
          </cell>
          <cell r="T803">
            <v>0.2796116504854369</v>
          </cell>
        </row>
        <row r="804">
          <cell r="B804" t="str">
            <v>WESTARIO POWER INC.</v>
          </cell>
          <cell r="C804">
            <v>2011</v>
          </cell>
          <cell r="F804">
            <v>4623981.87</v>
          </cell>
          <cell r="L804">
            <v>22257</v>
          </cell>
          <cell r="P804">
            <v>86667</v>
          </cell>
          <cell r="R804">
            <v>515</v>
          </cell>
          <cell r="T804">
            <v>0.2796116504854369</v>
          </cell>
        </row>
        <row r="805">
          <cell r="B805" t="str">
            <v>WESTARIO POWER INC.</v>
          </cell>
          <cell r="C805">
            <v>2012</v>
          </cell>
          <cell r="F805">
            <v>4568604.3899999997</v>
          </cell>
          <cell r="L805">
            <v>22593</v>
          </cell>
          <cell r="P805">
            <v>83916</v>
          </cell>
          <cell r="R805">
            <v>515</v>
          </cell>
          <cell r="T805">
            <v>0.2796116504854369</v>
          </cell>
        </row>
        <row r="809">
          <cell r="B809" t="str">
            <v>WHITBY HYDRO ELECTRIC CORPORATION</v>
          </cell>
          <cell r="C809">
            <v>2005</v>
          </cell>
          <cell r="F809">
            <v>7168880.7999999998</v>
          </cell>
          <cell r="L809">
            <v>36235</v>
          </cell>
          <cell r="P809">
            <v>181998</v>
          </cell>
          <cell r="R809">
            <v>980</v>
          </cell>
          <cell r="T809">
            <v>0.51530612244897955</v>
          </cell>
        </row>
        <row r="810">
          <cell r="B810" t="str">
            <v>WHITBY HYDRO ELECTRIC CORPORATION</v>
          </cell>
          <cell r="C810">
            <v>2006</v>
          </cell>
          <cell r="F810">
            <v>7560037.1500000004</v>
          </cell>
          <cell r="L810">
            <v>37473</v>
          </cell>
          <cell r="P810">
            <v>192475</v>
          </cell>
          <cell r="R810">
            <v>996</v>
          </cell>
          <cell r="T810">
            <v>0.52208835341365467</v>
          </cell>
        </row>
        <row r="811">
          <cell r="B811" t="str">
            <v>WHITBY HYDRO ELECTRIC CORPORATION</v>
          </cell>
          <cell r="C811">
            <v>2007</v>
          </cell>
          <cell r="F811">
            <v>8066342.1200000001</v>
          </cell>
          <cell r="L811">
            <v>38278</v>
          </cell>
          <cell r="P811">
            <v>185761</v>
          </cell>
          <cell r="R811">
            <v>1021</v>
          </cell>
          <cell r="T811">
            <v>0.51909892262487756</v>
          </cell>
        </row>
        <row r="812">
          <cell r="B812" t="str">
            <v>WHITBY HYDRO ELECTRIC CORPORATION</v>
          </cell>
          <cell r="C812">
            <v>2008</v>
          </cell>
          <cell r="F812">
            <v>7844132.5199999996</v>
          </cell>
          <cell r="L812">
            <v>39225</v>
          </cell>
          <cell r="P812">
            <v>167732</v>
          </cell>
          <cell r="R812">
            <v>1030</v>
          </cell>
          <cell r="T812">
            <v>0.51941747572815533</v>
          </cell>
        </row>
        <row r="813">
          <cell r="B813" t="str">
            <v>WHITBY HYDRO ELECTRIC CORPORATION</v>
          </cell>
          <cell r="C813">
            <v>2009</v>
          </cell>
          <cell r="F813">
            <v>8192476.2000000002</v>
          </cell>
          <cell r="L813">
            <v>39123</v>
          </cell>
          <cell r="P813">
            <v>184500</v>
          </cell>
          <cell r="R813">
            <v>1034</v>
          </cell>
          <cell r="T813">
            <v>0.52127659574468088</v>
          </cell>
        </row>
        <row r="814">
          <cell r="B814" t="str">
            <v>WHITBY HYDRO ELECTRIC CORPORATION</v>
          </cell>
          <cell r="C814">
            <v>2010</v>
          </cell>
          <cell r="F814">
            <v>8463452.6000000015</v>
          </cell>
          <cell r="L814">
            <v>39669</v>
          </cell>
          <cell r="P814">
            <v>191768</v>
          </cell>
          <cell r="R814">
            <v>1051</v>
          </cell>
          <cell r="T814">
            <v>0.5252140818268316</v>
          </cell>
        </row>
        <row r="815">
          <cell r="B815" t="str">
            <v>WHITBY HYDRO ELECTRIC CORPORATION</v>
          </cell>
          <cell r="C815">
            <v>2011</v>
          </cell>
          <cell r="F815">
            <v>8403954.5700000003</v>
          </cell>
          <cell r="L815">
            <v>40337</v>
          </cell>
          <cell r="P815">
            <v>208479</v>
          </cell>
          <cell r="R815">
            <v>1060</v>
          </cell>
          <cell r="T815">
            <v>0.5254716981132076</v>
          </cell>
        </row>
        <row r="816">
          <cell r="B816" t="str">
            <v>WHITBY HYDRO ELECTRIC CORPORATION</v>
          </cell>
          <cell r="C816">
            <v>2012</v>
          </cell>
          <cell r="F816">
            <v>8762357.8399999999</v>
          </cell>
          <cell r="L816">
            <v>40915</v>
          </cell>
          <cell r="P816">
            <v>203146</v>
          </cell>
          <cell r="R816">
            <v>1063</v>
          </cell>
          <cell r="T816">
            <v>0.52963311382878642</v>
          </cell>
        </row>
        <row r="820">
          <cell r="B820" t="str">
            <v>WOODSTOCK HYDRO SERVICES INC.</v>
          </cell>
          <cell r="C820">
            <v>2005</v>
          </cell>
          <cell r="F820">
            <v>2955139.43</v>
          </cell>
          <cell r="L820">
            <v>14195</v>
          </cell>
          <cell r="P820">
            <v>79084</v>
          </cell>
          <cell r="R820">
            <v>254</v>
          </cell>
          <cell r="T820">
            <v>0.40944881889763779</v>
          </cell>
        </row>
        <row r="821">
          <cell r="B821" t="str">
            <v>WOODSTOCK HYDRO SERVICES INC.</v>
          </cell>
          <cell r="C821">
            <v>2006</v>
          </cell>
          <cell r="F821">
            <v>3054668.4499999997</v>
          </cell>
          <cell r="L821">
            <v>14316</v>
          </cell>
          <cell r="P821">
            <v>81815</v>
          </cell>
          <cell r="R821">
            <v>260</v>
          </cell>
          <cell r="T821">
            <v>0.40384615384615385</v>
          </cell>
        </row>
        <row r="822">
          <cell r="B822" t="str">
            <v>WOODSTOCK HYDRO SERVICES INC.</v>
          </cell>
          <cell r="C822">
            <v>2007</v>
          </cell>
          <cell r="F822">
            <v>3162828.45</v>
          </cell>
          <cell r="L822">
            <v>14441</v>
          </cell>
          <cell r="P822">
            <v>74897</v>
          </cell>
          <cell r="R822">
            <v>268</v>
          </cell>
          <cell r="T822">
            <v>0.43283582089552236</v>
          </cell>
        </row>
        <row r="823">
          <cell r="B823" t="str">
            <v>WOODSTOCK HYDRO SERVICES INC.</v>
          </cell>
          <cell r="C823">
            <v>2008</v>
          </cell>
          <cell r="F823">
            <v>3215677.7</v>
          </cell>
          <cell r="L823">
            <v>14645</v>
          </cell>
          <cell r="P823">
            <v>74117</v>
          </cell>
          <cell r="R823">
            <v>246</v>
          </cell>
          <cell r="T823">
            <v>0.36585365853658536</v>
          </cell>
        </row>
        <row r="824">
          <cell r="B824" t="str">
            <v>WOODSTOCK HYDRO SERVICES INC.</v>
          </cell>
          <cell r="C824">
            <v>2009</v>
          </cell>
          <cell r="F824">
            <v>3291799.4800000004</v>
          </cell>
          <cell r="L824">
            <v>14799</v>
          </cell>
          <cell r="P824">
            <v>72543</v>
          </cell>
          <cell r="R824">
            <v>245</v>
          </cell>
          <cell r="T824">
            <v>0.37142857142857144</v>
          </cell>
        </row>
        <row r="825">
          <cell r="B825" t="str">
            <v>WOODSTOCK HYDRO SERVICES INC.</v>
          </cell>
          <cell r="C825">
            <v>2010</v>
          </cell>
          <cell r="F825">
            <v>3470619.95</v>
          </cell>
          <cell r="L825">
            <v>15074</v>
          </cell>
          <cell r="P825">
            <v>74659</v>
          </cell>
          <cell r="R825">
            <v>248</v>
          </cell>
          <cell r="T825">
            <v>0.375</v>
          </cell>
        </row>
        <row r="826">
          <cell r="B826" t="str">
            <v>WOODSTOCK HYDRO SERVICES INC.</v>
          </cell>
          <cell r="C826">
            <v>2011</v>
          </cell>
          <cell r="F826">
            <v>3701719.9874597494</v>
          </cell>
          <cell r="L826">
            <v>15181</v>
          </cell>
          <cell r="P826">
            <v>76830</v>
          </cell>
          <cell r="R826">
            <v>249</v>
          </cell>
          <cell r="T826">
            <v>0.37751004016064255</v>
          </cell>
        </row>
        <row r="827">
          <cell r="B827" t="str">
            <v>WOODSTOCK HYDRO SERVICES INC.</v>
          </cell>
          <cell r="C827">
            <v>2012</v>
          </cell>
          <cell r="F827">
            <v>3717434.6600000006</v>
          </cell>
          <cell r="L827">
            <v>15356</v>
          </cell>
          <cell r="P827">
            <v>74379</v>
          </cell>
          <cell r="R827">
            <v>252</v>
          </cell>
          <cell r="T827">
            <v>0.39285714285714285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Validation"/>
      <sheetName val="Forecasting"/>
      <sheetName val="Assumptions for Forecasting"/>
      <sheetName val="Overview of Worksheets"/>
      <sheetName val="Generic LDC Worksheet"/>
      <sheetName val="2013 Benchmarking Calculations"/>
      <sheetName val="2. BM Database"/>
      <sheetName val="2012 BM Database"/>
      <sheetName val="2.1.2 Total Customer Numbers"/>
      <sheetName val="2013 PBR data "/>
      <sheetName val="2.1.7 Roll Up "/>
      <sheetName val="HV Charges"/>
      <sheetName val="Acct 5014 5015 and 5112 "/>
      <sheetName val="LV charges"/>
      <sheetName val="LV Pivot"/>
      <sheetName val="HON LV Charges"/>
      <sheetName val="EUCPI"/>
      <sheetName val="GDP IPI FDD"/>
      <sheetName val="AWE"/>
      <sheetName val="6. Capital Calculations for BM"/>
      <sheetName val="Additional 2013 Data 1"/>
      <sheetName val="Additional 2013 Data 2"/>
      <sheetName val="Additional 2013 Data 3"/>
      <sheetName val="Additional 2013 Data 4"/>
      <sheetName val="Additional 2013 Data 5"/>
      <sheetName val="Table 1"/>
      <sheetName val="Table 2"/>
      <sheetName val="Table 3"/>
      <sheetName val="Table 4"/>
      <sheetName val="Table 5"/>
      <sheetName val="scorecard data"/>
    </sheetNames>
    <sheetDataSet>
      <sheetData sheetId="0"/>
      <sheetData sheetId="1"/>
      <sheetData sheetId="2"/>
      <sheetData sheetId="3"/>
      <sheetData sheetId="4"/>
      <sheetData sheetId="5"/>
      <sheetData sheetId="6">
        <row r="3">
          <cell r="I3" t="str">
            <v>Algoma Power Inc.</v>
          </cell>
          <cell r="J3" t="str">
            <v>Atikokan Hydro Inc.</v>
          </cell>
          <cell r="K3" t="str">
            <v>Bluewater Power Distribution Corporation</v>
          </cell>
          <cell r="L3" t="str">
            <v>Brant County Power Inc.</v>
          </cell>
          <cell r="M3" t="str">
            <v>Brantford Power Inc.</v>
          </cell>
          <cell r="N3" t="str">
            <v>Burlington Hydro Inc.</v>
          </cell>
          <cell r="O3" t="str">
            <v>Cambridge and North Dumfries Hydro Inc.</v>
          </cell>
          <cell r="P3" t="str">
            <v>Canadian Niagara Power Inc.</v>
          </cell>
          <cell r="Q3" t="str">
            <v>Centre Wellington Hydro Ltd.</v>
          </cell>
          <cell r="R3" t="str">
            <v>Chapleau Public Utilities Corporation</v>
          </cell>
          <cell r="S3" t="str">
            <v>Collus PowerStream Corp.</v>
          </cell>
          <cell r="T3" t="str">
            <v>Cooperative Hydro Embrun Inc.</v>
          </cell>
          <cell r="U3" t="str">
            <v>E.L.K. Energy Inc.</v>
          </cell>
          <cell r="V3" t="str">
            <v>Enersource Hydro Mississauga Inc.</v>
          </cell>
          <cell r="W3" t="str">
            <v>Entegrus Powerlines Inc.</v>
          </cell>
          <cell r="X3" t="str">
            <v>EnWin Utilities Ltd.</v>
          </cell>
          <cell r="Y3" t="str">
            <v>Erie Thames Powerlines Corporation</v>
          </cell>
          <cell r="Z3" t="str">
            <v>Espanola Regional Hydro Distribution Corporation</v>
          </cell>
          <cell r="AA3" t="str">
            <v>Essex Powerlines Corporation</v>
          </cell>
          <cell r="AB3" t="str">
            <v>Festival Hydro Inc.</v>
          </cell>
          <cell r="AC3" t="str">
            <v>Fort Frances Power Corporation</v>
          </cell>
          <cell r="AD3" t="str">
            <v>Greater Sudbury Hydro Inc.</v>
          </cell>
          <cell r="AE3" t="str">
            <v>GRIMSBY POWER INCORPORATED</v>
          </cell>
          <cell r="AF3" t="str">
            <v>Guelph Hydro Electric Systems Inc.</v>
          </cell>
          <cell r="AG3" t="str">
            <v>Haldimand County Hydro Inc.</v>
          </cell>
          <cell r="AH3" t="str">
            <v>Halton Hills Hydro Inc.</v>
          </cell>
          <cell r="AI3" t="str">
            <v>Hearst Power Distribution Company Limited</v>
          </cell>
          <cell r="AJ3" t="str">
            <v>Horizon Utilities Corporation</v>
          </cell>
          <cell r="AK3" t="str">
            <v>Hydro 2000 Inc.</v>
          </cell>
          <cell r="AL3" t="str">
            <v>Hydro Hawkesbury Inc.</v>
          </cell>
          <cell r="AM3" t="str">
            <v>Hydro One Brampton Networks Inc.</v>
          </cell>
          <cell r="AN3" t="str">
            <v>Hydro One Networks Inc.</v>
          </cell>
          <cell r="AO3" t="str">
            <v>Hydro Ottawa Limited</v>
          </cell>
          <cell r="AP3" t="str">
            <v>Innisfil Hydro Distribution Systems Limited</v>
          </cell>
          <cell r="AQ3" t="str">
            <v>Kenora Hydro Electric Corporation Ltd.</v>
          </cell>
          <cell r="AR3" t="str">
            <v>Kingston Hydro Corporation</v>
          </cell>
          <cell r="AS3" t="str">
            <v>Kitchener-Wilmot Hydro Inc.</v>
          </cell>
          <cell r="AT3" t="str">
            <v>Lakefront Utilities Inc.</v>
          </cell>
          <cell r="AU3" t="str">
            <v>Lakeland Power Distribution Ltd.</v>
          </cell>
          <cell r="AV3" t="str">
            <v>London Hydro Inc.</v>
          </cell>
          <cell r="AW3" t="str">
            <v>Midland Power Utility Corporation</v>
          </cell>
          <cell r="AX3" t="str">
            <v>Milton Hydro Distribution Inc.</v>
          </cell>
          <cell r="AY3" t="str">
            <v>Newmarket-Tay Power Distribution Ltd.</v>
          </cell>
          <cell r="AZ3" t="str">
            <v>Niagara Peninsula Energy Inc.</v>
          </cell>
          <cell r="BA3" t="str">
            <v>Niagara-on-the-Lake Hydro Inc.</v>
          </cell>
          <cell r="BB3" t="str">
            <v>Norfolk Power Distribution Inc.</v>
          </cell>
          <cell r="BC3" t="str">
            <v>North Bay Hydro Distribution Limited</v>
          </cell>
          <cell r="BD3" t="str">
            <v>Northern Ontario Wires Inc.</v>
          </cell>
          <cell r="BE3" t="str">
            <v>Oakville Hydro Electricity Distribution Inc.</v>
          </cell>
          <cell r="BF3" t="str">
            <v>Orangeville Hydro Limited</v>
          </cell>
          <cell r="BG3" t="str">
            <v>Orillia Power Distribution Corporation</v>
          </cell>
          <cell r="BH3" t="str">
            <v>Oshawa PUC Networks Inc.</v>
          </cell>
          <cell r="BI3" t="str">
            <v>Ottawa River Power Corporation</v>
          </cell>
          <cell r="BJ3" t="str">
            <v>Parry Sound Power Corporation</v>
          </cell>
          <cell r="BK3" t="str">
            <v>Peterborough Distribution Incorporated</v>
          </cell>
          <cell r="BL3" t="str">
            <v>PowerStream Inc.</v>
          </cell>
          <cell r="BM3" t="str">
            <v>PUC Distribution Inc.</v>
          </cell>
          <cell r="BN3" t="str">
            <v>Renfrew Hydro Inc.</v>
          </cell>
          <cell r="BO3" t="str">
            <v>Rideau St. Lawrence Distribution Inc.</v>
          </cell>
          <cell r="BP3" t="str">
            <v>Sioux Lookout Hydro Inc.</v>
          </cell>
          <cell r="BQ3" t="str">
            <v>St. Thomas Energy Inc.</v>
          </cell>
          <cell r="BR3" t="str">
            <v>Thunder Bay Hydro Electricity Distribution Inc.</v>
          </cell>
          <cell r="BS3" t="str">
            <v>Tillsonburg Hydro Inc.</v>
          </cell>
          <cell r="BT3" t="str">
            <v>Toronto Hydro-Electric System Limited</v>
          </cell>
          <cell r="BU3" t="str">
            <v>Veridian Connections Inc.</v>
          </cell>
          <cell r="BV3" t="str">
            <v>Wasaga Distribution Inc.</v>
          </cell>
          <cell r="BW3" t="str">
            <v>Waterloo North Hydro Inc.</v>
          </cell>
          <cell r="BX3" t="str">
            <v>Welland Hydro-Electric System Corp.</v>
          </cell>
          <cell r="BY3" t="str">
            <v>Wellington North Power Inc.</v>
          </cell>
          <cell r="BZ3" t="str">
            <v>West Coast Huron Energy Inc.</v>
          </cell>
          <cell r="CA3" t="str">
            <v>Westario Power Inc.</v>
          </cell>
          <cell r="CB3" t="str">
            <v>Whitby Hydro Electric Corporation</v>
          </cell>
          <cell r="CC3" t="str">
            <v>Woodstock Hydro Services Inc.</v>
          </cell>
        </row>
        <row r="4">
          <cell r="I4" t="str">
            <v>Algoma Power Inc.2012</v>
          </cell>
          <cell r="J4" t="str">
            <v>Atikokan Hydro Inc.2012</v>
          </cell>
          <cell r="K4" t="str">
            <v>Bluewater Power Distribution Corporation2012</v>
          </cell>
          <cell r="L4" t="str">
            <v>Brant County Power Inc.2012</v>
          </cell>
          <cell r="M4" t="str">
            <v>Brantford Power Inc.2012</v>
          </cell>
          <cell r="N4" t="str">
            <v>Burlington Hydro Inc.2012</v>
          </cell>
          <cell r="O4" t="str">
            <v>Cambridge and North Dumfries Hydro Inc.2012</v>
          </cell>
          <cell r="P4" t="str">
            <v>Canadian Niagara Power Inc.2012</v>
          </cell>
          <cell r="Q4" t="str">
            <v>Centre Wellington Hydro Ltd.2012</v>
          </cell>
          <cell r="R4" t="str">
            <v>Chapleau Public Utilities Corporation2012</v>
          </cell>
          <cell r="S4" t="str">
            <v>COLLUS POWER CORPORATION2012</v>
          </cell>
          <cell r="T4" t="str">
            <v>Cooperative Hydro Embrun Inc.2012</v>
          </cell>
          <cell r="U4" t="str">
            <v>E.L.K. Energy Inc.2012</v>
          </cell>
          <cell r="V4" t="str">
            <v>Enersource Hydro Mississauga Inc.2012</v>
          </cell>
          <cell r="W4" t="str">
            <v>Entegrus Powerlines2012</v>
          </cell>
          <cell r="X4" t="str">
            <v>EnWin Utilities Ltd.2012</v>
          </cell>
          <cell r="Y4" t="str">
            <v>Erie Thames Powerlines Corporation2012</v>
          </cell>
          <cell r="Z4" t="str">
            <v>Espanola Regional Hydro Distribution Corporation2012</v>
          </cell>
          <cell r="AA4" t="str">
            <v>Essex Powerlines Corporation2012</v>
          </cell>
          <cell r="AB4" t="str">
            <v>Festival Hydro Inc.2012</v>
          </cell>
          <cell r="AC4" t="str">
            <v>Fort Frances Power Corporation2012</v>
          </cell>
          <cell r="AD4" t="str">
            <v>Greater Sudbury Hydro Inc.2012</v>
          </cell>
          <cell r="AE4" t="str">
            <v>GRIMSBY POWER INCORPORATED2012</v>
          </cell>
          <cell r="AF4" t="str">
            <v>Guelph Hydro Electric Systems Inc.2012</v>
          </cell>
          <cell r="AG4" t="str">
            <v>Haldimand County Hydro Inc.2012</v>
          </cell>
          <cell r="AH4" t="str">
            <v>Halton Hills Hydro Inc.2012</v>
          </cell>
          <cell r="AI4" t="str">
            <v>Hearst Power Distribution Company Limited2012</v>
          </cell>
          <cell r="AJ4" t="str">
            <v>Horizon Utilities Corporation2012</v>
          </cell>
          <cell r="AK4" t="str">
            <v>Hydro 2000 Inc.2012</v>
          </cell>
          <cell r="AL4" t="str">
            <v>Hydro Hawkesbury Inc.2012</v>
          </cell>
          <cell r="AM4" t="str">
            <v>Hydro One Brampton Networks Inc.2012</v>
          </cell>
          <cell r="AN4" t="str">
            <v>Hydro One Networks Inc.2012</v>
          </cell>
          <cell r="AO4" t="str">
            <v>Hydro Ottawa Limited2012</v>
          </cell>
          <cell r="AP4" t="str">
            <v>Innisfil Hydro Distribution Systems Limited2012</v>
          </cell>
          <cell r="AQ4" t="str">
            <v>Kenora Hydro Electric Corporation Ltd.2012</v>
          </cell>
          <cell r="AR4" t="str">
            <v>Kingston Hydro Corporation2012</v>
          </cell>
          <cell r="AS4" t="str">
            <v>Kitchener-Wilmot Hydro Inc.2012</v>
          </cell>
          <cell r="AT4" t="str">
            <v>Lakefront Utilities Inc.2012</v>
          </cell>
          <cell r="AU4" t="str">
            <v>Lakeland Power Distribution Ltd.2012</v>
          </cell>
          <cell r="AV4" t="str">
            <v>London Hydro Inc.2012</v>
          </cell>
          <cell r="AW4" t="str">
            <v>Midland Power Utility Corporation2012</v>
          </cell>
          <cell r="AX4" t="str">
            <v>Milton Hydro Distribution Inc.2012</v>
          </cell>
          <cell r="AY4" t="str">
            <v>Newmarket-Tay Power Distribution Ltd.2012</v>
          </cell>
          <cell r="AZ4" t="str">
            <v>Niagara Peninsula Energy Inc.2012</v>
          </cell>
          <cell r="BA4" t="str">
            <v>Niagara-on-the-Lake Hydro Inc.2012</v>
          </cell>
          <cell r="BB4" t="str">
            <v>Norfolk Power Distribution Inc.2012</v>
          </cell>
          <cell r="BC4" t="str">
            <v>North Bay Hydro Distribution Limited2012</v>
          </cell>
          <cell r="BD4" t="str">
            <v>Northern Ontario Wires Inc.2012</v>
          </cell>
          <cell r="BE4" t="str">
            <v>Oakville Hydro Electricity Distribution Inc.2012</v>
          </cell>
          <cell r="BF4" t="str">
            <v>Orangeville Hydro Limited2012</v>
          </cell>
          <cell r="BG4" t="str">
            <v>Orillia Power Distribution Corporation2012</v>
          </cell>
          <cell r="BH4" t="str">
            <v>Oshawa PUC Networks Inc.2012</v>
          </cell>
          <cell r="BI4" t="str">
            <v>Ottawa River Power Corporation2012</v>
          </cell>
          <cell r="BJ4" t="str">
            <v>Parry Sound Power Corporation2012</v>
          </cell>
          <cell r="BK4" t="str">
            <v>Peterborough Distribution Incorporated2012</v>
          </cell>
          <cell r="BL4" t="str">
            <v>PowerStream Inc.2012</v>
          </cell>
          <cell r="BM4" t="str">
            <v>PUC Distribution Inc.2012</v>
          </cell>
          <cell r="BN4" t="str">
            <v>Renfrew Hydro Inc.2012</v>
          </cell>
          <cell r="BO4" t="str">
            <v>Rideau St. Lawrence Distribution Inc.2012</v>
          </cell>
          <cell r="BP4" t="str">
            <v>Sioux Lookout Hydro Inc.2012</v>
          </cell>
          <cell r="BQ4" t="str">
            <v>St. Thomas Energy Inc.2012</v>
          </cell>
          <cell r="BR4" t="str">
            <v>Thunder Bay Hydro Electricity Distribution Inc.2012</v>
          </cell>
          <cell r="BS4" t="str">
            <v>Tillsonburg Hydro Inc.2012</v>
          </cell>
          <cell r="BT4" t="str">
            <v>Toronto Hydro-Electric System Limited2012</v>
          </cell>
          <cell r="BU4" t="str">
            <v>Veridian Connections Inc.2012</v>
          </cell>
          <cell r="BV4" t="str">
            <v>Wasaga Distribution Inc.2012</v>
          </cell>
          <cell r="BW4" t="str">
            <v>Waterloo North Hydro Inc.2012</v>
          </cell>
          <cell r="BX4" t="str">
            <v>Welland Hydro-Electric System Corp.2012</v>
          </cell>
          <cell r="BY4" t="str">
            <v>Wellington North Power Inc.2012</v>
          </cell>
          <cell r="BZ4" t="str">
            <v>West Coast Huron Energy Inc.2012</v>
          </cell>
          <cell r="CA4" t="str">
            <v>Westario Power Inc.2012</v>
          </cell>
          <cell r="CB4" t="str">
            <v>Whitby Hydro Electric Corporation2012</v>
          </cell>
          <cell r="CC4" t="str">
            <v>Woodstock Hydro Services Inc.2012</v>
          </cell>
        </row>
        <row r="8">
          <cell r="I8">
            <v>10672392.270000001</v>
          </cell>
          <cell r="J8">
            <v>1031675.3599999999</v>
          </cell>
          <cell r="K8">
            <v>11982293.43</v>
          </cell>
          <cell r="L8">
            <v>3899113.0499999993</v>
          </cell>
          <cell r="M8">
            <v>8727539.9399999995</v>
          </cell>
          <cell r="N8">
            <v>16773836.970000001</v>
          </cell>
          <cell r="O8">
            <v>14096633.5</v>
          </cell>
          <cell r="P8">
            <v>8474686.0300000012</v>
          </cell>
          <cell r="Q8">
            <v>2048510.9</v>
          </cell>
          <cell r="R8">
            <v>629801.87</v>
          </cell>
          <cell r="S8">
            <v>4438351.28</v>
          </cell>
          <cell r="T8">
            <v>634624.57000000007</v>
          </cell>
          <cell r="U8">
            <v>2251429.3199999998</v>
          </cell>
          <cell r="V8">
            <v>52980753.739999995</v>
          </cell>
          <cell r="W8">
            <v>9380757.589999998</v>
          </cell>
          <cell r="X8">
            <v>21511933.100000001</v>
          </cell>
          <cell r="Y8">
            <v>5504431.6200000001</v>
          </cell>
          <cell r="Z8">
            <v>1295367.2504999998</v>
          </cell>
          <cell r="AA8">
            <v>5885995.2000000011</v>
          </cell>
          <cell r="AB8">
            <v>4923387.0500000007</v>
          </cell>
          <cell r="AC8">
            <v>1428272.23</v>
          </cell>
          <cell r="AD8">
            <v>11080579.680000002</v>
          </cell>
          <cell r="AE8">
            <v>2653353.0499999998</v>
          </cell>
          <cell r="AF8">
            <v>14769959.66</v>
          </cell>
          <cell r="AG8">
            <v>7405149.8699999992</v>
          </cell>
          <cell r="AH8">
            <v>4821336</v>
          </cell>
          <cell r="AI8">
            <v>830789.34000000008</v>
          </cell>
          <cell r="AJ8">
            <v>53770376.68</v>
          </cell>
          <cell r="AK8">
            <v>504541.19000000006</v>
          </cell>
          <cell r="AL8">
            <v>1084231.94</v>
          </cell>
          <cell r="AM8">
            <v>22922932</v>
          </cell>
          <cell r="AN8">
            <v>561763829.69000006</v>
          </cell>
          <cell r="AO8">
            <v>70831893.209000006</v>
          </cell>
          <cell r="AP8">
            <v>4983183.7300000004</v>
          </cell>
          <cell r="AQ8">
            <v>1854498</v>
          </cell>
          <cell r="AR8">
            <v>6643269</v>
          </cell>
          <cell r="AS8">
            <v>15004497.59</v>
          </cell>
          <cell r="AT8">
            <v>2511655.8099999996</v>
          </cell>
          <cell r="AU8">
            <v>3727137.0099999993</v>
          </cell>
          <cell r="AV8">
            <v>30754942.089999996</v>
          </cell>
          <cell r="AW8">
            <v>2235311.94</v>
          </cell>
          <cell r="AX8">
            <v>8382166</v>
          </cell>
          <cell r="AY8">
            <v>7255412.3799999999</v>
          </cell>
          <cell r="AZ8">
            <v>13580948.560000001</v>
          </cell>
          <cell r="BA8">
            <v>2146011.13</v>
          </cell>
          <cell r="BB8">
            <v>5932696.370000001</v>
          </cell>
          <cell r="BC8">
            <v>5533892.9699999997</v>
          </cell>
          <cell r="BD8">
            <v>2685164.679</v>
          </cell>
          <cell r="BE8">
            <v>16795533.849999994</v>
          </cell>
          <cell r="BF8">
            <v>3315703.36</v>
          </cell>
          <cell r="BG8">
            <v>4440794.7200000007</v>
          </cell>
          <cell r="BH8">
            <v>10496484.029999999</v>
          </cell>
          <cell r="BI8">
            <v>3114732.85</v>
          </cell>
          <cell r="BJ8">
            <v>1616080.8599999999</v>
          </cell>
          <cell r="BK8">
            <v>7788113.8600000003</v>
          </cell>
          <cell r="BL8">
            <v>77277916.590000004</v>
          </cell>
          <cell r="BM8">
            <v>11448896.359999999</v>
          </cell>
          <cell r="BN8">
            <v>1238888.73</v>
          </cell>
          <cell r="BO8">
            <v>1830016.0099999998</v>
          </cell>
          <cell r="BP8">
            <v>1383940.81</v>
          </cell>
          <cell r="BQ8">
            <v>3817984.1400000006</v>
          </cell>
          <cell r="BR8">
            <v>13010455.599999998</v>
          </cell>
          <cell r="BS8">
            <v>2971580.5900000003</v>
          </cell>
          <cell r="BT8">
            <v>232504073.09999996</v>
          </cell>
          <cell r="BU8">
            <v>24791292.890000001</v>
          </cell>
          <cell r="BV8">
            <v>2710685.8</v>
          </cell>
          <cell r="BW8">
            <v>12543731.92</v>
          </cell>
          <cell r="BX8">
            <v>5889642.1700000009</v>
          </cell>
          <cell r="BY8">
            <v>1724130.83</v>
          </cell>
          <cell r="BZ8">
            <v>1830008</v>
          </cell>
          <cell r="CA8">
            <v>5723053.9400000004</v>
          </cell>
          <cell r="CB8">
            <v>10067878.15</v>
          </cell>
          <cell r="CC8">
            <v>3933563.74</v>
          </cell>
        </row>
        <row r="10">
          <cell r="I10">
            <v>1427028.45</v>
          </cell>
          <cell r="J10">
            <v>266417.82999999996</v>
          </cell>
          <cell r="K10">
            <v>3564375</v>
          </cell>
          <cell r="L10">
            <v>650135.14</v>
          </cell>
          <cell r="M10">
            <v>1440365.09</v>
          </cell>
          <cell r="N10">
            <v>5272098.34</v>
          </cell>
          <cell r="O10">
            <v>2057171.89</v>
          </cell>
          <cell r="P10">
            <v>1533640.9499999997</v>
          </cell>
          <cell r="Q10">
            <v>271979.98</v>
          </cell>
          <cell r="R10">
            <v>220412.00999999998</v>
          </cell>
          <cell r="S10">
            <v>657705.82000000007</v>
          </cell>
          <cell r="T10">
            <v>27849.35</v>
          </cell>
          <cell r="U10">
            <v>233391.23999999996</v>
          </cell>
          <cell r="V10">
            <v>10650420.17</v>
          </cell>
          <cell r="W10">
            <v>930955.38</v>
          </cell>
          <cell r="X10">
            <v>2007081.6900000004</v>
          </cell>
          <cell r="Y10">
            <v>100096.19999999998</v>
          </cell>
          <cell r="Z10">
            <v>302640.48999999993</v>
          </cell>
          <cell r="AA10">
            <v>989797.35000000009</v>
          </cell>
          <cell r="AB10">
            <v>748925.42999999993</v>
          </cell>
          <cell r="AC10">
            <v>203957.93</v>
          </cell>
          <cell r="AD10">
            <v>5235191.2600000007</v>
          </cell>
          <cell r="AE10">
            <v>522827.20000000007</v>
          </cell>
          <cell r="AF10">
            <v>4091889.3</v>
          </cell>
          <cell r="AG10">
            <v>1715782.5</v>
          </cell>
          <cell r="AH10">
            <v>661881</v>
          </cell>
          <cell r="AI10">
            <v>125807.73</v>
          </cell>
          <cell r="AJ10">
            <v>25708382.100000001</v>
          </cell>
          <cell r="AK10">
            <v>10374.549999999999</v>
          </cell>
          <cell r="AL10">
            <v>89659.520000000004</v>
          </cell>
          <cell r="AM10">
            <v>4616444</v>
          </cell>
          <cell r="AN10">
            <v>103583654.25999999</v>
          </cell>
          <cell r="AO10">
            <v>15607432.59</v>
          </cell>
          <cell r="AP10">
            <v>1321877.5</v>
          </cell>
          <cell r="AQ10">
            <v>139970</v>
          </cell>
          <cell r="AR10">
            <v>2904286</v>
          </cell>
          <cell r="AS10">
            <v>4755731.18</v>
          </cell>
          <cell r="AT10">
            <v>658284.72</v>
          </cell>
          <cell r="AU10">
            <v>215606.83999999997</v>
          </cell>
          <cell r="AV10">
            <v>8060736.4199999981</v>
          </cell>
          <cell r="AW10">
            <v>822325.46000000008</v>
          </cell>
          <cell r="AX10">
            <v>1853450</v>
          </cell>
          <cell r="AY10">
            <v>1219691.02</v>
          </cell>
          <cell r="AZ10">
            <v>4131173.9299999997</v>
          </cell>
          <cell r="BA10">
            <v>461410.28999999992</v>
          </cell>
          <cell r="BB10">
            <v>1269690.3800000001</v>
          </cell>
          <cell r="BC10">
            <v>759997.99999999988</v>
          </cell>
          <cell r="BD10">
            <v>604952.28999999992</v>
          </cell>
          <cell r="BE10">
            <v>7578488.9799999967</v>
          </cell>
          <cell r="BF10">
            <v>513392.31</v>
          </cell>
          <cell r="BG10">
            <v>1115128.02</v>
          </cell>
          <cell r="BH10">
            <v>919397.01</v>
          </cell>
          <cell r="BI10">
            <v>595899.31000000006</v>
          </cell>
          <cell r="BJ10">
            <v>142103.6</v>
          </cell>
          <cell r="BK10">
            <v>1514174.6000000003</v>
          </cell>
          <cell r="BL10">
            <v>20460338.75</v>
          </cell>
          <cell r="BM10">
            <v>3624002.34</v>
          </cell>
          <cell r="BN10">
            <v>219589.61000000002</v>
          </cell>
          <cell r="BO10">
            <v>172416.94</v>
          </cell>
          <cell r="BP10">
            <v>535158.76</v>
          </cell>
          <cell r="BQ10">
            <v>868534.42</v>
          </cell>
          <cell r="BR10">
            <v>3532887.9199999995</v>
          </cell>
          <cell r="BS10">
            <v>1190472.1200000001</v>
          </cell>
          <cell r="BT10">
            <v>59545741.389999986</v>
          </cell>
          <cell r="BU10">
            <v>6085001</v>
          </cell>
          <cell r="BV10">
            <v>68206.010000000009</v>
          </cell>
          <cell r="BW10">
            <v>6122581</v>
          </cell>
          <cell r="BX10">
            <v>1137230.06</v>
          </cell>
          <cell r="BY10">
            <v>348068.54000000004</v>
          </cell>
          <cell r="BZ10">
            <v>244728</v>
          </cell>
          <cell r="CA10">
            <v>381172</v>
          </cell>
          <cell r="CB10">
            <v>2109743.25</v>
          </cell>
          <cell r="CC10">
            <v>784928.22000000009</v>
          </cell>
        </row>
        <row r="11">
          <cell r="I11">
            <v>4283359.5199999996</v>
          </cell>
          <cell r="J11">
            <v>98937.299999999988</v>
          </cell>
          <cell r="K11">
            <v>132434</v>
          </cell>
          <cell r="L11">
            <v>1233805.8299999998</v>
          </cell>
          <cell r="M11">
            <v>1902706.1900000004</v>
          </cell>
          <cell r="N11">
            <v>3630374.4099999997</v>
          </cell>
          <cell r="O11">
            <v>2006498.0699999998</v>
          </cell>
          <cell r="P11">
            <v>1934254.6300000004</v>
          </cell>
          <cell r="Q11">
            <v>317843.78000000009</v>
          </cell>
          <cell r="R11">
            <v>0</v>
          </cell>
          <cell r="S11">
            <v>1395751.5299999998</v>
          </cell>
          <cell r="T11">
            <v>29119.79</v>
          </cell>
          <cell r="U11">
            <v>487106.93999999994</v>
          </cell>
          <cell r="V11">
            <v>10459175.449999999</v>
          </cell>
          <cell r="W11">
            <v>2020898.5699999998</v>
          </cell>
          <cell r="X11">
            <v>1987679.11</v>
          </cell>
          <cell r="Y11">
            <v>645160.6</v>
          </cell>
          <cell r="Z11">
            <v>282823.81</v>
          </cell>
          <cell r="AA11">
            <v>1274077.4099999999</v>
          </cell>
          <cell r="AB11">
            <v>1279121.9000000001</v>
          </cell>
          <cell r="AC11">
            <v>217155.90000000002</v>
          </cell>
          <cell r="AD11">
            <v>2601978.2800000003</v>
          </cell>
          <cell r="AE11">
            <v>519678.92000000004</v>
          </cell>
          <cell r="AF11">
            <v>2042952.78</v>
          </cell>
          <cell r="AG11">
            <v>2112515.9399999995</v>
          </cell>
          <cell r="AH11">
            <v>742556</v>
          </cell>
          <cell r="AI11">
            <v>347219.69</v>
          </cell>
          <cell r="AJ11">
            <v>4219425.34</v>
          </cell>
          <cell r="AK11">
            <v>13761.26</v>
          </cell>
          <cell r="AL11">
            <v>212911.71999999997</v>
          </cell>
          <cell r="AM11">
            <v>5729940</v>
          </cell>
          <cell r="AN11">
            <v>250657442.03000003</v>
          </cell>
          <cell r="AO11">
            <v>9611543.6900000013</v>
          </cell>
          <cell r="AP11">
            <v>463148.69000000006</v>
          </cell>
          <cell r="AQ11">
            <v>463991</v>
          </cell>
          <cell r="AR11">
            <v>983793</v>
          </cell>
          <cell r="AS11">
            <v>5729460.4099999992</v>
          </cell>
          <cell r="AT11">
            <v>239277.3</v>
          </cell>
          <cell r="AU11">
            <v>880750.5</v>
          </cell>
          <cell r="AV11">
            <v>7265719.5100000007</v>
          </cell>
          <cell r="AW11">
            <v>98210.349999999991</v>
          </cell>
          <cell r="AX11">
            <v>1697519</v>
          </cell>
          <cell r="AY11">
            <v>1369940.12</v>
          </cell>
          <cell r="AZ11">
            <v>2149551.52</v>
          </cell>
          <cell r="BA11">
            <v>521521.82</v>
          </cell>
          <cell r="BB11">
            <v>1015204.3200000001</v>
          </cell>
          <cell r="BC11">
            <v>1397536.63</v>
          </cell>
          <cell r="BD11">
            <v>533243.43000000005</v>
          </cell>
          <cell r="BE11">
            <v>2875834.5999999996</v>
          </cell>
          <cell r="BF11">
            <v>509627.72</v>
          </cell>
          <cell r="BG11">
            <v>763504.66</v>
          </cell>
          <cell r="BH11">
            <v>1313714.71</v>
          </cell>
          <cell r="BI11">
            <v>840521.11</v>
          </cell>
          <cell r="BJ11">
            <v>293896.45999999996</v>
          </cell>
          <cell r="BK11">
            <v>1352470.5</v>
          </cell>
          <cell r="BL11">
            <v>9561503.459999999</v>
          </cell>
          <cell r="BM11">
            <v>2324284.35</v>
          </cell>
          <cell r="BN11">
            <v>198907.71000000002</v>
          </cell>
          <cell r="BO11">
            <v>442916.05</v>
          </cell>
          <cell r="BP11">
            <v>208591.23</v>
          </cell>
          <cell r="BQ11">
            <v>274854.08</v>
          </cell>
          <cell r="BR11">
            <v>3543671.6199999996</v>
          </cell>
          <cell r="BS11">
            <v>167664.84999999998</v>
          </cell>
          <cell r="BT11">
            <v>66804929.400000021</v>
          </cell>
          <cell r="BU11">
            <v>2640432</v>
          </cell>
          <cell r="BV11">
            <v>708238.99</v>
          </cell>
          <cell r="BW11">
            <v>1283983</v>
          </cell>
          <cell r="BX11">
            <v>1653692.4300000004</v>
          </cell>
          <cell r="BY11">
            <v>239542</v>
          </cell>
          <cell r="BZ11">
            <v>219746</v>
          </cell>
          <cell r="CA11">
            <v>1771888</v>
          </cell>
          <cell r="CB11">
            <v>1781344.43</v>
          </cell>
          <cell r="CC11">
            <v>576055.01</v>
          </cell>
        </row>
        <row r="12">
          <cell r="I12">
            <v>937096.41999999993</v>
          </cell>
          <cell r="J12">
            <v>232583.14999999997</v>
          </cell>
          <cell r="K12">
            <v>1684353</v>
          </cell>
          <cell r="L12">
            <v>670262.01</v>
          </cell>
          <cell r="M12">
            <v>2220172.4699999997</v>
          </cell>
          <cell r="N12">
            <v>2066640.92</v>
          </cell>
          <cell r="O12">
            <v>2324885.65</v>
          </cell>
          <cell r="P12">
            <v>1666650.23</v>
          </cell>
          <cell r="Q12">
            <v>429677.02999999997</v>
          </cell>
          <cell r="R12">
            <v>108416.51</v>
          </cell>
          <cell r="S12">
            <v>800069.71000000008</v>
          </cell>
          <cell r="T12">
            <v>246251.13</v>
          </cell>
          <cell r="U12">
            <v>498368.76999999996</v>
          </cell>
          <cell r="V12">
            <v>7455286.0499999998</v>
          </cell>
          <cell r="W12">
            <v>2340176.52</v>
          </cell>
          <cell r="X12">
            <v>669221.52</v>
          </cell>
          <cell r="Y12">
            <v>1047928.1199999999</v>
          </cell>
          <cell r="Z12">
            <v>313891.68</v>
          </cell>
          <cell r="AA12">
            <v>1136125.7999999998</v>
          </cell>
          <cell r="AB12">
            <v>1176559.3900000001</v>
          </cell>
          <cell r="AC12">
            <v>252582.18</v>
          </cell>
          <cell r="AD12">
            <v>1577130.0999999999</v>
          </cell>
          <cell r="AE12">
            <v>499685.16999999993</v>
          </cell>
          <cell r="AF12">
            <v>2397567.1899999995</v>
          </cell>
          <cell r="AG12">
            <v>1293196.78</v>
          </cell>
          <cell r="AH12">
            <v>1120088</v>
          </cell>
          <cell r="AI12">
            <v>176308.98</v>
          </cell>
          <cell r="AJ12">
            <v>7534473.6500000004</v>
          </cell>
          <cell r="AK12">
            <v>121316.19</v>
          </cell>
          <cell r="AL12">
            <v>381293.33999999997</v>
          </cell>
          <cell r="AM12">
            <v>4776963</v>
          </cell>
          <cell r="AN12">
            <v>70703488.75</v>
          </cell>
          <cell r="AO12">
            <v>9727543.0499999989</v>
          </cell>
          <cell r="AP12">
            <v>968548.16999999981</v>
          </cell>
          <cell r="AQ12">
            <v>446782</v>
          </cell>
          <cell r="AR12">
            <v>805314</v>
          </cell>
          <cell r="AS12">
            <v>3087674.7299999995</v>
          </cell>
          <cell r="AT12">
            <v>549977.22</v>
          </cell>
          <cell r="AU12">
            <v>658998.95000000007</v>
          </cell>
          <cell r="AV12">
            <v>4192140.6499999994</v>
          </cell>
          <cell r="AW12">
            <v>387103.68</v>
          </cell>
          <cell r="AX12">
            <v>1860208</v>
          </cell>
          <cell r="AY12">
            <v>1832656.33</v>
          </cell>
          <cell r="AZ12">
            <v>3511850.71</v>
          </cell>
          <cell r="BA12">
            <v>479094.4</v>
          </cell>
          <cell r="BB12">
            <v>1084661.0100000002</v>
          </cell>
          <cell r="BC12">
            <v>995551.38</v>
          </cell>
          <cell r="BD12">
            <v>621844.16</v>
          </cell>
          <cell r="BE12">
            <v>1894320.33</v>
          </cell>
          <cell r="BF12">
            <v>623837.46</v>
          </cell>
          <cell r="BG12">
            <v>978722.94000000006</v>
          </cell>
          <cell r="BH12">
            <v>2009761.9</v>
          </cell>
          <cell r="BI12">
            <v>515262.26</v>
          </cell>
          <cell r="BJ12">
            <v>461694.48000000004</v>
          </cell>
          <cell r="BK12">
            <v>2113910.1100000003</v>
          </cell>
          <cell r="BL12">
            <v>12945588.65</v>
          </cell>
          <cell r="BM12">
            <v>1092082.6200000001</v>
          </cell>
          <cell r="BN12">
            <v>373234.98</v>
          </cell>
          <cell r="BO12">
            <v>431612.26000000007</v>
          </cell>
          <cell r="BP12">
            <v>261498.87999999998</v>
          </cell>
          <cell r="BQ12">
            <v>768047.66000000015</v>
          </cell>
          <cell r="BR12">
            <v>1894821.3599999999</v>
          </cell>
          <cell r="BS12">
            <v>602997.35</v>
          </cell>
          <cell r="BT12">
            <v>28198321.240000002</v>
          </cell>
          <cell r="BU12">
            <v>5626747</v>
          </cell>
          <cell r="BV12">
            <v>861285.21000000008</v>
          </cell>
          <cell r="BW12">
            <v>2506558</v>
          </cell>
          <cell r="BX12">
            <v>1293239.1900000002</v>
          </cell>
          <cell r="BY12">
            <v>313369.71000000002</v>
          </cell>
          <cell r="BZ12">
            <v>361758</v>
          </cell>
          <cell r="CA12">
            <v>1187913</v>
          </cell>
          <cell r="CB12">
            <v>2827854.41</v>
          </cell>
          <cell r="CC12">
            <v>620989.22</v>
          </cell>
        </row>
        <row r="13">
          <cell r="I13">
            <v>16249.3</v>
          </cell>
          <cell r="J13">
            <v>0</v>
          </cell>
          <cell r="K13">
            <v>216776</v>
          </cell>
          <cell r="L13">
            <v>45691.3</v>
          </cell>
          <cell r="M13">
            <v>37975.599999999999</v>
          </cell>
          <cell r="N13">
            <v>13795.33</v>
          </cell>
          <cell r="O13">
            <v>116296.37</v>
          </cell>
          <cell r="P13">
            <v>22684.629999999997</v>
          </cell>
          <cell r="Q13">
            <v>25575.03</v>
          </cell>
          <cell r="R13">
            <v>415</v>
          </cell>
          <cell r="S13">
            <v>152918.32999999999</v>
          </cell>
          <cell r="T13">
            <v>4809.26</v>
          </cell>
          <cell r="U13">
            <v>10216.43</v>
          </cell>
          <cell r="V13">
            <v>0</v>
          </cell>
          <cell r="W13">
            <v>129443.96</v>
          </cell>
          <cell r="X13">
            <v>48191.98</v>
          </cell>
          <cell r="Y13">
            <v>31620.769999999997</v>
          </cell>
          <cell r="Z13">
            <v>0</v>
          </cell>
          <cell r="AA13">
            <v>7209.1</v>
          </cell>
          <cell r="AB13">
            <v>6776.62</v>
          </cell>
          <cell r="AC13">
            <v>4870.17</v>
          </cell>
          <cell r="AD13">
            <v>0</v>
          </cell>
          <cell r="AE13">
            <v>0</v>
          </cell>
          <cell r="AF13">
            <v>28013.33</v>
          </cell>
          <cell r="AG13">
            <v>69254.259999999995</v>
          </cell>
          <cell r="AH13">
            <v>0</v>
          </cell>
          <cell r="AI13">
            <v>0</v>
          </cell>
          <cell r="AJ13">
            <v>0</v>
          </cell>
          <cell r="AK13">
            <v>0</v>
          </cell>
          <cell r="AL13">
            <v>125</v>
          </cell>
          <cell r="AM13">
            <v>599269</v>
          </cell>
          <cell r="AN13">
            <v>1763429.32</v>
          </cell>
          <cell r="AO13">
            <v>5351620.7</v>
          </cell>
          <cell r="AP13">
            <v>5418.65</v>
          </cell>
          <cell r="AQ13">
            <v>0</v>
          </cell>
          <cell r="AR13">
            <v>112085</v>
          </cell>
          <cell r="AS13">
            <v>218137.79</v>
          </cell>
          <cell r="AT13">
            <v>18330.63</v>
          </cell>
          <cell r="AU13">
            <v>20394.14</v>
          </cell>
          <cell r="AV13">
            <v>147949.53</v>
          </cell>
          <cell r="AW13">
            <v>3070.2</v>
          </cell>
          <cell r="AX13">
            <v>11752</v>
          </cell>
          <cell r="AY13">
            <v>294187</v>
          </cell>
          <cell r="AZ13">
            <v>81553.81</v>
          </cell>
          <cell r="BA13">
            <v>331.43</v>
          </cell>
          <cell r="BB13">
            <v>8393.0499999999993</v>
          </cell>
          <cell r="BC13">
            <v>0</v>
          </cell>
          <cell r="BD13">
            <v>0</v>
          </cell>
          <cell r="BE13">
            <v>191114.49</v>
          </cell>
          <cell r="BF13">
            <v>22990.080000000002</v>
          </cell>
          <cell r="BG13">
            <v>18120.97</v>
          </cell>
          <cell r="BH13">
            <v>1001313.2</v>
          </cell>
          <cell r="BI13">
            <v>52863.51</v>
          </cell>
          <cell r="BJ13">
            <v>22183.21</v>
          </cell>
          <cell r="BK13">
            <v>0</v>
          </cell>
          <cell r="BL13">
            <v>1498716.7</v>
          </cell>
          <cell r="BM13">
            <v>501391.03</v>
          </cell>
          <cell r="BN13">
            <v>1285.8699999999999</v>
          </cell>
          <cell r="BO13">
            <v>7873.88</v>
          </cell>
          <cell r="BP13">
            <v>0</v>
          </cell>
          <cell r="BQ13">
            <v>410</v>
          </cell>
          <cell r="BR13">
            <v>7630.92</v>
          </cell>
          <cell r="BS13">
            <v>0</v>
          </cell>
          <cell r="BT13">
            <v>2855212.48</v>
          </cell>
          <cell r="BU13">
            <v>192025</v>
          </cell>
          <cell r="BV13">
            <v>4803.58</v>
          </cell>
          <cell r="BW13">
            <v>193418</v>
          </cell>
          <cell r="BX13">
            <v>68802.850000000006</v>
          </cell>
          <cell r="BY13">
            <v>6667.99</v>
          </cell>
          <cell r="BZ13">
            <v>9782</v>
          </cell>
          <cell r="CA13">
            <v>11983</v>
          </cell>
          <cell r="CB13">
            <v>63609.3</v>
          </cell>
          <cell r="CC13">
            <v>12457.96</v>
          </cell>
        </row>
        <row r="14">
          <cell r="I14">
            <v>3973378.3600000003</v>
          </cell>
          <cell r="J14">
            <v>416178.72</v>
          </cell>
          <cell r="K14">
            <v>6165616</v>
          </cell>
          <cell r="L14">
            <v>1366362.02</v>
          </cell>
          <cell r="M14">
            <v>3173458.2099999995</v>
          </cell>
          <cell r="N14">
            <v>5698955.5900000008</v>
          </cell>
          <cell r="O14">
            <v>7804988.3799999999</v>
          </cell>
          <cell r="P14">
            <v>3234520.399999999</v>
          </cell>
          <cell r="Q14">
            <v>947276.16</v>
          </cell>
          <cell r="R14">
            <v>286067.73</v>
          </cell>
          <cell r="S14">
            <v>1344069.0999999999</v>
          </cell>
          <cell r="T14">
            <v>319446.40000000002</v>
          </cell>
          <cell r="U14">
            <v>959794.25999999989</v>
          </cell>
          <cell r="V14">
            <v>24415872.07</v>
          </cell>
          <cell r="W14">
            <v>3686231.7199999997</v>
          </cell>
          <cell r="X14">
            <v>16537941.620000001</v>
          </cell>
          <cell r="Y14">
            <v>3612991.43</v>
          </cell>
          <cell r="Z14">
            <v>304561.88</v>
          </cell>
          <cell r="AA14">
            <v>2383191.58</v>
          </cell>
          <cell r="AB14">
            <v>1639142.1700000004</v>
          </cell>
          <cell r="AC14">
            <v>744948.6100000001</v>
          </cell>
          <cell r="AD14">
            <v>1600550.0600000005</v>
          </cell>
          <cell r="AE14">
            <v>1083191.5899999999</v>
          </cell>
          <cell r="AF14">
            <v>6043471.6699999999</v>
          </cell>
          <cell r="AG14">
            <v>2077923.48</v>
          </cell>
          <cell r="AH14">
            <v>2252220</v>
          </cell>
          <cell r="AI14">
            <v>170494.44</v>
          </cell>
          <cell r="AJ14">
            <v>16094086.549999997</v>
          </cell>
          <cell r="AK14">
            <v>240412.79000000004</v>
          </cell>
          <cell r="AL14">
            <v>399127.83999999997</v>
          </cell>
          <cell r="AM14">
            <v>7348362</v>
          </cell>
          <cell r="AN14">
            <v>133977092.14000002</v>
          </cell>
          <cell r="AO14">
            <v>29937302.52</v>
          </cell>
          <cell r="AP14">
            <v>2110692.89</v>
          </cell>
          <cell r="AQ14">
            <v>790905</v>
          </cell>
          <cell r="AR14">
            <v>1612790</v>
          </cell>
          <cell r="AS14">
            <v>2368526.3199999998</v>
          </cell>
          <cell r="AT14">
            <v>1017433.94</v>
          </cell>
          <cell r="AU14">
            <v>1574278.39</v>
          </cell>
          <cell r="AV14">
            <v>10607548.449999999</v>
          </cell>
          <cell r="AW14">
            <v>840448.30000000016</v>
          </cell>
          <cell r="AX14">
            <v>2885496</v>
          </cell>
          <cell r="AY14">
            <v>2521986.02</v>
          </cell>
          <cell r="AZ14">
            <v>3471866.5199999996</v>
          </cell>
          <cell r="BA14">
            <v>710878.59</v>
          </cell>
          <cell r="BB14">
            <v>2389741.73</v>
          </cell>
          <cell r="BC14">
            <v>2254245.41</v>
          </cell>
          <cell r="BD14">
            <v>835694.25000000012</v>
          </cell>
          <cell r="BE14">
            <v>4485311.4799999995</v>
          </cell>
          <cell r="BF14">
            <v>1578503.9</v>
          </cell>
          <cell r="BG14">
            <v>1525989.54</v>
          </cell>
          <cell r="BH14">
            <v>5109154.6399999997</v>
          </cell>
          <cell r="BI14">
            <v>1020522.38</v>
          </cell>
          <cell r="BJ14">
            <v>696203.11</v>
          </cell>
          <cell r="BK14">
            <v>2661631.96</v>
          </cell>
          <cell r="BL14">
            <v>33332137.309999999</v>
          </cell>
          <cell r="BM14">
            <v>4224968.97</v>
          </cell>
          <cell r="BN14">
            <v>427564.79</v>
          </cell>
          <cell r="BO14">
            <v>713419.51</v>
          </cell>
          <cell r="BP14">
            <v>346748.95999999996</v>
          </cell>
          <cell r="BQ14">
            <v>1861246.5100000002</v>
          </cell>
          <cell r="BR14">
            <v>3896977.7599999993</v>
          </cell>
          <cell r="BS14">
            <v>1010446.2700000001</v>
          </cell>
          <cell r="BT14">
            <v>72906649.099999994</v>
          </cell>
          <cell r="BU14">
            <v>9809527</v>
          </cell>
          <cell r="BV14">
            <v>1040668.76</v>
          </cell>
          <cell r="BW14">
            <v>2597198</v>
          </cell>
          <cell r="BX14">
            <v>1735438.5999999996</v>
          </cell>
          <cell r="BY14">
            <v>776385.57000000007</v>
          </cell>
          <cell r="BZ14">
            <v>964520</v>
          </cell>
          <cell r="CA14">
            <v>2158231</v>
          </cell>
          <cell r="CB14">
            <v>3207277.0300000003</v>
          </cell>
          <cell r="CC14">
            <v>1911309.7100000002</v>
          </cell>
        </row>
        <row r="15">
          <cell r="I15">
            <v>37634.22</v>
          </cell>
          <cell r="J15">
            <v>17558.36</v>
          </cell>
          <cell r="K15">
            <v>146286</v>
          </cell>
          <cell r="L15">
            <v>0</v>
          </cell>
          <cell r="M15">
            <v>97969.38</v>
          </cell>
          <cell r="N15">
            <v>91972.38</v>
          </cell>
          <cell r="O15">
            <v>21410.26</v>
          </cell>
          <cell r="P15">
            <v>77756.72</v>
          </cell>
          <cell r="Q15">
            <v>15944</v>
          </cell>
          <cell r="R15">
            <v>14490.62</v>
          </cell>
          <cell r="S15">
            <v>28887.21</v>
          </cell>
          <cell r="T15">
            <v>1499</v>
          </cell>
          <cell r="U15">
            <v>32512.75</v>
          </cell>
          <cell r="V15">
            <v>0</v>
          </cell>
          <cell r="W15">
            <v>95721.35</v>
          </cell>
          <cell r="X15">
            <v>381526.18</v>
          </cell>
          <cell r="Y15">
            <v>26188.67</v>
          </cell>
          <cell r="Z15">
            <v>5239</v>
          </cell>
          <cell r="AA15">
            <v>16983.57</v>
          </cell>
          <cell r="AB15">
            <v>29277.24</v>
          </cell>
          <cell r="AC15">
            <v>18365.439999999999</v>
          </cell>
          <cell r="AD15">
            <v>0</v>
          </cell>
          <cell r="AE15">
            <v>27970.17</v>
          </cell>
          <cell r="AF15">
            <v>129822.33</v>
          </cell>
          <cell r="AG15">
            <v>22892.84</v>
          </cell>
          <cell r="AH15">
            <v>44591</v>
          </cell>
          <cell r="AI15">
            <v>601.55999999999995</v>
          </cell>
          <cell r="AJ15">
            <v>130054.23</v>
          </cell>
          <cell r="AK15">
            <v>4304.45</v>
          </cell>
          <cell r="AL15">
            <v>3836.44</v>
          </cell>
          <cell r="AM15">
            <v>0</v>
          </cell>
          <cell r="AN15">
            <v>2761954.19</v>
          </cell>
          <cell r="AO15">
            <v>697822.12</v>
          </cell>
          <cell r="AP15">
            <v>37046.160000000003</v>
          </cell>
          <cell r="AQ15">
            <v>27971</v>
          </cell>
          <cell r="AR15">
            <v>225001</v>
          </cell>
          <cell r="AS15">
            <v>275078.15999999997</v>
          </cell>
          <cell r="AT15">
            <v>28352</v>
          </cell>
          <cell r="AU15">
            <v>44529.03</v>
          </cell>
          <cell r="AV15">
            <v>456678.97</v>
          </cell>
          <cell r="AW15">
            <v>29873.88</v>
          </cell>
          <cell r="AX15">
            <v>73741</v>
          </cell>
          <cell r="AY15">
            <v>0</v>
          </cell>
          <cell r="AZ15">
            <v>284891.96000000002</v>
          </cell>
          <cell r="BA15">
            <v>27669.599999999999</v>
          </cell>
          <cell r="BB15">
            <v>37799.480000000003</v>
          </cell>
          <cell r="BC15">
            <v>126561.55</v>
          </cell>
          <cell r="BD15">
            <v>37506.720000000001</v>
          </cell>
          <cell r="BE15">
            <v>62933.97</v>
          </cell>
          <cell r="BF15">
            <v>29682.639999999999</v>
          </cell>
          <cell r="BG15">
            <v>39328.589999999997</v>
          </cell>
          <cell r="BH15">
            <v>143142.57</v>
          </cell>
          <cell r="BI15">
            <v>6472.1</v>
          </cell>
          <cell r="BJ15">
            <v>0</v>
          </cell>
          <cell r="BK15">
            <v>95979.6</v>
          </cell>
          <cell r="BL15">
            <v>0</v>
          </cell>
          <cell r="BM15">
            <v>147363.04999999999</v>
          </cell>
          <cell r="BN15">
            <v>1356.85</v>
          </cell>
          <cell r="BO15">
            <v>14340.18</v>
          </cell>
          <cell r="BP15">
            <v>21584.06</v>
          </cell>
          <cell r="BQ15">
            <v>44891.47</v>
          </cell>
          <cell r="BR15">
            <v>37546.42</v>
          </cell>
          <cell r="BS15">
            <v>0</v>
          </cell>
          <cell r="BT15">
            <v>2051966.23</v>
          </cell>
          <cell r="BU15">
            <v>174308</v>
          </cell>
          <cell r="BV15">
            <v>13053.96</v>
          </cell>
          <cell r="BW15">
            <v>0</v>
          </cell>
          <cell r="BX15">
            <v>0</v>
          </cell>
          <cell r="BY15">
            <v>33665.160000000003</v>
          </cell>
          <cell r="BZ15">
            <v>26442</v>
          </cell>
          <cell r="CA15">
            <v>99604</v>
          </cell>
          <cell r="CB15">
            <v>78049.73</v>
          </cell>
          <cell r="CC15">
            <v>27823.62</v>
          </cell>
        </row>
        <row r="16">
          <cell r="I16">
            <v>0</v>
          </cell>
          <cell r="J16">
            <v>0</v>
          </cell>
          <cell r="K16">
            <v>0</v>
          </cell>
          <cell r="L16">
            <v>2618.75</v>
          </cell>
          <cell r="M16">
            <v>0</v>
          </cell>
          <cell r="N16">
            <v>0</v>
          </cell>
          <cell r="O16">
            <v>0</v>
          </cell>
          <cell r="P16">
            <v>0</v>
          </cell>
          <cell r="Q16">
            <v>0</v>
          </cell>
          <cell r="R16">
            <v>0</v>
          </cell>
          <cell r="S16">
            <v>0</v>
          </cell>
          <cell r="T16">
            <v>0</v>
          </cell>
          <cell r="U16">
            <v>0</v>
          </cell>
          <cell r="V16">
            <v>0</v>
          </cell>
          <cell r="W16">
            <v>0</v>
          </cell>
          <cell r="X16">
            <v>0</v>
          </cell>
          <cell r="Y16">
            <v>11797.37</v>
          </cell>
          <cell r="Z16">
            <v>0</v>
          </cell>
          <cell r="AA16">
            <v>1241.95</v>
          </cell>
          <cell r="AB16">
            <v>0</v>
          </cell>
          <cell r="AC16">
            <v>0</v>
          </cell>
          <cell r="AD16">
            <v>0</v>
          </cell>
          <cell r="AE16">
            <v>0</v>
          </cell>
          <cell r="AF16">
            <v>21930.47</v>
          </cell>
          <cell r="AG16">
            <v>0</v>
          </cell>
          <cell r="AH16">
            <v>0</v>
          </cell>
          <cell r="AI16">
            <v>0</v>
          </cell>
          <cell r="AJ16">
            <v>0</v>
          </cell>
          <cell r="AK16">
            <v>0</v>
          </cell>
          <cell r="AL16">
            <v>0</v>
          </cell>
          <cell r="AM16">
            <v>0</v>
          </cell>
          <cell r="AN16">
            <v>0</v>
          </cell>
          <cell r="AO16">
            <v>577.39</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96919.6</v>
          </cell>
          <cell r="BS16">
            <v>0</v>
          </cell>
          <cell r="BT16">
            <v>0</v>
          </cell>
          <cell r="BU16">
            <v>0</v>
          </cell>
          <cell r="BV16">
            <v>0</v>
          </cell>
          <cell r="BW16">
            <v>0</v>
          </cell>
          <cell r="BX16">
            <v>1239.04</v>
          </cell>
          <cell r="BY16">
            <v>0</v>
          </cell>
          <cell r="BZ16">
            <v>3032</v>
          </cell>
          <cell r="CA16">
            <v>0</v>
          </cell>
          <cell r="CB16">
            <v>0</v>
          </cell>
          <cell r="CC16">
            <v>0</v>
          </cell>
        </row>
        <row r="20">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row>
        <row r="21">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row>
        <row r="22">
          <cell r="I22">
            <v>2354</v>
          </cell>
          <cell r="J22">
            <v>0</v>
          </cell>
          <cell r="K22">
            <v>0</v>
          </cell>
          <cell r="L22">
            <v>69762</v>
          </cell>
          <cell r="M22">
            <v>145107</v>
          </cell>
          <cell r="N22">
            <v>0</v>
          </cell>
          <cell r="O22">
            <v>253847</v>
          </cell>
          <cell r="P22">
            <v>0</v>
          </cell>
          <cell r="Q22">
            <v>0</v>
          </cell>
          <cell r="R22">
            <v>0</v>
          </cell>
          <cell r="S22">
            <v>0</v>
          </cell>
          <cell r="T22">
            <v>0</v>
          </cell>
          <cell r="U22">
            <v>0</v>
          </cell>
          <cell r="V22">
            <v>0</v>
          </cell>
          <cell r="W22">
            <v>0</v>
          </cell>
          <cell r="X22">
            <v>119709</v>
          </cell>
          <cell r="Y22">
            <v>0</v>
          </cell>
          <cell r="Z22">
            <v>0</v>
          </cell>
          <cell r="AA22">
            <v>0</v>
          </cell>
          <cell r="AB22">
            <v>0</v>
          </cell>
          <cell r="AC22">
            <v>13608</v>
          </cell>
          <cell r="AD22">
            <v>0</v>
          </cell>
          <cell r="AE22">
            <v>0</v>
          </cell>
          <cell r="AF22">
            <v>0</v>
          </cell>
          <cell r="AG22">
            <v>0</v>
          </cell>
          <cell r="AH22">
            <v>0</v>
          </cell>
          <cell r="AI22">
            <v>0</v>
          </cell>
          <cell r="AJ22">
            <v>0</v>
          </cell>
          <cell r="AK22">
            <v>0</v>
          </cell>
          <cell r="AL22">
            <v>8372</v>
          </cell>
          <cell r="AM22">
            <v>148046</v>
          </cell>
          <cell r="AN22">
            <v>1683231</v>
          </cell>
          <cell r="AO22">
            <v>333091</v>
          </cell>
          <cell r="AP22">
            <v>0</v>
          </cell>
          <cell r="AQ22">
            <v>15121</v>
          </cell>
          <cell r="AR22">
            <v>0</v>
          </cell>
          <cell r="AS22">
            <v>1430111</v>
          </cell>
          <cell r="AT22">
            <v>0</v>
          </cell>
          <cell r="AU22">
            <v>0</v>
          </cell>
          <cell r="AV22">
            <v>0</v>
          </cell>
          <cell r="AW22">
            <v>0</v>
          </cell>
          <cell r="AX22">
            <v>0</v>
          </cell>
          <cell r="AY22">
            <v>0</v>
          </cell>
          <cell r="AZ22">
            <v>154433</v>
          </cell>
          <cell r="BA22">
            <v>54895</v>
          </cell>
          <cell r="BB22">
            <v>9151</v>
          </cell>
          <cell r="BC22">
            <v>0</v>
          </cell>
          <cell r="BD22">
            <v>21039</v>
          </cell>
          <cell r="BE22">
            <v>292470</v>
          </cell>
          <cell r="BF22">
            <v>0</v>
          </cell>
          <cell r="BG22">
            <v>0</v>
          </cell>
          <cell r="BH22">
            <v>0</v>
          </cell>
          <cell r="BI22">
            <v>0</v>
          </cell>
          <cell r="BJ22">
            <v>0</v>
          </cell>
          <cell r="BK22">
            <v>0</v>
          </cell>
          <cell r="BL22">
            <v>628813</v>
          </cell>
          <cell r="BM22">
            <v>465196</v>
          </cell>
          <cell r="BN22">
            <v>0</v>
          </cell>
          <cell r="BO22">
            <v>0</v>
          </cell>
          <cell r="BP22">
            <v>0</v>
          </cell>
          <cell r="BQ22">
            <v>0</v>
          </cell>
          <cell r="BR22">
            <v>0</v>
          </cell>
          <cell r="BS22">
            <v>0</v>
          </cell>
          <cell r="BT22">
            <v>0</v>
          </cell>
          <cell r="BU22">
            <v>88111</v>
          </cell>
          <cell r="BV22">
            <v>0</v>
          </cell>
          <cell r="BW22">
            <v>170365</v>
          </cell>
          <cell r="BX22">
            <v>0</v>
          </cell>
          <cell r="BY22">
            <v>0</v>
          </cell>
          <cell r="BZ22">
            <v>0</v>
          </cell>
          <cell r="CA22">
            <v>0</v>
          </cell>
          <cell r="CB22">
            <v>0</v>
          </cell>
          <cell r="CC22">
            <v>0</v>
          </cell>
        </row>
        <row r="23">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row>
        <row r="24">
          <cell r="I24">
            <v>0</v>
          </cell>
          <cell r="J24">
            <v>0</v>
          </cell>
          <cell r="K24">
            <v>72453.429999999935</v>
          </cell>
          <cell r="L24">
            <v>0</v>
          </cell>
          <cell r="M24">
            <v>0</v>
          </cell>
          <cell r="N24">
            <v>0</v>
          </cell>
          <cell r="O24">
            <v>19229.88</v>
          </cell>
          <cell r="P24">
            <v>5178.4699999999993</v>
          </cell>
          <cell r="Q24">
            <v>40214.920000000006</v>
          </cell>
          <cell r="R24">
            <v>0</v>
          </cell>
          <cell r="S24">
            <v>58949.58</v>
          </cell>
          <cell r="T24">
            <v>5649.6399999999994</v>
          </cell>
          <cell r="U24">
            <v>30038.930000000008</v>
          </cell>
          <cell r="V24">
            <v>0</v>
          </cell>
          <cell r="W24">
            <v>177330.09</v>
          </cell>
          <cell r="X24">
            <v>0</v>
          </cell>
          <cell r="Y24">
            <v>28648.460000000003</v>
          </cell>
          <cell r="Z24">
            <v>86210.39049999998</v>
          </cell>
          <cell r="AA24">
            <v>77368.44</v>
          </cell>
          <cell r="AB24">
            <v>43584.3</v>
          </cell>
          <cell r="AC24">
            <v>0</v>
          </cell>
          <cell r="AD24">
            <v>65729.979999999938</v>
          </cell>
          <cell r="AE24">
            <v>0</v>
          </cell>
          <cell r="AF24">
            <v>14312.590000000002</v>
          </cell>
          <cell r="AG24">
            <v>113584.06999999999</v>
          </cell>
          <cell r="AH24">
            <v>0</v>
          </cell>
          <cell r="AI24">
            <v>10356.94</v>
          </cell>
          <cell r="AJ24">
            <v>83954.809999999983</v>
          </cell>
          <cell r="AK24">
            <v>114371.94999999998</v>
          </cell>
          <cell r="AL24">
            <v>5650.08</v>
          </cell>
          <cell r="AM24">
            <v>0</v>
          </cell>
          <cell r="AN24">
            <v>0</v>
          </cell>
          <cell r="AO24">
            <v>231142.14899999986</v>
          </cell>
          <cell r="AP24">
            <v>76451.67</v>
          </cell>
          <cell r="AQ24">
            <v>0</v>
          </cell>
          <cell r="AR24">
            <v>0</v>
          </cell>
          <cell r="AS24">
            <v>0</v>
          </cell>
          <cell r="AT24">
            <v>0</v>
          </cell>
          <cell r="AU24">
            <v>332579.1599999998</v>
          </cell>
          <cell r="AV24">
            <v>24168.559999999979</v>
          </cell>
          <cell r="AW24">
            <v>54280.069999999992</v>
          </cell>
          <cell r="AX24">
            <v>0</v>
          </cell>
          <cell r="AY24">
            <v>16951.890000000003</v>
          </cell>
          <cell r="AZ24">
            <v>104493.10999999999</v>
          </cell>
          <cell r="BA24">
            <v>0</v>
          </cell>
          <cell r="BB24">
            <v>136357.40000000002</v>
          </cell>
          <cell r="BC24">
            <v>0</v>
          </cell>
          <cell r="BD24">
            <v>72962.829000000012</v>
          </cell>
          <cell r="BE24">
            <v>0</v>
          </cell>
          <cell r="BF24">
            <v>37669.25</v>
          </cell>
          <cell r="BG24">
            <v>0</v>
          </cell>
          <cell r="BH24">
            <v>0</v>
          </cell>
          <cell r="BI24">
            <v>83192.179999999964</v>
          </cell>
          <cell r="BJ24">
            <v>0</v>
          </cell>
          <cell r="BK24">
            <v>49947.09</v>
          </cell>
          <cell r="BL24">
            <v>108444.71999999999</v>
          </cell>
          <cell r="BM24">
            <v>0</v>
          </cell>
          <cell r="BN24">
            <v>16948.919999999998</v>
          </cell>
          <cell r="BO24">
            <v>47437.19</v>
          </cell>
          <cell r="BP24">
            <v>10358.92</v>
          </cell>
          <cell r="BQ24">
            <v>0</v>
          </cell>
          <cell r="BR24">
            <v>0</v>
          </cell>
          <cell r="BS24">
            <v>0</v>
          </cell>
          <cell r="BT24">
            <v>141253.25999999995</v>
          </cell>
          <cell r="BU24">
            <v>351363.8899999999</v>
          </cell>
          <cell r="BV24">
            <v>14429.29</v>
          </cell>
          <cell r="BW24">
            <v>10358.919999999998</v>
          </cell>
          <cell r="BX24">
            <v>0</v>
          </cell>
          <cell r="BY24">
            <v>6431.8600000000006</v>
          </cell>
          <cell r="BZ24">
            <v>0</v>
          </cell>
          <cell r="CA24">
            <v>112262.94</v>
          </cell>
          <cell r="CB24">
            <v>0</v>
          </cell>
          <cell r="CC24">
            <v>0</v>
          </cell>
        </row>
        <row r="25">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row>
        <row r="26">
          <cell r="I26">
            <v>9344954.1799999997</v>
          </cell>
          <cell r="J26">
            <v>1276678.8620189745</v>
          </cell>
          <cell r="K26">
            <v>10898384.141100001</v>
          </cell>
          <cell r="L26">
            <v>4034569.8598999996</v>
          </cell>
          <cell r="M26">
            <v>7799196.1700000009</v>
          </cell>
          <cell r="N26">
            <v>15294576.514500001</v>
          </cell>
          <cell r="O26">
            <v>13013047.5408</v>
          </cell>
          <cell r="P26">
            <v>7763192.21</v>
          </cell>
          <cell r="Q26">
            <v>2177202.6799999997</v>
          </cell>
          <cell r="R26">
            <v>631919.04020000005</v>
          </cell>
          <cell r="S26">
            <v>4546539.3312999988</v>
          </cell>
          <cell r="T26">
            <v>527730.87000000011</v>
          </cell>
          <cell r="U26">
            <v>2301328.5700000003</v>
          </cell>
          <cell r="V26">
            <v>50243869.109999999</v>
          </cell>
          <cell r="W26">
            <v>7989409.8829510966</v>
          </cell>
          <cell r="X26">
            <v>25470629.300000001</v>
          </cell>
          <cell r="Y26">
            <v>4853651.0199999996</v>
          </cell>
          <cell r="Z26">
            <v>1305450.9510999999</v>
          </cell>
          <cell r="AA26">
            <v>6034094.5385246938</v>
          </cell>
          <cell r="AB26">
            <v>4528911.2516520014</v>
          </cell>
          <cell r="AC26">
            <v>1519108.3457000002</v>
          </cell>
          <cell r="AD26">
            <v>12803057.430000002</v>
          </cell>
          <cell r="AE26">
            <v>2862102.4245000002</v>
          </cell>
          <cell r="AF26">
            <v>13183392.096979281</v>
          </cell>
          <cell r="AG26">
            <v>8017287.1363000004</v>
          </cell>
          <cell r="AH26">
            <v>5536316.9132676758</v>
          </cell>
          <cell r="AI26">
            <v>823872.43</v>
          </cell>
          <cell r="AJ26">
            <v>46250267.03303086</v>
          </cell>
          <cell r="AK26">
            <v>488455.44569999998</v>
          </cell>
          <cell r="AL26">
            <v>964305.59680000006</v>
          </cell>
          <cell r="AM26">
            <v>19523281.629999999</v>
          </cell>
          <cell r="AN26">
            <v>509039133.18000001</v>
          </cell>
          <cell r="AO26">
            <v>69443905.36649999</v>
          </cell>
          <cell r="AP26">
            <v>4715317.5844999999</v>
          </cell>
          <cell r="AQ26">
            <v>1805783.18</v>
          </cell>
          <cell r="AR26">
            <v>5873203</v>
          </cell>
          <cell r="AS26">
            <v>13712945.107607372</v>
          </cell>
          <cell r="AT26">
            <v>2112425.5151000004</v>
          </cell>
          <cell r="AU26">
            <v>3094802.2394999997</v>
          </cell>
          <cell r="AV26">
            <v>29512195.462994259</v>
          </cell>
          <cell r="AW26">
            <v>2282498.9339000001</v>
          </cell>
          <cell r="AX26">
            <v>6718637</v>
          </cell>
          <cell r="AY26">
            <v>6631888.0200000005</v>
          </cell>
          <cell r="AZ26">
            <v>14194449.67</v>
          </cell>
          <cell r="BA26">
            <v>1956395.799502</v>
          </cell>
          <cell r="BB26">
            <v>5957976.0117999995</v>
          </cell>
          <cell r="BC26">
            <v>5223313.1300000008</v>
          </cell>
          <cell r="BD26">
            <v>2463137.0425</v>
          </cell>
          <cell r="BE26">
            <v>13122737.663600001</v>
          </cell>
          <cell r="BF26">
            <v>3031389.2965463437</v>
          </cell>
          <cell r="BG26">
            <v>4587512.6666000001</v>
          </cell>
          <cell r="BH26">
            <v>10665324</v>
          </cell>
          <cell r="BI26">
            <v>2683611.0800000005</v>
          </cell>
          <cell r="BJ26">
            <v>1362932.92</v>
          </cell>
          <cell r="BK26">
            <v>6408729.4408</v>
          </cell>
          <cell r="BL26">
            <v>72205853.489759102</v>
          </cell>
          <cell r="BM26">
            <v>9300317.7226000018</v>
          </cell>
          <cell r="BN26">
            <v>1193548.1199999999</v>
          </cell>
          <cell r="BO26">
            <v>1743358.5176000001</v>
          </cell>
          <cell r="BP26">
            <v>1382138.8795147727</v>
          </cell>
          <cell r="BQ26">
            <v>4701995.9970000004</v>
          </cell>
          <cell r="BR26">
            <v>12111748.147100002</v>
          </cell>
          <cell r="BS26">
            <v>2366184.4</v>
          </cell>
          <cell r="BT26">
            <v>211458815.23999995</v>
          </cell>
          <cell r="BU26">
            <v>24873631.116302464</v>
          </cell>
          <cell r="BV26">
            <v>2626598.7999776108</v>
          </cell>
          <cell r="BW26">
            <v>9445450.0156999994</v>
          </cell>
          <cell r="BX26">
            <v>5879789.7389000002</v>
          </cell>
          <cell r="BY26">
            <v>1524560.8125</v>
          </cell>
          <cell r="BZ26">
            <v>1660820</v>
          </cell>
          <cell r="CA26">
            <v>4568604.3899999997</v>
          </cell>
          <cell r="CB26">
            <v>8762357.8399999999</v>
          </cell>
          <cell r="CC26">
            <v>3717434.6600000006</v>
          </cell>
        </row>
        <row r="27">
          <cell r="I27">
            <v>0.13282370769304414</v>
          </cell>
          <cell r="J27">
            <v>-0.21307802304680776</v>
          </cell>
          <cell r="K27">
            <v>9.4815478285627613E-2</v>
          </cell>
          <cell r="L27">
            <v>-3.4150589590093379E-2</v>
          </cell>
          <cell r="M27">
            <v>0.11246286306894403</v>
          </cell>
          <cell r="N27">
            <v>9.2322059926301034E-2</v>
          </cell>
          <cell r="O27">
            <v>7.9983498892207863E-2</v>
          </cell>
          <cell r="P27">
            <v>8.7689989097750734E-2</v>
          </cell>
          <cell r="Q27">
            <v>-6.0927739558777415E-2</v>
          </cell>
          <cell r="R27">
            <v>-3.356007132776426E-3</v>
          </cell>
          <cell r="S27">
            <v>-2.4083382893199692E-2</v>
          </cell>
          <cell r="T27">
            <v>0.18444715785398072</v>
          </cell>
          <cell r="U27">
            <v>-2.192132743460095E-2</v>
          </cell>
          <cell r="V27">
            <v>5.3040178886350937E-2</v>
          </cell>
          <cell r="W27">
            <v>0.16054362618289225</v>
          </cell>
          <cell r="X27">
            <v>-0.16891818711558429</v>
          </cell>
          <cell r="Y27">
            <v>0.12582230751203355</v>
          </cell>
          <cell r="Z27">
            <v>-7.7542914154311382E-3</v>
          </cell>
          <cell r="AA27">
            <v>-2.4849973935081072E-2</v>
          </cell>
          <cell r="AB27">
            <v>8.3515149635764327E-2</v>
          </cell>
          <cell r="AC27">
            <v>-6.1658065058106518E-2</v>
          </cell>
          <cell r="AD27">
            <v>-0.14449000648125718</v>
          </cell>
          <cell r="AE27">
            <v>-7.5732326164647104E-2</v>
          </cell>
          <cell r="AF27">
            <v>0.11363750237260931</v>
          </cell>
          <cell r="AG27">
            <v>-7.9424415805451579E-2</v>
          </cell>
          <cell r="AH27">
            <v>-0.13827839449170917</v>
          </cell>
          <cell r="AI27">
            <v>8.3605609506110755E-3</v>
          </cell>
          <cell r="AJ27">
            <v>0.15065545856147089</v>
          </cell>
          <cell r="AK27">
            <v>3.2401220676808236E-2</v>
          </cell>
          <cell r="AL27">
            <v>0.11721887239923121</v>
          </cell>
          <cell r="AM27">
            <v>0.16053012373026193</v>
          </cell>
          <cell r="AN27">
            <v>9.855663363254874E-2</v>
          </cell>
          <cell r="AO27">
            <v>1.9790058674970315E-2</v>
          </cell>
          <cell r="AP27">
            <v>5.5252719961469535E-2</v>
          </cell>
          <cell r="AQ27">
            <v>2.661964707253639E-2</v>
          </cell>
          <cell r="AR27">
            <v>0.12320402071476506</v>
          </cell>
          <cell r="AS27">
            <v>9.0009710428580761E-2</v>
          </cell>
          <cell r="AT27">
            <v>0.17310540040266953</v>
          </cell>
          <cell r="AU27">
            <v>0.18591637396569469</v>
          </cell>
          <cell r="AV27">
            <v>4.1247116270213581E-2</v>
          </cell>
          <cell r="AW27">
            <v>-2.089007761502348E-2</v>
          </cell>
          <cell r="AX27">
            <v>0.22122104706756451</v>
          </cell>
          <cell r="AY27">
            <v>8.9858192630743711E-2</v>
          </cell>
          <cell r="AZ27">
            <v>-4.4183050418172116E-2</v>
          </cell>
          <cell r="BA27">
            <v>9.250692796238158E-2</v>
          </cell>
          <cell r="BB27">
            <v>-4.2520185697760187E-3</v>
          </cell>
          <cell r="BC27">
            <v>5.7759640944901769E-2</v>
          </cell>
          <cell r="BD27">
            <v>8.6306300971315364E-2</v>
          </cell>
          <cell r="BE27">
            <v>0.24676658367207671</v>
          </cell>
          <cell r="BF27">
            <v>8.9648747946543206E-2</v>
          </cell>
          <cell r="BG27">
            <v>-3.2504623070445167E-2</v>
          </cell>
          <cell r="BH27">
            <v>-1.5957384407145718E-2</v>
          </cell>
          <cell r="BI27">
            <v>0.14898008064149532</v>
          </cell>
          <cell r="BJ27">
            <v>0.17036505943948635</v>
          </cell>
          <cell r="BK27">
            <v>0.19493767120962743</v>
          </cell>
          <cell r="BL27">
            <v>6.7887114423842793E-2</v>
          </cell>
          <cell r="BM27">
            <v>0.20784477428564901</v>
          </cell>
          <cell r="BN27">
            <v>3.7284307943509822E-2</v>
          </cell>
          <cell r="BO27">
            <v>4.8511280102496328E-2</v>
          </cell>
          <cell r="BP27">
            <v>1.3028769539460792E-3</v>
          </cell>
          <cell r="BQ27">
            <v>-0.20826452749006569</v>
          </cell>
          <cell r="BR27">
            <v>7.1577408315778426E-2</v>
          </cell>
          <cell r="BS27">
            <v>0.2278152964730816</v>
          </cell>
          <cell r="BT27">
            <v>9.4877491056704344E-2</v>
          </cell>
          <cell r="BU27">
            <v>-3.3157526518723295E-3</v>
          </cell>
          <cell r="BV27">
            <v>3.1511888311358385E-2</v>
          </cell>
          <cell r="BW27">
            <v>0.2836879464692984</v>
          </cell>
          <cell r="BX27">
            <v>1.6742411150672536E-3</v>
          </cell>
          <cell r="BY27">
            <v>0.12301668005469746</v>
          </cell>
          <cell r="BZ27">
            <v>9.7008882122340254E-2</v>
          </cell>
          <cell r="CA27">
            <v>0.22529479536299923</v>
          </cell>
          <cell r="CB27">
            <v>0.13888494594955572</v>
          </cell>
          <cell r="CC27">
            <v>5.6511996184458811E-2</v>
          </cell>
        </row>
        <row r="28">
          <cell r="BM28">
            <v>0</v>
          </cell>
        </row>
        <row r="29">
          <cell r="BM29">
            <v>0</v>
          </cell>
        </row>
        <row r="30">
          <cell r="I30">
            <v>161.6</v>
          </cell>
          <cell r="J30">
            <v>161.6</v>
          </cell>
          <cell r="K30">
            <v>161.6</v>
          </cell>
          <cell r="L30">
            <v>161.6</v>
          </cell>
          <cell r="M30">
            <v>161.6</v>
          </cell>
          <cell r="N30">
            <v>161.6</v>
          </cell>
          <cell r="O30">
            <v>161.6</v>
          </cell>
          <cell r="P30">
            <v>161.6</v>
          </cell>
          <cell r="Q30">
            <v>161.6</v>
          </cell>
          <cell r="R30">
            <v>161.6</v>
          </cell>
          <cell r="S30">
            <v>161.6</v>
          </cell>
          <cell r="T30">
            <v>161.6</v>
          </cell>
          <cell r="U30">
            <v>161.6</v>
          </cell>
          <cell r="V30">
            <v>161.6</v>
          </cell>
          <cell r="W30">
            <v>161.6</v>
          </cell>
          <cell r="X30">
            <v>161.6</v>
          </cell>
          <cell r="Y30">
            <v>161.6</v>
          </cell>
          <cell r="Z30">
            <v>161.6</v>
          </cell>
          <cell r="AA30">
            <v>161.6</v>
          </cell>
          <cell r="AB30">
            <v>161.6</v>
          </cell>
          <cell r="AC30">
            <v>161.6</v>
          </cell>
          <cell r="AD30">
            <v>161.6</v>
          </cell>
          <cell r="AE30">
            <v>161.6</v>
          </cell>
          <cell r="AF30">
            <v>161.6</v>
          </cell>
          <cell r="AG30">
            <v>161.6</v>
          </cell>
          <cell r="AH30">
            <v>161.6</v>
          </cell>
          <cell r="AI30">
            <v>161.6</v>
          </cell>
          <cell r="AJ30">
            <v>161.6</v>
          </cell>
          <cell r="AK30">
            <v>161.6</v>
          </cell>
          <cell r="AL30">
            <v>161.6</v>
          </cell>
          <cell r="AM30">
            <v>161.6</v>
          </cell>
          <cell r="AN30">
            <v>161.6</v>
          </cell>
          <cell r="AO30">
            <v>161.6</v>
          </cell>
          <cell r="AP30">
            <v>161.6</v>
          </cell>
          <cell r="AQ30">
            <v>161.6</v>
          </cell>
          <cell r="AR30">
            <v>161.6</v>
          </cell>
          <cell r="AS30">
            <v>161.6</v>
          </cell>
          <cell r="AT30">
            <v>161.6</v>
          </cell>
          <cell r="AU30">
            <v>161.6</v>
          </cell>
          <cell r="AV30">
            <v>161.6</v>
          </cell>
          <cell r="AW30">
            <v>161.6</v>
          </cell>
          <cell r="AX30">
            <v>161.6</v>
          </cell>
          <cell r="AY30">
            <v>161.6</v>
          </cell>
          <cell r="AZ30">
            <v>161.6</v>
          </cell>
          <cell r="BA30">
            <v>161.6</v>
          </cell>
          <cell r="BB30">
            <v>161.6</v>
          </cell>
          <cell r="BC30">
            <v>161.6</v>
          </cell>
          <cell r="BD30">
            <v>161.6</v>
          </cell>
          <cell r="BE30">
            <v>161.6</v>
          </cell>
          <cell r="BF30">
            <v>161.6</v>
          </cell>
          <cell r="BG30">
            <v>161.6</v>
          </cell>
          <cell r="BH30">
            <v>161.6</v>
          </cell>
          <cell r="BI30">
            <v>161.6</v>
          </cell>
          <cell r="BJ30">
            <v>161.6</v>
          </cell>
          <cell r="BK30">
            <v>161.6</v>
          </cell>
          <cell r="BL30">
            <v>161.6</v>
          </cell>
          <cell r="BM30">
            <v>161.6</v>
          </cell>
          <cell r="BN30">
            <v>161.6</v>
          </cell>
          <cell r="BO30">
            <v>161.6</v>
          </cell>
          <cell r="BP30">
            <v>161.6</v>
          </cell>
          <cell r="BQ30">
            <v>161.6</v>
          </cell>
          <cell r="BR30">
            <v>161.6</v>
          </cell>
          <cell r="BS30">
            <v>161.6</v>
          </cell>
          <cell r="BT30">
            <v>161.6</v>
          </cell>
          <cell r="BU30">
            <v>161.6</v>
          </cell>
          <cell r="BV30">
            <v>161.6</v>
          </cell>
          <cell r="BW30">
            <v>161.6</v>
          </cell>
          <cell r="BX30">
            <v>161.6</v>
          </cell>
          <cell r="BY30">
            <v>161.6</v>
          </cell>
          <cell r="BZ30">
            <v>161.6</v>
          </cell>
          <cell r="CA30">
            <v>161.6</v>
          </cell>
          <cell r="CB30">
            <v>161.6</v>
          </cell>
          <cell r="CC30">
            <v>161.6</v>
          </cell>
        </row>
        <row r="31">
          <cell r="I31">
            <v>17.40324</v>
          </cell>
          <cell r="J31">
            <v>17.40324</v>
          </cell>
          <cell r="K31">
            <v>17.40324</v>
          </cell>
          <cell r="L31">
            <v>17.40324</v>
          </cell>
          <cell r="M31">
            <v>17.40324</v>
          </cell>
          <cell r="N31">
            <v>17.40324</v>
          </cell>
          <cell r="O31">
            <v>17.40324</v>
          </cell>
          <cell r="P31">
            <v>17.40324</v>
          </cell>
          <cell r="Q31">
            <v>17.40324</v>
          </cell>
          <cell r="R31">
            <v>17.40324</v>
          </cell>
          <cell r="S31">
            <v>17.40324</v>
          </cell>
          <cell r="T31">
            <v>17.40324</v>
          </cell>
          <cell r="U31">
            <v>17.40324</v>
          </cell>
          <cell r="V31">
            <v>17.40324</v>
          </cell>
          <cell r="W31">
            <v>17.40324</v>
          </cell>
          <cell r="X31">
            <v>17.40324</v>
          </cell>
          <cell r="Y31">
            <v>17.40324</v>
          </cell>
          <cell r="Z31">
            <v>17.40324</v>
          </cell>
          <cell r="AA31">
            <v>17.40324</v>
          </cell>
          <cell r="AB31">
            <v>17.40324</v>
          </cell>
          <cell r="AC31">
            <v>17.40324</v>
          </cell>
          <cell r="AD31">
            <v>17.40324</v>
          </cell>
          <cell r="AE31">
            <v>17.40324</v>
          </cell>
          <cell r="AF31">
            <v>17.40324</v>
          </cell>
          <cell r="AG31">
            <v>17.40324</v>
          </cell>
          <cell r="AH31">
            <v>17.40324</v>
          </cell>
          <cell r="AI31">
            <v>17.40324</v>
          </cell>
          <cell r="AJ31">
            <v>17.40324</v>
          </cell>
          <cell r="AK31">
            <v>17.40324</v>
          </cell>
          <cell r="AL31">
            <v>17.40324</v>
          </cell>
          <cell r="AM31">
            <v>17.40324</v>
          </cell>
          <cell r="AN31">
            <v>17.40324</v>
          </cell>
          <cell r="AO31">
            <v>17.40324</v>
          </cell>
          <cell r="AP31">
            <v>17.40324</v>
          </cell>
          <cell r="AQ31">
            <v>17.40324</v>
          </cell>
          <cell r="AR31">
            <v>17.40324</v>
          </cell>
          <cell r="AS31">
            <v>17.40324</v>
          </cell>
          <cell r="AT31">
            <v>17.40324</v>
          </cell>
          <cell r="AU31">
            <v>17.40324</v>
          </cell>
          <cell r="AV31">
            <v>17.40324</v>
          </cell>
          <cell r="AW31">
            <v>17.40324</v>
          </cell>
          <cell r="AX31">
            <v>17.40324</v>
          </cell>
          <cell r="AY31">
            <v>17.40324</v>
          </cell>
          <cell r="AZ31">
            <v>17.40324</v>
          </cell>
          <cell r="BA31">
            <v>17.40324</v>
          </cell>
          <cell r="BB31">
            <v>17.40324</v>
          </cell>
          <cell r="BC31">
            <v>17.40324</v>
          </cell>
          <cell r="BD31">
            <v>17.40324</v>
          </cell>
          <cell r="BE31">
            <v>17.40324</v>
          </cell>
          <cell r="BF31">
            <v>17.40324</v>
          </cell>
          <cell r="BG31">
            <v>17.40324</v>
          </cell>
          <cell r="BH31">
            <v>17.40324</v>
          </cell>
          <cell r="BI31">
            <v>17.40324</v>
          </cell>
          <cell r="BJ31">
            <v>17.40324</v>
          </cell>
          <cell r="BK31">
            <v>17.40324</v>
          </cell>
          <cell r="BL31">
            <v>17.40324</v>
          </cell>
          <cell r="BM31">
            <v>17.40324</v>
          </cell>
          <cell r="BN31">
            <v>17.40324</v>
          </cell>
          <cell r="BO31">
            <v>17.40324</v>
          </cell>
          <cell r="BP31">
            <v>17.40324</v>
          </cell>
          <cell r="BQ31">
            <v>17.40324</v>
          </cell>
          <cell r="BR31">
            <v>17.40324</v>
          </cell>
          <cell r="BS31">
            <v>17.40324</v>
          </cell>
          <cell r="BT31">
            <v>17.40324</v>
          </cell>
          <cell r="BU31">
            <v>17.40324</v>
          </cell>
          <cell r="BV31">
            <v>17.40324</v>
          </cell>
          <cell r="BW31">
            <v>17.40324</v>
          </cell>
          <cell r="BX31">
            <v>17.40324</v>
          </cell>
          <cell r="BY31">
            <v>17.40324</v>
          </cell>
          <cell r="BZ31">
            <v>17.40324</v>
          </cell>
          <cell r="CA31">
            <v>17.40324</v>
          </cell>
          <cell r="CB31">
            <v>17.40324</v>
          </cell>
          <cell r="CC31">
            <v>17.40324</v>
          </cell>
        </row>
        <row r="32">
          <cell r="I32">
            <v>668670.93625290913</v>
          </cell>
          <cell r="J32">
            <v>27448.816687413731</v>
          </cell>
          <cell r="K32">
            <v>658722.22819613782</v>
          </cell>
          <cell r="L32">
            <v>193214.02128209567</v>
          </cell>
          <cell r="M32">
            <v>642323.471736226</v>
          </cell>
          <cell r="N32">
            <v>1326200.2102863777</v>
          </cell>
          <cell r="O32">
            <v>1023037.997325826</v>
          </cell>
          <cell r="P32">
            <v>662744.22786981519</v>
          </cell>
          <cell r="Q32">
            <v>103555.62567304309</v>
          </cell>
          <cell r="R32">
            <v>10830.012463287887</v>
          </cell>
          <cell r="S32">
            <v>218479.20442977559</v>
          </cell>
          <cell r="T32">
            <v>29516.871449446884</v>
          </cell>
          <cell r="U32">
            <v>143098.64739112766</v>
          </cell>
          <cell r="V32">
            <v>4946491.855464668</v>
          </cell>
          <cell r="W32">
            <v>685156.06691190437</v>
          </cell>
          <cell r="X32">
            <v>2003370.7359561299</v>
          </cell>
          <cell r="Y32">
            <v>319278.57741927885</v>
          </cell>
          <cell r="Z32">
            <v>42447.338713263147</v>
          </cell>
          <cell r="AA32">
            <v>447454.96947377577</v>
          </cell>
          <cell r="AB32">
            <v>445082.42444599402</v>
          </cell>
          <cell r="AC32">
            <v>51043.070463000418</v>
          </cell>
          <cell r="AD32">
            <v>893165.46074756526</v>
          </cell>
          <cell r="AE32">
            <v>177564.48345316324</v>
          </cell>
          <cell r="AF32">
            <v>980762.43842248735</v>
          </cell>
          <cell r="AG32">
            <v>386409.15784931451</v>
          </cell>
          <cell r="AH32">
            <v>502649.82606646896</v>
          </cell>
          <cell r="AI32">
            <v>19595.064097058919</v>
          </cell>
          <cell r="AJ32">
            <v>3746717.3300219635</v>
          </cell>
          <cell r="AK32">
            <v>8636.9976482281018</v>
          </cell>
          <cell r="AL32">
            <v>28531.776264009724</v>
          </cell>
          <cell r="AM32">
            <v>3529961.513900388</v>
          </cell>
          <cell r="AN32">
            <v>43786466.085695893</v>
          </cell>
          <cell r="AO32">
            <v>6123066.5370559115</v>
          </cell>
          <cell r="AP32">
            <v>351814.93022717937</v>
          </cell>
          <cell r="AQ32">
            <v>64714.119395079448</v>
          </cell>
          <cell r="AR32">
            <v>420773.49707287503</v>
          </cell>
          <cell r="AS32">
            <v>1513379.684445566</v>
          </cell>
          <cell r="AT32">
            <v>119848.73836853617</v>
          </cell>
          <cell r="AU32">
            <v>179500.73280656952</v>
          </cell>
          <cell r="AV32">
            <v>2286544.8875020761</v>
          </cell>
          <cell r="AW32">
            <v>138760.24702053418</v>
          </cell>
          <cell r="AX32">
            <v>809465.28728790337</v>
          </cell>
          <cell r="AY32">
            <v>662546.65901652712</v>
          </cell>
          <cell r="AZ32">
            <v>1196152.7638458451</v>
          </cell>
          <cell r="BA32">
            <v>225711.28273926763</v>
          </cell>
          <cell r="BB32">
            <v>431462.6565412418</v>
          </cell>
          <cell r="BC32">
            <v>524001.6866046089</v>
          </cell>
          <cell r="BD32">
            <v>77113.417206931044</v>
          </cell>
          <cell r="BE32">
            <v>1805673.4922313229</v>
          </cell>
          <cell r="BF32">
            <v>196345.32149987176</v>
          </cell>
          <cell r="BG32">
            <v>184328.92010950088</v>
          </cell>
          <cell r="BH32">
            <v>951301.68238579552</v>
          </cell>
          <cell r="BI32">
            <v>133010.65702358255</v>
          </cell>
          <cell r="BJ32">
            <v>61366.44473158507</v>
          </cell>
          <cell r="BK32">
            <v>728723.26969598792</v>
          </cell>
          <cell r="BL32">
            <v>8465641.1680456121</v>
          </cell>
          <cell r="BM32">
            <v>634336.06033862021</v>
          </cell>
          <cell r="BN32">
            <v>67247.528555974888</v>
          </cell>
          <cell r="BO32">
            <v>60407.171184413208</v>
          </cell>
          <cell r="BP32">
            <v>49497.82871601134</v>
          </cell>
          <cell r="BQ32">
            <v>272770.70161065843</v>
          </cell>
          <cell r="BR32">
            <v>935026.78994550451</v>
          </cell>
          <cell r="BS32">
            <v>123955.71178077678</v>
          </cell>
          <cell r="BT32">
            <v>25029398.792527892</v>
          </cell>
          <cell r="BU32">
            <v>2233573.7792869369</v>
          </cell>
          <cell r="BV32">
            <v>142032.07462313402</v>
          </cell>
          <cell r="BW32">
            <v>1522142.9714475283</v>
          </cell>
          <cell r="BX32">
            <v>273280.02618362976</v>
          </cell>
          <cell r="BY32">
            <v>67613.730185766151</v>
          </cell>
          <cell r="BZ32">
            <v>65351.384018335804</v>
          </cell>
          <cell r="CA32">
            <v>396483.2547459685</v>
          </cell>
          <cell r="CB32">
            <v>908001.63153088174</v>
          </cell>
          <cell r="CC32">
            <v>428233.53088914888</v>
          </cell>
        </row>
        <row r="33">
          <cell r="I33">
            <v>11637040.784634078</v>
          </cell>
          <cell r="J33">
            <v>477698.34452706616</v>
          </cell>
          <cell r="K33">
            <v>11463901.030632153</v>
          </cell>
          <cell r="L33">
            <v>3362549.9837374184</v>
          </cell>
          <cell r="M33">
            <v>11178509.536258757</v>
          </cell>
          <cell r="N33">
            <v>23080180.5476643</v>
          </cell>
          <cell r="O33">
            <v>17804175.79658071</v>
          </cell>
          <cell r="P33">
            <v>11533896.856233083</v>
          </cell>
          <cell r="Q33">
            <v>1802203.4069381305</v>
          </cell>
          <cell r="R33">
            <v>188477.30610159028</v>
          </cell>
          <cell r="S33">
            <v>3802246.0297004478</v>
          </cell>
          <cell r="T33">
            <v>513689.19788387202</v>
          </cell>
          <cell r="U33">
            <v>2490380.1042231685</v>
          </cell>
          <cell r="V33">
            <v>86084984.918696925</v>
          </cell>
          <cell r="W33">
            <v>11923935.46992393</v>
          </cell>
          <cell r="X33">
            <v>34865141.726821154</v>
          </cell>
          <cell r="Y33">
            <v>5556481.7096862905</v>
          </cell>
          <cell r="Z33">
            <v>738721.22298820969</v>
          </cell>
          <cell r="AA33">
            <v>7787166.2229447933</v>
          </cell>
          <cell r="AB33">
            <v>7745876.2524155015</v>
          </cell>
          <cell r="AC33">
            <v>888314.80560450745</v>
          </cell>
          <cell r="AD33">
            <v>15543972.873100458</v>
          </cell>
          <cell r="AE33">
            <v>3090197.3210114287</v>
          </cell>
          <cell r="AF33">
            <v>17068444.09885177</v>
          </cell>
          <cell r="AG33">
            <v>6724771.312249504</v>
          </cell>
          <cell r="AH33">
            <v>8747735.5589930154</v>
          </cell>
          <cell r="AI33">
            <v>341017.6032964997</v>
          </cell>
          <cell r="AJ33">
            <v>65205020.906531438</v>
          </cell>
          <cell r="AK33">
            <v>150311.74295154924</v>
          </cell>
          <cell r="AL33">
            <v>496545.3499488646</v>
          </cell>
          <cell r="AM33">
            <v>61432767.417171791</v>
          </cell>
          <cell r="AN33">
            <v>762026378.04122615</v>
          </cell>
          <cell r="AO33">
            <v>106561196.48035292</v>
          </cell>
          <cell r="AP33">
            <v>6122719.6663268572</v>
          </cell>
          <cell r="AQ33">
            <v>1126235.3512212224</v>
          </cell>
          <cell r="AR33">
            <v>7322822.1551985415</v>
          </cell>
          <cell r="AS33">
            <v>26337709.859530453</v>
          </cell>
          <cell r="AT33">
            <v>2085756.3575248434</v>
          </cell>
          <cell r="AU33">
            <v>3123894.3332086029</v>
          </cell>
          <cell r="AV33">
            <v>39793289.447971635</v>
          </cell>
          <cell r="AW33">
            <v>2414877.8813576414</v>
          </cell>
          <cell r="AX33">
            <v>14087318.666340332</v>
          </cell>
          <cell r="AY33">
            <v>11530458.518062785</v>
          </cell>
          <cell r="AZ33">
            <v>20816933.625872567</v>
          </cell>
          <cell r="BA33">
            <v>3928107.6242193319</v>
          </cell>
          <cell r="BB33">
            <v>7508848.1628248012</v>
          </cell>
          <cell r="BC33">
            <v>9119327.1123847943</v>
          </cell>
          <cell r="BD33">
            <v>1342023.3068723506</v>
          </cell>
          <cell r="BE33">
            <v>31424569.146939848</v>
          </cell>
          <cell r="BF33">
            <v>3417044.7529394282</v>
          </cell>
          <cell r="BG33">
            <v>3207920.4356064699</v>
          </cell>
          <cell r="BH33">
            <v>16555731.490963772</v>
          </cell>
          <cell r="BI33">
            <v>2314816.3867390929</v>
          </cell>
          <cell r="BJ33">
            <v>1067974.9656105107</v>
          </cell>
          <cell r="BK33">
            <v>12682145.956104005</v>
          </cell>
          <cell r="BL33">
            <v>147329585.00137812</v>
          </cell>
          <cell r="BM33">
            <v>11039502.698727489</v>
          </cell>
          <cell r="BN33">
            <v>1170324.8788664844</v>
          </cell>
          <cell r="BO33">
            <v>1051280.4978434274</v>
          </cell>
          <cell r="BP33">
            <v>861422.59262363717</v>
          </cell>
          <cell r="BQ33">
            <v>4747093.9850986758</v>
          </cell>
          <cell r="BR33">
            <v>16272495.631851202</v>
          </cell>
          <cell r="BS33">
            <v>2157231.0014916859</v>
          </cell>
          <cell r="BT33">
            <v>435592634.24207312</v>
          </cell>
          <cell r="BU33">
            <v>38871420.538637593</v>
          </cell>
          <cell r="BV33">
            <v>2471818.2823643107</v>
          </cell>
          <cell r="BW33">
            <v>26490219.446414482</v>
          </cell>
          <cell r="BX33">
            <v>4755957.8828799929</v>
          </cell>
          <cell r="BY33">
            <v>1176697.9737181328</v>
          </cell>
          <cell r="BZ33">
            <v>1137325.8204032625</v>
          </cell>
          <cell r="CA33">
            <v>6900093.2383252289</v>
          </cell>
          <cell r="CB33">
            <v>15802170.313923502</v>
          </cell>
          <cell r="CC33">
            <v>7452650.9141112715</v>
          </cell>
        </row>
        <row r="34">
          <cell r="I34">
            <v>160.29919504643962</v>
          </cell>
          <cell r="J34">
            <v>160.29919504643962</v>
          </cell>
          <cell r="K34">
            <v>160.29919504643962</v>
          </cell>
          <cell r="L34">
            <v>160.29919504643962</v>
          </cell>
          <cell r="M34">
            <v>160.29919504643962</v>
          </cell>
          <cell r="N34">
            <v>160.29919504643962</v>
          </cell>
          <cell r="O34">
            <v>160.29919504643962</v>
          </cell>
          <cell r="P34">
            <v>160.29919504643962</v>
          </cell>
          <cell r="Q34">
            <v>160.29919504643962</v>
          </cell>
          <cell r="R34">
            <v>160.29919504643962</v>
          </cell>
          <cell r="S34">
            <v>160.29919504643962</v>
          </cell>
          <cell r="T34">
            <v>160.29919504643962</v>
          </cell>
          <cell r="U34">
            <v>160.29919504643962</v>
          </cell>
          <cell r="V34">
            <v>160.29919504643962</v>
          </cell>
          <cell r="W34">
            <v>160.29919504643962</v>
          </cell>
          <cell r="X34">
            <v>160.29919504643962</v>
          </cell>
          <cell r="Y34">
            <v>160.29919504643962</v>
          </cell>
          <cell r="Z34">
            <v>160.29919504643962</v>
          </cell>
          <cell r="AA34">
            <v>160.29919504643962</v>
          </cell>
          <cell r="AB34">
            <v>160.29919504643962</v>
          </cell>
          <cell r="AC34">
            <v>160.29919504643962</v>
          </cell>
          <cell r="AD34">
            <v>160.29919504643962</v>
          </cell>
          <cell r="AE34">
            <v>160.29919504643962</v>
          </cell>
          <cell r="AF34">
            <v>160.29919504643962</v>
          </cell>
          <cell r="AG34">
            <v>160.29919504643962</v>
          </cell>
          <cell r="AH34">
            <v>160.29919504643962</v>
          </cell>
          <cell r="AI34">
            <v>160.29919504643962</v>
          </cell>
          <cell r="AJ34">
            <v>160.29919504643962</v>
          </cell>
          <cell r="AK34">
            <v>160.29919504643962</v>
          </cell>
          <cell r="AL34">
            <v>160.29919504643962</v>
          </cell>
          <cell r="AM34">
            <v>160.29919504643962</v>
          </cell>
          <cell r="AN34">
            <v>160.29919504643962</v>
          </cell>
          <cell r="AO34">
            <v>160.29919504643962</v>
          </cell>
          <cell r="AP34">
            <v>160.29919504643962</v>
          </cell>
          <cell r="AQ34">
            <v>160.29919504643962</v>
          </cell>
          <cell r="AR34">
            <v>160.29919504643962</v>
          </cell>
          <cell r="AS34">
            <v>160.29919504643962</v>
          </cell>
          <cell r="AT34">
            <v>160.29919504643962</v>
          </cell>
          <cell r="AU34">
            <v>160.29919504643962</v>
          </cell>
          <cell r="AV34">
            <v>160.29919504643962</v>
          </cell>
          <cell r="AW34">
            <v>160.29919504643962</v>
          </cell>
          <cell r="AX34">
            <v>160.29919504643962</v>
          </cell>
          <cell r="AY34">
            <v>160.29919504643962</v>
          </cell>
          <cell r="AZ34">
            <v>160.29919504643962</v>
          </cell>
          <cell r="BA34">
            <v>160.29919504643962</v>
          </cell>
          <cell r="BB34">
            <v>160.29919504643962</v>
          </cell>
          <cell r="BC34">
            <v>160.29919504643962</v>
          </cell>
          <cell r="BD34">
            <v>160.29919504643962</v>
          </cell>
          <cell r="BE34">
            <v>160.29919504643962</v>
          </cell>
          <cell r="BF34">
            <v>160.29919504643962</v>
          </cell>
          <cell r="BG34">
            <v>160.29919504643962</v>
          </cell>
          <cell r="BH34">
            <v>160.29919504643962</v>
          </cell>
          <cell r="BI34">
            <v>160.29919504643962</v>
          </cell>
          <cell r="BJ34">
            <v>160.29919504643962</v>
          </cell>
          <cell r="BK34">
            <v>160.29919504643962</v>
          </cell>
          <cell r="BL34">
            <v>160.29919504643962</v>
          </cell>
          <cell r="BM34">
            <v>160.29919504643962</v>
          </cell>
          <cell r="BN34">
            <v>160.29919504643962</v>
          </cell>
          <cell r="BO34">
            <v>160.29919504643962</v>
          </cell>
          <cell r="BP34">
            <v>160.29919504643962</v>
          </cell>
          <cell r="BQ34">
            <v>160.29919504643962</v>
          </cell>
          <cell r="BR34">
            <v>160.29919504643962</v>
          </cell>
          <cell r="BS34">
            <v>160.29919504643962</v>
          </cell>
          <cell r="BT34">
            <v>160.29919504643962</v>
          </cell>
          <cell r="BU34">
            <v>160.29919504643962</v>
          </cell>
          <cell r="BV34">
            <v>160.29919504643962</v>
          </cell>
          <cell r="BW34">
            <v>160.29919504643962</v>
          </cell>
          <cell r="BX34">
            <v>160.29919504643962</v>
          </cell>
          <cell r="BY34">
            <v>160.29919504643962</v>
          </cell>
          <cell r="BZ34">
            <v>160.29919504643962</v>
          </cell>
          <cell r="CA34">
            <v>160.29919504643962</v>
          </cell>
          <cell r="CB34">
            <v>160.29919504643962</v>
          </cell>
          <cell r="CC34">
            <v>160.29919504643962</v>
          </cell>
        </row>
        <row r="35">
          <cell r="I35">
            <v>11537488</v>
          </cell>
          <cell r="J35">
            <v>329895</v>
          </cell>
          <cell r="K35">
            <v>5502883</v>
          </cell>
          <cell r="L35">
            <v>1656013</v>
          </cell>
          <cell r="M35">
            <v>3677801</v>
          </cell>
          <cell r="N35">
            <v>8047827</v>
          </cell>
          <cell r="O35">
            <v>18067532</v>
          </cell>
          <cell r="P35">
            <v>14377383</v>
          </cell>
          <cell r="Q35">
            <v>3688253</v>
          </cell>
          <cell r="R35">
            <v>88575</v>
          </cell>
          <cell r="S35">
            <v>1439877</v>
          </cell>
          <cell r="T35">
            <v>272382</v>
          </cell>
          <cell r="U35">
            <v>303169</v>
          </cell>
          <cell r="V35">
            <v>49071780</v>
          </cell>
          <cell r="W35">
            <v>9025489</v>
          </cell>
          <cell r="X35">
            <v>20091776</v>
          </cell>
          <cell r="Y35">
            <v>3502544</v>
          </cell>
          <cell r="Z35">
            <v>608418</v>
          </cell>
          <cell r="AA35">
            <v>5234577</v>
          </cell>
          <cell r="AB35">
            <v>4957246</v>
          </cell>
          <cell r="AC35">
            <v>399660</v>
          </cell>
          <cell r="AD35">
            <v>7466025</v>
          </cell>
          <cell r="AE35">
            <v>1563707</v>
          </cell>
          <cell r="AF35">
            <v>11395480</v>
          </cell>
          <cell r="AG35">
            <v>7453829</v>
          </cell>
          <cell r="AH35">
            <v>7797337</v>
          </cell>
          <cell r="AI35">
            <v>58965</v>
          </cell>
          <cell r="AJ35">
            <v>44513972</v>
          </cell>
          <cell r="AK35">
            <v>28790</v>
          </cell>
          <cell r="AL35">
            <v>1033871</v>
          </cell>
          <cell r="AM35">
            <v>52983264</v>
          </cell>
          <cell r="AN35">
            <v>727069888</v>
          </cell>
          <cell r="AO35">
            <v>129265856</v>
          </cell>
          <cell r="AP35">
            <v>5179998</v>
          </cell>
          <cell r="AQ35">
            <v>530434</v>
          </cell>
          <cell r="AR35">
            <v>5035388</v>
          </cell>
          <cell r="AS35">
            <v>26252288</v>
          </cell>
          <cell r="AT35">
            <v>1184260</v>
          </cell>
          <cell r="AU35">
            <v>1849101</v>
          </cell>
          <cell r="AV35">
            <v>24191412</v>
          </cell>
          <cell r="AW35">
            <v>1473717</v>
          </cell>
          <cell r="AX35">
            <v>7218032</v>
          </cell>
          <cell r="AY35">
            <v>7576190</v>
          </cell>
          <cell r="AZ35">
            <v>13640421</v>
          </cell>
          <cell r="BA35">
            <v>2184398</v>
          </cell>
          <cell r="BB35">
            <v>3800742</v>
          </cell>
          <cell r="BC35">
            <v>6420161</v>
          </cell>
          <cell r="BD35">
            <v>2208879</v>
          </cell>
          <cell r="BE35">
            <v>11657023</v>
          </cell>
          <cell r="BF35">
            <v>1349033</v>
          </cell>
          <cell r="BG35">
            <v>3614115</v>
          </cell>
          <cell r="BH35">
            <v>12482700</v>
          </cell>
          <cell r="BI35">
            <v>1336555</v>
          </cell>
          <cell r="BJ35">
            <v>1656095</v>
          </cell>
          <cell r="BK35">
            <v>5209179</v>
          </cell>
          <cell r="BL35">
            <v>114770752</v>
          </cell>
          <cell r="BM35">
            <v>11797525</v>
          </cell>
          <cell r="BN35">
            <v>383329</v>
          </cell>
          <cell r="BO35">
            <v>530909</v>
          </cell>
          <cell r="BP35">
            <v>319944</v>
          </cell>
          <cell r="BQ35">
            <v>2017249</v>
          </cell>
          <cell r="BR35">
            <v>11140320</v>
          </cell>
          <cell r="BS35">
            <v>658082</v>
          </cell>
          <cell r="BT35">
            <v>381267616</v>
          </cell>
          <cell r="BU35">
            <v>23831754</v>
          </cell>
          <cell r="BV35">
            <v>1967913</v>
          </cell>
          <cell r="BW35">
            <v>21852540</v>
          </cell>
          <cell r="BX35">
            <v>2109347</v>
          </cell>
          <cell r="BY35">
            <v>766428</v>
          </cell>
          <cell r="BZ35">
            <v>1829668</v>
          </cell>
          <cell r="CA35">
            <v>3280120</v>
          </cell>
          <cell r="CB35">
            <v>4158578</v>
          </cell>
          <cell r="CC35">
            <v>3371727</v>
          </cell>
        </row>
        <row r="36">
          <cell r="I36">
            <v>0</v>
          </cell>
          <cell r="J36">
            <v>0</v>
          </cell>
          <cell r="K36">
            <v>0</v>
          </cell>
          <cell r="L36">
            <v>0</v>
          </cell>
          <cell r="M36">
            <v>0</v>
          </cell>
          <cell r="N36">
            <v>0</v>
          </cell>
          <cell r="O36">
            <v>39194</v>
          </cell>
          <cell r="P36">
            <v>0</v>
          </cell>
          <cell r="Q36">
            <v>0</v>
          </cell>
          <cell r="R36">
            <v>0</v>
          </cell>
          <cell r="S36">
            <v>0</v>
          </cell>
          <cell r="T36">
            <v>254776</v>
          </cell>
          <cell r="U36">
            <v>0</v>
          </cell>
          <cell r="V36">
            <v>0</v>
          </cell>
          <cell r="W36">
            <v>0</v>
          </cell>
          <cell r="X36">
            <v>0</v>
          </cell>
          <cell r="Y36">
            <v>0</v>
          </cell>
          <cell r="Z36">
            <v>257329</v>
          </cell>
          <cell r="AA36">
            <v>0</v>
          </cell>
          <cell r="AB36">
            <v>0</v>
          </cell>
          <cell r="AC36">
            <v>0</v>
          </cell>
          <cell r="AD36">
            <v>0</v>
          </cell>
          <cell r="AE36">
            <v>0</v>
          </cell>
          <cell r="AF36">
            <v>537200</v>
          </cell>
          <cell r="AG36">
            <v>0</v>
          </cell>
          <cell r="AH36">
            <v>0</v>
          </cell>
          <cell r="AI36">
            <v>0</v>
          </cell>
          <cell r="AJ36">
            <v>0</v>
          </cell>
          <cell r="AK36">
            <v>0</v>
          </cell>
          <cell r="AL36">
            <v>841977</v>
          </cell>
          <cell r="AM36">
            <v>2092080</v>
          </cell>
          <cell r="AN36">
            <v>678311168</v>
          </cell>
          <cell r="AO36">
            <v>15040976</v>
          </cell>
          <cell r="AP36">
            <v>0</v>
          </cell>
          <cell r="AQ36">
            <v>0</v>
          </cell>
          <cell r="AR36">
            <v>0</v>
          </cell>
          <cell r="AS36">
            <v>3559472</v>
          </cell>
          <cell r="AT36">
            <v>0</v>
          </cell>
          <cell r="AU36">
            <v>0</v>
          </cell>
          <cell r="AV36">
            <v>0</v>
          </cell>
          <cell r="AW36">
            <v>0</v>
          </cell>
          <cell r="AX36">
            <v>0</v>
          </cell>
          <cell r="AY36">
            <v>0</v>
          </cell>
          <cell r="AZ36">
            <v>0</v>
          </cell>
          <cell r="BA36">
            <v>0</v>
          </cell>
          <cell r="BB36">
            <v>0</v>
          </cell>
          <cell r="BC36">
            <v>0</v>
          </cell>
          <cell r="BD36">
            <v>0</v>
          </cell>
          <cell r="BE36">
            <v>46881</v>
          </cell>
          <cell r="BF36">
            <v>0</v>
          </cell>
          <cell r="BG36">
            <v>0</v>
          </cell>
          <cell r="BH36">
            <v>0</v>
          </cell>
          <cell r="BI36">
            <v>0</v>
          </cell>
          <cell r="BJ36">
            <v>0</v>
          </cell>
          <cell r="BK36">
            <v>0</v>
          </cell>
          <cell r="BL36">
            <v>2435920</v>
          </cell>
          <cell r="BM36">
            <v>448214</v>
          </cell>
          <cell r="BN36">
            <v>0</v>
          </cell>
          <cell r="BO36">
            <v>0</v>
          </cell>
          <cell r="BP36">
            <v>0</v>
          </cell>
          <cell r="BQ36">
            <v>0</v>
          </cell>
          <cell r="BR36">
            <v>0</v>
          </cell>
          <cell r="BS36">
            <v>0</v>
          </cell>
          <cell r="BT36">
            <v>0</v>
          </cell>
          <cell r="BU36">
            <v>18998838</v>
          </cell>
          <cell r="BV36">
            <v>0</v>
          </cell>
          <cell r="BW36">
            <v>743097</v>
          </cell>
          <cell r="BX36">
            <v>0</v>
          </cell>
          <cell r="BY36">
            <v>0</v>
          </cell>
          <cell r="BZ36">
            <v>0</v>
          </cell>
          <cell r="CA36">
            <v>0</v>
          </cell>
          <cell r="CB36">
            <v>0</v>
          </cell>
          <cell r="CC36">
            <v>0</v>
          </cell>
        </row>
        <row r="37">
          <cell r="I37">
            <v>71974.709521513956</v>
          </cell>
          <cell r="J37">
            <v>2057.9953623873625</v>
          </cell>
          <cell r="K37">
            <v>34328.824910229785</v>
          </cell>
          <cell r="L37">
            <v>10330.763042947554</v>
          </cell>
          <cell r="M37">
            <v>22943.352890415448</v>
          </cell>
          <cell r="N37">
            <v>50205.036885359885</v>
          </cell>
          <cell r="O37">
            <v>112466.80306022176</v>
          </cell>
          <cell r="P37">
            <v>89690.924497997563</v>
          </cell>
          <cell r="Q37">
            <v>23008.555962688966</v>
          </cell>
          <cell r="R37">
            <v>552.56047901138436</v>
          </cell>
          <cell r="S37">
            <v>8982.4343758111772</v>
          </cell>
          <cell r="T37">
            <v>109.83211734094758</v>
          </cell>
          <cell r="U37">
            <v>1891.2696343370294</v>
          </cell>
          <cell r="V37">
            <v>306126.17852375127</v>
          </cell>
          <cell r="W37">
            <v>56304.019476737005</v>
          </cell>
          <cell r="X37">
            <v>125339.21953993152</v>
          </cell>
          <cell r="Y37">
            <v>21850.041099615581</v>
          </cell>
          <cell r="Z37">
            <v>2190.2106239416075</v>
          </cell>
          <cell r="AA37">
            <v>32655.042331831501</v>
          </cell>
          <cell r="AB37">
            <v>30924.958784502047</v>
          </cell>
          <cell r="AC37">
            <v>2493.212769310639</v>
          </cell>
          <cell r="AD37">
            <v>46575.561392164498</v>
          </cell>
          <cell r="AE37">
            <v>9754.9273378882845</v>
          </cell>
          <cell r="AF37">
            <v>67737.582817270493</v>
          </cell>
          <cell r="AG37">
            <v>46499.478664509712</v>
          </cell>
          <cell r="AH37">
            <v>48642.396474549139</v>
          </cell>
          <cell r="AI37">
            <v>367.84339424110954</v>
          </cell>
          <cell r="AJ37">
            <v>277693.04759829916</v>
          </cell>
          <cell r="AK37">
            <v>179.60165047403618</v>
          </cell>
          <cell r="AL37">
            <v>1197.098962002942</v>
          </cell>
          <cell r="AM37">
            <v>317476.2292802314</v>
          </cell>
          <cell r="AN37">
            <v>304173.20552279946</v>
          </cell>
          <cell r="AO37">
            <v>712573.0105313902</v>
          </cell>
          <cell r="AP37">
            <v>32314.56027274076</v>
          </cell>
          <cell r="AQ37">
            <v>3309.0247262085759</v>
          </cell>
          <cell r="AR37">
            <v>31412.434719595556</v>
          </cell>
          <cell r="AS37">
            <v>141565.3771276004</v>
          </cell>
          <cell r="AT37">
            <v>7387.810023979926</v>
          </cell>
          <cell r="AU37">
            <v>11535.31057635258</v>
          </cell>
          <cell r="AV37">
            <v>150914.12026736382</v>
          </cell>
          <cell r="AW37">
            <v>9193.5396155486342</v>
          </cell>
          <cell r="AX37">
            <v>45028.498102619254</v>
          </cell>
          <cell r="AY37">
            <v>47262.807513195141</v>
          </cell>
          <cell r="AZ37">
            <v>85093.509022601706</v>
          </cell>
          <cell r="BA37">
            <v>13627.00542175004</v>
          </cell>
          <cell r="BB37">
            <v>23710.299973115289</v>
          </cell>
          <cell r="BC37">
            <v>40051.111910699496</v>
          </cell>
          <cell r="BD37">
            <v>13779.726088830794</v>
          </cell>
          <cell r="BE37">
            <v>72427.949476829715</v>
          </cell>
          <cell r="BF37">
            <v>8415.7191158020305</v>
          </cell>
          <cell r="BG37">
            <v>22546.058318963918</v>
          </cell>
          <cell r="BH37">
            <v>77871.258158119192</v>
          </cell>
          <cell r="BI37">
            <v>8337.8771778160972</v>
          </cell>
          <cell r="BJ37">
            <v>10331.274586377178</v>
          </cell>
          <cell r="BK37">
            <v>32496.601112007269</v>
          </cell>
          <cell r="BL37">
            <v>700782.25887195463</v>
          </cell>
          <cell r="BM37">
            <v>70800.798448875794</v>
          </cell>
          <cell r="BN37">
            <v>2391.3345284668917</v>
          </cell>
          <cell r="BO37">
            <v>3311.9879350996898</v>
          </cell>
          <cell r="BP37">
            <v>1995.9176957021546</v>
          </cell>
          <cell r="BQ37">
            <v>12584.27404713786</v>
          </cell>
          <cell r="BR37">
            <v>69497.042681796273</v>
          </cell>
          <cell r="BS37">
            <v>4105.3356494357304</v>
          </cell>
          <cell r="BT37">
            <v>2378474.9255262604</v>
          </cell>
          <cell r="BU37">
            <v>30149.346655171135</v>
          </cell>
          <cell r="BV37">
            <v>12276.499575870508</v>
          </cell>
          <cell r="BW37">
            <v>131687.76670328551</v>
          </cell>
          <cell r="BX37">
            <v>13158.812178619548</v>
          </cell>
          <cell r="BY37">
            <v>4781.2342399970339</v>
          </cell>
          <cell r="BZ37">
            <v>11414.081021866232</v>
          </cell>
          <cell r="CA37">
            <v>20462.485785095363</v>
          </cell>
          <cell r="CB37">
            <v>25942.60063997973</v>
          </cell>
          <cell r="CC37">
            <v>21033.960894333817</v>
          </cell>
        </row>
        <row r="38">
          <cell r="I38">
            <v>4.5900000000000003E-2</v>
          </cell>
          <cell r="J38">
            <v>4.5900000000000003E-2</v>
          </cell>
          <cell r="K38">
            <v>4.5900000000000003E-2</v>
          </cell>
          <cell r="L38">
            <v>4.5900000000000003E-2</v>
          </cell>
          <cell r="M38">
            <v>4.5900000000000003E-2</v>
          </cell>
          <cell r="N38">
            <v>4.5900000000000003E-2</v>
          </cell>
          <cell r="O38">
            <v>4.5900000000000003E-2</v>
          </cell>
          <cell r="P38">
            <v>4.5900000000000003E-2</v>
          </cell>
          <cell r="Q38">
            <v>4.5900000000000003E-2</v>
          </cell>
          <cell r="R38">
            <v>4.5900000000000003E-2</v>
          </cell>
          <cell r="S38">
            <v>4.5900000000000003E-2</v>
          </cell>
          <cell r="T38">
            <v>4.5900000000000003E-2</v>
          </cell>
          <cell r="U38">
            <v>4.5900000000000003E-2</v>
          </cell>
          <cell r="V38">
            <v>4.5900000000000003E-2</v>
          </cell>
          <cell r="W38">
            <v>4.5900000000000003E-2</v>
          </cell>
          <cell r="X38">
            <v>4.5900000000000003E-2</v>
          </cell>
          <cell r="Y38">
            <v>4.5900000000000003E-2</v>
          </cell>
          <cell r="Z38">
            <v>4.5900000000000003E-2</v>
          </cell>
          <cell r="AA38">
            <v>4.5900000000000003E-2</v>
          </cell>
          <cell r="AB38">
            <v>4.5900000000000003E-2</v>
          </cell>
          <cell r="AC38">
            <v>4.5900000000000003E-2</v>
          </cell>
          <cell r="AD38">
            <v>4.5900000000000003E-2</v>
          </cell>
          <cell r="AE38">
            <v>4.5900000000000003E-2</v>
          </cell>
          <cell r="AF38">
            <v>4.5900000000000003E-2</v>
          </cell>
          <cell r="AG38">
            <v>4.5900000000000003E-2</v>
          </cell>
          <cell r="AH38">
            <v>4.5900000000000003E-2</v>
          </cell>
          <cell r="AI38">
            <v>4.5900000000000003E-2</v>
          </cell>
          <cell r="AJ38">
            <v>4.5900000000000003E-2</v>
          </cell>
          <cell r="AK38">
            <v>4.5900000000000003E-2</v>
          </cell>
          <cell r="AL38">
            <v>4.5900000000000003E-2</v>
          </cell>
          <cell r="AM38">
            <v>4.5900000000000003E-2</v>
          </cell>
          <cell r="AN38">
            <v>4.5900000000000003E-2</v>
          </cell>
          <cell r="AO38">
            <v>4.5900000000000003E-2</v>
          </cell>
          <cell r="AP38">
            <v>4.5900000000000003E-2</v>
          </cell>
          <cell r="AQ38">
            <v>4.5900000000000003E-2</v>
          </cell>
          <cell r="AR38">
            <v>4.5900000000000003E-2</v>
          </cell>
          <cell r="AS38">
            <v>4.5900000000000003E-2</v>
          </cell>
          <cell r="AT38">
            <v>4.5900000000000003E-2</v>
          </cell>
          <cell r="AU38">
            <v>4.5900000000000003E-2</v>
          </cell>
          <cell r="AV38">
            <v>4.5900000000000003E-2</v>
          </cell>
          <cell r="AW38">
            <v>4.5900000000000003E-2</v>
          </cell>
          <cell r="AX38">
            <v>4.5900000000000003E-2</v>
          </cell>
          <cell r="AY38">
            <v>4.5900000000000003E-2</v>
          </cell>
          <cell r="AZ38">
            <v>4.5900000000000003E-2</v>
          </cell>
          <cell r="BA38">
            <v>4.5900000000000003E-2</v>
          </cell>
          <cell r="BB38">
            <v>4.5900000000000003E-2</v>
          </cell>
          <cell r="BC38">
            <v>4.5900000000000003E-2</v>
          </cell>
          <cell r="BD38">
            <v>4.5900000000000003E-2</v>
          </cell>
          <cell r="BE38">
            <v>4.5900000000000003E-2</v>
          </cell>
          <cell r="BF38">
            <v>4.5900000000000003E-2</v>
          </cell>
          <cell r="BG38">
            <v>4.5900000000000003E-2</v>
          </cell>
          <cell r="BH38">
            <v>4.5900000000000003E-2</v>
          </cell>
          <cell r="BI38">
            <v>4.5900000000000003E-2</v>
          </cell>
          <cell r="BJ38">
            <v>4.5900000000000003E-2</v>
          </cell>
          <cell r="BK38">
            <v>4.5900000000000003E-2</v>
          </cell>
          <cell r="BL38">
            <v>4.5900000000000003E-2</v>
          </cell>
          <cell r="BM38">
            <v>4.5900000000000003E-2</v>
          </cell>
          <cell r="BN38">
            <v>4.5900000000000003E-2</v>
          </cell>
          <cell r="BO38">
            <v>4.5900000000000003E-2</v>
          </cell>
          <cell r="BP38">
            <v>4.5900000000000003E-2</v>
          </cell>
          <cell r="BQ38">
            <v>4.5900000000000003E-2</v>
          </cell>
          <cell r="BR38">
            <v>4.5900000000000003E-2</v>
          </cell>
          <cell r="BS38">
            <v>4.5900000000000003E-2</v>
          </cell>
          <cell r="BT38">
            <v>4.5900000000000003E-2</v>
          </cell>
          <cell r="BU38">
            <v>4.5900000000000003E-2</v>
          </cell>
          <cell r="BV38">
            <v>4.5900000000000003E-2</v>
          </cell>
          <cell r="BW38">
            <v>4.5900000000000003E-2</v>
          </cell>
          <cell r="BX38">
            <v>4.5900000000000003E-2</v>
          </cell>
          <cell r="BY38">
            <v>4.5900000000000003E-2</v>
          </cell>
          <cell r="BZ38">
            <v>4.5900000000000003E-2</v>
          </cell>
          <cell r="CA38">
            <v>4.5900000000000003E-2</v>
          </cell>
          <cell r="CB38">
            <v>4.5900000000000003E-2</v>
          </cell>
          <cell r="CC38">
            <v>4.5900000000000003E-2</v>
          </cell>
        </row>
        <row r="39">
          <cell r="I39">
            <v>30691.995974008532</v>
          </cell>
          <cell r="J39">
            <v>1259.9006859522904</v>
          </cell>
          <cell r="K39">
            <v>30235.350274202727</v>
          </cell>
          <cell r="L39">
            <v>8868.5235768481925</v>
          </cell>
          <cell r="M39">
            <v>29482.647352692777</v>
          </cell>
          <cell r="N39">
            <v>60872.589652144743</v>
          </cell>
          <cell r="O39">
            <v>46957.444077255415</v>
          </cell>
          <cell r="P39">
            <v>30419.960059224519</v>
          </cell>
          <cell r="Q39">
            <v>4753.2032183926785</v>
          </cell>
          <cell r="R39">
            <v>497.09757206491406</v>
          </cell>
          <cell r="S39">
            <v>10028.195483326701</v>
          </cell>
          <cell r="T39">
            <v>1354.824399529612</v>
          </cell>
          <cell r="U39">
            <v>6568.2279152527599</v>
          </cell>
          <cell r="V39">
            <v>227043.97616582827</v>
          </cell>
          <cell r="W39">
            <v>31448.663471256412</v>
          </cell>
          <cell r="X39">
            <v>91954.71678038637</v>
          </cell>
          <cell r="Y39">
            <v>14654.8867035449</v>
          </cell>
          <cell r="Z39">
            <v>1948.3328469387786</v>
          </cell>
          <cell r="AA39">
            <v>20538.183098846308</v>
          </cell>
          <cell r="AB39">
            <v>20429.283282071126</v>
          </cell>
          <cell r="AC39">
            <v>2342.8769342517194</v>
          </cell>
          <cell r="AD39">
            <v>40996.294648313247</v>
          </cell>
          <cell r="AE39">
            <v>8150.2097905001929</v>
          </cell>
          <cell r="AF39">
            <v>45016.995923592171</v>
          </cell>
          <cell r="AG39">
            <v>17736.180345283537</v>
          </cell>
          <cell r="AH39">
            <v>23071.627016450926</v>
          </cell>
          <cell r="AI39">
            <v>899.41344205500445</v>
          </cell>
          <cell r="AJ39">
            <v>171974.32544800814</v>
          </cell>
          <cell r="AK39">
            <v>396.43819205366992</v>
          </cell>
          <cell r="AL39">
            <v>1309.6085305180463</v>
          </cell>
          <cell r="AM39">
            <v>162025.23348802782</v>
          </cell>
          <cell r="AN39">
            <v>2009798.7933334417</v>
          </cell>
          <cell r="AO39">
            <v>281048.75405086635</v>
          </cell>
          <cell r="AP39">
            <v>16148.305297427534</v>
          </cell>
          <cell r="AQ39">
            <v>2970.3780802341466</v>
          </cell>
          <cell r="AR39">
            <v>19313.503515644967</v>
          </cell>
          <cell r="AS39">
            <v>69464.127516051492</v>
          </cell>
          <cell r="AT39">
            <v>5501.0570911158111</v>
          </cell>
          <cell r="AU39">
            <v>8239.083635821542</v>
          </cell>
          <cell r="AV39">
            <v>104952.4103363453</v>
          </cell>
          <cell r="AW39">
            <v>6369.0953382425196</v>
          </cell>
          <cell r="AX39">
            <v>37154.456686514764</v>
          </cell>
          <cell r="AY39">
            <v>30410.891648858596</v>
          </cell>
          <cell r="AZ39">
            <v>54903.411860524298</v>
          </cell>
          <cell r="BA39">
            <v>10360.147877732385</v>
          </cell>
          <cell r="BB39">
            <v>19804.135935243001</v>
          </cell>
          <cell r="BC39">
            <v>24051.677415151549</v>
          </cell>
          <cell r="BD39">
            <v>3539.5058497981354</v>
          </cell>
          <cell r="BE39">
            <v>82880.413293417732</v>
          </cell>
          <cell r="BF39">
            <v>9012.2502568441141</v>
          </cell>
          <cell r="BG39">
            <v>8460.6974330260909</v>
          </cell>
          <cell r="BH39">
            <v>43664.74722150802</v>
          </cell>
          <cell r="BI39">
            <v>6105.1891573824396</v>
          </cell>
          <cell r="BJ39">
            <v>2816.719813179755</v>
          </cell>
          <cell r="BK39">
            <v>33448.398079045852</v>
          </cell>
          <cell r="BL39">
            <v>388572.92961329361</v>
          </cell>
          <cell r="BM39">
            <v>29116.02516954267</v>
          </cell>
          <cell r="BN39">
            <v>3086.6615607192475</v>
          </cell>
          <cell r="BO39">
            <v>2772.6891573645667</v>
          </cell>
          <cell r="BP39">
            <v>2271.9503380649207</v>
          </cell>
          <cell r="BQ39">
            <v>12520.175203929222</v>
          </cell>
          <cell r="BR39">
            <v>42917.729658498662</v>
          </cell>
          <cell r="BS39">
            <v>5689.5671707376541</v>
          </cell>
          <cell r="BT39">
            <v>1148849.4045770303</v>
          </cell>
          <cell r="BU39">
            <v>102521.0364692704</v>
          </cell>
          <cell r="BV39">
            <v>6519.2722252018521</v>
          </cell>
          <cell r="BW39">
            <v>69866.36238944155</v>
          </cell>
          <cell r="BX39">
            <v>12543.553201828607</v>
          </cell>
          <cell r="BY39">
            <v>3103.4702155266664</v>
          </cell>
          <cell r="BZ39">
            <v>2999.6285264416138</v>
          </cell>
          <cell r="CA39">
            <v>18198.581392839955</v>
          </cell>
          <cell r="CB39">
            <v>41677.274887267478</v>
          </cell>
          <cell r="CC39">
            <v>19655.919067811934</v>
          </cell>
        </row>
        <row r="40">
          <cell r="I40">
            <v>709953.64980041457</v>
          </cell>
          <cell r="J40">
            <v>28246.911363848805</v>
          </cell>
          <cell r="K40">
            <v>662815.70283216482</v>
          </cell>
          <cell r="L40">
            <v>194676.26074819503</v>
          </cell>
          <cell r="M40">
            <v>635784.17727394868</v>
          </cell>
          <cell r="N40">
            <v>1315532.6575195927</v>
          </cell>
          <cell r="O40">
            <v>1088547.3563087923</v>
          </cell>
          <cell r="P40">
            <v>722015.1923085883</v>
          </cell>
          <cell r="Q40">
            <v>121810.97841733939</v>
          </cell>
          <cell r="R40">
            <v>10885.475370234357</v>
          </cell>
          <cell r="S40">
            <v>217433.44332226005</v>
          </cell>
          <cell r="T40">
            <v>28271.879167258219</v>
          </cell>
          <cell r="U40">
            <v>138421.68911021191</v>
          </cell>
          <cell r="V40">
            <v>5025574.0578225907</v>
          </cell>
          <cell r="W40">
            <v>710011.422917385</v>
          </cell>
          <cell r="X40">
            <v>2036755.2387156752</v>
          </cell>
          <cell r="Y40">
            <v>326473.73181534954</v>
          </cell>
          <cell r="Z40">
            <v>42689.216490265979</v>
          </cell>
          <cell r="AA40">
            <v>459571.82870676095</v>
          </cell>
          <cell r="AB40">
            <v>455578.09994842496</v>
          </cell>
          <cell r="AC40">
            <v>51193.406298059337</v>
          </cell>
          <cell r="AD40">
            <v>898744.7274914165</v>
          </cell>
          <cell r="AE40">
            <v>179169.20100055131</v>
          </cell>
          <cell r="AF40">
            <v>1003483.0253161658</v>
          </cell>
          <cell r="AG40">
            <v>415172.4561685407</v>
          </cell>
          <cell r="AH40">
            <v>528220.59552456718</v>
          </cell>
          <cell r="AI40">
            <v>19063.494049245026</v>
          </cell>
          <cell r="AJ40">
            <v>3852436.0521722543</v>
          </cell>
          <cell r="AK40">
            <v>8420.1611066484675</v>
          </cell>
          <cell r="AL40">
            <v>28419.266695494622</v>
          </cell>
          <cell r="AM40">
            <v>3685412.5096925916</v>
          </cell>
          <cell r="AN40">
            <v>42080840.49788525</v>
          </cell>
          <cell r="AO40">
            <v>6554590.7935364349</v>
          </cell>
          <cell r="AP40">
            <v>367981.18520249263</v>
          </cell>
          <cell r="AQ40">
            <v>65052.766041053881</v>
          </cell>
          <cell r="AR40">
            <v>432872.42827682558</v>
          </cell>
          <cell r="AS40">
            <v>1585480.9340571149</v>
          </cell>
          <cell r="AT40">
            <v>121735.49130140028</v>
          </cell>
          <cell r="AU40">
            <v>182796.95974710057</v>
          </cell>
          <cell r="AV40">
            <v>2332506.5974330944</v>
          </cell>
          <cell r="AW40">
            <v>141584.6912978403</v>
          </cell>
          <cell r="AX40">
            <v>817339.32870400778</v>
          </cell>
          <cell r="AY40">
            <v>679398.57488086366</v>
          </cell>
          <cell r="AZ40">
            <v>1226342.8610079226</v>
          </cell>
          <cell r="BA40">
            <v>228978.14028328529</v>
          </cell>
          <cell r="BB40">
            <v>435368.82057911408</v>
          </cell>
          <cell r="BC40">
            <v>540001.12110015692</v>
          </cell>
          <cell r="BD40">
            <v>87353.637445963701</v>
          </cell>
          <cell r="BE40">
            <v>1795221.0284147349</v>
          </cell>
          <cell r="BF40">
            <v>195748.79035882966</v>
          </cell>
          <cell r="BG40">
            <v>198414.28099543869</v>
          </cell>
          <cell r="BH40">
            <v>985508.19332240662</v>
          </cell>
          <cell r="BI40">
            <v>135243.3450440162</v>
          </cell>
          <cell r="BJ40">
            <v>68880.999504782492</v>
          </cell>
          <cell r="BK40">
            <v>727771.47272894939</v>
          </cell>
          <cell r="BL40">
            <v>8777850.4973042719</v>
          </cell>
          <cell r="BM40">
            <v>676020.83361795335</v>
          </cell>
          <cell r="BN40">
            <v>66552.201523722528</v>
          </cell>
          <cell r="BO40">
            <v>60946.469962148331</v>
          </cell>
          <cell r="BP40">
            <v>49221.796073648577</v>
          </cell>
          <cell r="BQ40">
            <v>272834.80045386706</v>
          </cell>
          <cell r="BR40">
            <v>961606.10296880209</v>
          </cell>
          <cell r="BS40">
            <v>122371.48025947485</v>
          </cell>
          <cell r="BT40">
            <v>26259024.313477121</v>
          </cell>
          <cell r="BU40">
            <v>2161202.0894728377</v>
          </cell>
          <cell r="BV40">
            <v>147789.30197380268</v>
          </cell>
          <cell r="BW40">
            <v>1583964.3757613723</v>
          </cell>
          <cell r="BX40">
            <v>273895.2851604207</v>
          </cell>
          <cell r="BY40">
            <v>69291.494210236517</v>
          </cell>
          <cell r="BZ40">
            <v>73765.836513760427</v>
          </cell>
          <cell r="CA40">
            <v>398747.15913822391</v>
          </cell>
          <cell r="CB40">
            <v>892266.95728359395</v>
          </cell>
          <cell r="CC40">
            <v>429611.5727156708</v>
          </cell>
        </row>
        <row r="41">
          <cell r="I41">
            <v>5.96E-2</v>
          </cell>
          <cell r="J41">
            <v>5.96E-2</v>
          </cell>
          <cell r="K41">
            <v>5.96E-2</v>
          </cell>
          <cell r="L41">
            <v>5.96E-2</v>
          </cell>
          <cell r="M41">
            <v>5.96E-2</v>
          </cell>
          <cell r="N41">
            <v>5.96E-2</v>
          </cell>
          <cell r="O41">
            <v>5.96E-2</v>
          </cell>
          <cell r="P41">
            <v>5.96E-2</v>
          </cell>
          <cell r="Q41">
            <v>5.96E-2</v>
          </cell>
          <cell r="R41">
            <v>5.96E-2</v>
          </cell>
          <cell r="S41">
            <v>5.96E-2</v>
          </cell>
          <cell r="T41">
            <v>5.96E-2</v>
          </cell>
          <cell r="U41">
            <v>5.96E-2</v>
          </cell>
          <cell r="V41">
            <v>5.96E-2</v>
          </cell>
          <cell r="W41">
            <v>5.96E-2</v>
          </cell>
          <cell r="X41">
            <v>5.96E-2</v>
          </cell>
          <cell r="Y41">
            <v>5.96E-2</v>
          </cell>
          <cell r="Z41">
            <v>5.96E-2</v>
          </cell>
          <cell r="AA41">
            <v>5.96E-2</v>
          </cell>
          <cell r="AB41">
            <v>5.96E-2</v>
          </cell>
          <cell r="AC41">
            <v>5.96E-2</v>
          </cell>
          <cell r="AD41">
            <v>5.96E-2</v>
          </cell>
          <cell r="AE41">
            <v>5.96E-2</v>
          </cell>
          <cell r="AF41">
            <v>5.96E-2</v>
          </cell>
          <cell r="AG41">
            <v>5.96E-2</v>
          </cell>
          <cell r="AH41">
            <v>5.96E-2</v>
          </cell>
          <cell r="AI41">
            <v>5.96E-2</v>
          </cell>
          <cell r="AJ41">
            <v>5.96E-2</v>
          </cell>
          <cell r="AK41">
            <v>5.96E-2</v>
          </cell>
          <cell r="AL41">
            <v>5.96E-2</v>
          </cell>
          <cell r="AM41">
            <v>5.96E-2</v>
          </cell>
          <cell r="AN41">
            <v>5.96E-2</v>
          </cell>
          <cell r="AO41">
            <v>5.96E-2</v>
          </cell>
          <cell r="AP41">
            <v>5.96E-2</v>
          </cell>
          <cell r="AQ41">
            <v>5.96E-2</v>
          </cell>
          <cell r="AR41">
            <v>5.96E-2</v>
          </cell>
          <cell r="AS41">
            <v>5.96E-2</v>
          </cell>
          <cell r="AT41">
            <v>5.96E-2</v>
          </cell>
          <cell r="AU41">
            <v>5.96E-2</v>
          </cell>
          <cell r="AV41">
            <v>5.96E-2</v>
          </cell>
          <cell r="AW41">
            <v>5.96E-2</v>
          </cell>
          <cell r="AX41">
            <v>5.96E-2</v>
          </cell>
          <cell r="AY41">
            <v>5.96E-2</v>
          </cell>
          <cell r="AZ41">
            <v>5.96E-2</v>
          </cell>
          <cell r="BA41">
            <v>5.96E-2</v>
          </cell>
          <cell r="BB41">
            <v>5.96E-2</v>
          </cell>
          <cell r="BC41">
            <v>5.96E-2</v>
          </cell>
          <cell r="BD41">
            <v>5.96E-2</v>
          </cell>
          <cell r="BE41">
            <v>5.96E-2</v>
          </cell>
          <cell r="BF41">
            <v>5.96E-2</v>
          </cell>
          <cell r="BG41">
            <v>5.96E-2</v>
          </cell>
          <cell r="BH41">
            <v>5.96E-2</v>
          </cell>
          <cell r="BI41">
            <v>5.96E-2</v>
          </cell>
          <cell r="BJ41">
            <v>5.96E-2</v>
          </cell>
          <cell r="BK41">
            <v>5.96E-2</v>
          </cell>
          <cell r="BL41">
            <v>5.96E-2</v>
          </cell>
          <cell r="BM41">
            <v>5.96E-2</v>
          </cell>
          <cell r="BN41">
            <v>5.96E-2</v>
          </cell>
          <cell r="BO41">
            <v>5.96E-2</v>
          </cell>
          <cell r="BP41">
            <v>5.96E-2</v>
          </cell>
          <cell r="BQ41">
            <v>5.96E-2</v>
          </cell>
          <cell r="BR41">
            <v>5.96E-2</v>
          </cell>
          <cell r="BS41">
            <v>5.96E-2</v>
          </cell>
          <cell r="BT41">
            <v>5.96E-2</v>
          </cell>
          <cell r="BU41">
            <v>5.96E-2</v>
          </cell>
          <cell r="BV41">
            <v>5.96E-2</v>
          </cell>
          <cell r="BW41">
            <v>5.96E-2</v>
          </cell>
          <cell r="BX41">
            <v>5.96E-2</v>
          </cell>
          <cell r="BY41">
            <v>5.96E-2</v>
          </cell>
          <cell r="BZ41">
            <v>5.96E-2</v>
          </cell>
          <cell r="CA41">
            <v>5.96E-2</v>
          </cell>
          <cell r="CB41">
            <v>5.96E-2</v>
          </cell>
          <cell r="CC41">
            <v>5.96E-2</v>
          </cell>
        </row>
        <row r="42">
          <cell r="I42">
            <v>16.989093052631578</v>
          </cell>
          <cell r="J42">
            <v>16.989093052631578</v>
          </cell>
          <cell r="K42">
            <v>16.989093052631578</v>
          </cell>
          <cell r="L42">
            <v>16.989093052631578</v>
          </cell>
          <cell r="M42">
            <v>16.989093052631578</v>
          </cell>
          <cell r="N42">
            <v>16.989093052631578</v>
          </cell>
          <cell r="O42">
            <v>16.989093052631578</v>
          </cell>
          <cell r="P42">
            <v>16.989093052631578</v>
          </cell>
          <cell r="Q42">
            <v>16.989093052631578</v>
          </cell>
          <cell r="R42">
            <v>16.989093052631578</v>
          </cell>
          <cell r="S42">
            <v>16.989093052631578</v>
          </cell>
          <cell r="T42">
            <v>16.989093052631578</v>
          </cell>
          <cell r="U42">
            <v>16.989093052631578</v>
          </cell>
          <cell r="V42">
            <v>16.989093052631578</v>
          </cell>
          <cell r="W42">
            <v>16.989093052631578</v>
          </cell>
          <cell r="X42">
            <v>16.989093052631578</v>
          </cell>
          <cell r="Y42">
            <v>16.989093052631578</v>
          </cell>
          <cell r="Z42">
            <v>16.989093052631578</v>
          </cell>
          <cell r="AA42">
            <v>16.989093052631578</v>
          </cell>
          <cell r="AB42">
            <v>16.989093052631578</v>
          </cell>
          <cell r="AC42">
            <v>16.989093052631578</v>
          </cell>
          <cell r="AD42">
            <v>16.989093052631578</v>
          </cell>
          <cell r="AE42">
            <v>16.989093052631578</v>
          </cell>
          <cell r="AF42">
            <v>16.989093052631578</v>
          </cell>
          <cell r="AG42">
            <v>16.989093052631578</v>
          </cell>
          <cell r="AH42">
            <v>16.989093052631578</v>
          </cell>
          <cell r="AI42">
            <v>16.989093052631578</v>
          </cell>
          <cell r="AJ42">
            <v>16.989093052631578</v>
          </cell>
          <cell r="AK42">
            <v>16.989093052631578</v>
          </cell>
          <cell r="AL42">
            <v>16.989093052631578</v>
          </cell>
          <cell r="AM42">
            <v>16.989093052631578</v>
          </cell>
          <cell r="AN42">
            <v>16.989093052631578</v>
          </cell>
          <cell r="AO42">
            <v>16.989093052631578</v>
          </cell>
          <cell r="AP42">
            <v>16.989093052631578</v>
          </cell>
          <cell r="AQ42">
            <v>16.989093052631578</v>
          </cell>
          <cell r="AR42">
            <v>16.989093052631578</v>
          </cell>
          <cell r="AS42">
            <v>16.989093052631578</v>
          </cell>
          <cell r="AT42">
            <v>16.989093052631578</v>
          </cell>
          <cell r="AU42">
            <v>16.989093052631578</v>
          </cell>
          <cell r="AV42">
            <v>16.989093052631578</v>
          </cell>
          <cell r="AW42">
            <v>16.989093052631578</v>
          </cell>
          <cell r="AX42">
            <v>16.989093052631578</v>
          </cell>
          <cell r="AY42">
            <v>16.989093052631578</v>
          </cell>
          <cell r="AZ42">
            <v>16.989093052631578</v>
          </cell>
          <cell r="BA42">
            <v>16.989093052631578</v>
          </cell>
          <cell r="BB42">
            <v>16.989093052631578</v>
          </cell>
          <cell r="BC42">
            <v>16.989093052631578</v>
          </cell>
          <cell r="BD42">
            <v>16.989093052631578</v>
          </cell>
          <cell r="BE42">
            <v>16.989093052631578</v>
          </cell>
          <cell r="BF42">
            <v>16.989093052631578</v>
          </cell>
          <cell r="BG42">
            <v>16.989093052631578</v>
          </cell>
          <cell r="BH42">
            <v>16.989093052631578</v>
          </cell>
          <cell r="BI42">
            <v>16.989093052631578</v>
          </cell>
          <cell r="BJ42">
            <v>16.989093052631578</v>
          </cell>
          <cell r="BK42">
            <v>16.989093052631578</v>
          </cell>
          <cell r="BL42">
            <v>16.989093052631578</v>
          </cell>
          <cell r="BM42">
            <v>16.989093052631578</v>
          </cell>
          <cell r="BN42">
            <v>16.989093052631578</v>
          </cell>
          <cell r="BO42">
            <v>16.989093052631578</v>
          </cell>
          <cell r="BP42">
            <v>16.989093052631578</v>
          </cell>
          <cell r="BQ42">
            <v>16.989093052631578</v>
          </cell>
          <cell r="BR42">
            <v>16.989093052631578</v>
          </cell>
          <cell r="BS42">
            <v>16.989093052631578</v>
          </cell>
          <cell r="BT42">
            <v>16.989093052631578</v>
          </cell>
          <cell r="BU42">
            <v>16.989093052631578</v>
          </cell>
          <cell r="BV42">
            <v>16.989093052631578</v>
          </cell>
          <cell r="BW42">
            <v>16.989093052631578</v>
          </cell>
          <cell r="BX42">
            <v>16.989093052631578</v>
          </cell>
          <cell r="BY42">
            <v>16.989093052631578</v>
          </cell>
          <cell r="BZ42">
            <v>16.989093052631578</v>
          </cell>
          <cell r="CA42">
            <v>16.989093052631578</v>
          </cell>
          <cell r="CB42">
            <v>16.989093052631578</v>
          </cell>
          <cell r="CC42">
            <v>16.989093052631578</v>
          </cell>
        </row>
        <row r="43">
          <cell r="I43">
            <v>12061468.619514655</v>
          </cell>
          <cell r="J43">
            <v>479889.40560986369</v>
          </cell>
          <cell r="K43">
            <v>11260637.652161049</v>
          </cell>
          <cell r="L43">
            <v>3307373.1089894534</v>
          </cell>
          <cell r="M43">
            <v>10801396.549097925</v>
          </cell>
          <cell r="N43">
            <v>22349706.732376069</v>
          </cell>
          <cell r="O43">
            <v>18493432.328526173</v>
          </cell>
          <cell r="P43">
            <v>12266383.28754429</v>
          </cell>
          <cell r="Q43">
            <v>2069458.0471642755</v>
          </cell>
          <cell r="R43">
            <v>184934.35398704067</v>
          </cell>
          <cell r="S43">
            <v>3693997.0013559703</v>
          </cell>
          <cell r="T43">
            <v>480313.58594530605</v>
          </cell>
          <cell r="U43">
            <v>2351658.9567958293</v>
          </cell>
          <cell r="V43">
            <v>85379945.311239257</v>
          </cell>
          <cell r="W43">
            <v>12062450.132374806</v>
          </cell>
          <cell r="X43">
            <v>34602624.275975451</v>
          </cell>
          <cell r="Y43">
            <v>5546492.6090508597</v>
          </cell>
          <cell r="Z43">
            <v>725251.07129706314</v>
          </cell>
          <cell r="AA43">
            <v>7807708.5622672215</v>
          </cell>
          <cell r="AB43">
            <v>7739858.7327648811</v>
          </cell>
          <cell r="AC43">
            <v>869729.54327890556</v>
          </cell>
          <cell r="AD43">
            <v>15268857.805913685</v>
          </cell>
          <cell r="AE43">
            <v>3043922.2279640171</v>
          </cell>
          <cell r="AF43">
            <v>17048266.493832588</v>
          </cell>
          <cell r="AG43">
            <v>7053403.4907369427</v>
          </cell>
          <cell r="AH43">
            <v>8973988.8496833388</v>
          </cell>
          <cell r="AI43">
            <v>323871.47431091208</v>
          </cell>
          <cell r="AJ43">
            <v>65449394.569667071</v>
          </cell>
          <cell r="AK43">
            <v>143050.90055900009</v>
          </cell>
          <cell r="AL43">
            <v>482817.56637731165</v>
          </cell>
          <cell r="AM43">
            <v>62611816.064499915</v>
          </cell>
          <cell r="AN43">
            <v>714915314.95151985</v>
          </cell>
          <cell r="AO43">
            <v>111356552.91331275</v>
          </cell>
          <cell r="AP43">
            <v>6251666.5970228016</v>
          </cell>
          <cell r="AQ43">
            <v>1105187.495602536</v>
          </cell>
          <cell r="AR43">
            <v>7354109.9639135785</v>
          </cell>
          <cell r="AS43">
            <v>26935883.121869557</v>
          </cell>
          <cell r="AT43">
            <v>2068175.5895273115</v>
          </cell>
          <cell r="AU43">
            <v>3105554.5588816404</v>
          </cell>
          <cell r="AV43">
            <v>39627171.629667908</v>
          </cell>
          <cell r="AW43">
            <v>2405395.495287125</v>
          </cell>
          <cell r="AX43">
            <v>13885853.910927815</v>
          </cell>
          <cell r="AY43">
            <v>11542365.608476276</v>
          </cell>
          <cell r="AZ43">
            <v>20834452.98009403</v>
          </cell>
          <cell r="BA43">
            <v>3890130.9322912609</v>
          </cell>
          <cell r="BB43">
            <v>7396521.4050330305</v>
          </cell>
          <cell r="BC43">
            <v>9174129.2948959395</v>
          </cell>
          <cell r="BD43">
            <v>1484059.0750553196</v>
          </cell>
          <cell r="BE43">
            <v>30499177.101778887</v>
          </cell>
          <cell r="BF43">
            <v>3325594.4143462284</v>
          </cell>
          <cell r="BG43">
            <v>3370878.6828024969</v>
          </cell>
          <cell r="BH43">
            <v>16742890.400485195</v>
          </cell>
          <cell r="BI43">
            <v>2297661.7737019509</v>
          </cell>
          <cell r="BJ43">
            <v>1170225.7101450195</v>
          </cell>
          <cell r="BK43">
            <v>12364177.271242846</v>
          </cell>
          <cell r="BL43">
            <v>149127718.90079063</v>
          </cell>
          <cell r="BM43">
            <v>11484980.847852979</v>
          </cell>
          <cell r="BN43">
            <v>1130661.5445440111</v>
          </cell>
          <cell r="BO43">
            <v>1035425.2494163533</v>
          </cell>
          <cell r="BP43">
            <v>836233.67371287127</v>
          </cell>
          <cell r="BQ43">
            <v>4635215.8129069163</v>
          </cell>
          <cell r="BR43">
            <v>16336815.563315401</v>
          </cell>
          <cell r="BS43">
            <v>2078980.4651164864</v>
          </cell>
          <cell r="BT43">
            <v>446117007.53297782</v>
          </cell>
          <cell r="BU43">
            <v>36716863.403595835</v>
          </cell>
          <cell r="BV43">
            <v>2510806.2034164015</v>
          </cell>
          <cell r="BW43">
            <v>26910118.171863444</v>
          </cell>
          <cell r="BX43">
            <v>4653232.4862674484</v>
          </cell>
          <cell r="BY43">
            <v>1177199.6428935905</v>
          </cell>
          <cell r="BZ43">
            <v>1253214.6606374839</v>
          </cell>
          <cell r="CA43">
            <v>6774352.591071778</v>
          </cell>
          <cell r="CB43">
            <v>15158806.365079423</v>
          </cell>
          <cell r="CC43">
            <v>7298710.985353929</v>
          </cell>
        </row>
        <row r="44">
          <cell r="I44">
            <v>3.5822778106469437E-2</v>
          </cell>
          <cell r="J44">
            <v>4.5762174927717987E-3</v>
          </cell>
          <cell r="K44">
            <v>-1.7889806468816959E-2</v>
          </cell>
          <cell r="L44">
            <v>-1.6545358227500574E-2</v>
          </cell>
          <cell r="M44">
            <v>-3.4317707785111166E-2</v>
          </cell>
          <cell r="N44">
            <v>-3.2161064918819149E-2</v>
          </cell>
          <cell r="O44">
            <v>3.7982634686330202E-2</v>
          </cell>
          <cell r="P44">
            <v>6.1572202112070686E-2</v>
          </cell>
          <cell r="Q44">
            <v>0.13827672878427241</v>
          </cell>
          <cell r="R44">
            <v>-1.8976688813113582E-2</v>
          </cell>
          <cell r="S44">
            <v>-2.8882882556381318E-2</v>
          </cell>
          <cell r="T44">
            <v>-6.717921454434421E-2</v>
          </cell>
          <cell r="U44">
            <v>-5.7314332964551858E-2</v>
          </cell>
          <cell r="V44">
            <v>-8.2237642415970008E-3</v>
          </cell>
          <cell r="W44">
            <v>1.154956853268645E-2</v>
          </cell>
          <cell r="X44">
            <v>-7.558000367846175E-3</v>
          </cell>
          <cell r="Y44">
            <v>-1.7993562884680398E-3</v>
          </cell>
          <cell r="Z44">
            <v>-1.840271416554818E-2</v>
          </cell>
          <cell r="AA44">
            <v>2.6345003068878156E-3</v>
          </cell>
          <cell r="AB44">
            <v>-7.7716943487112346E-4</v>
          </cell>
          <cell r="AC44">
            <v>-2.1143897459708041E-2</v>
          </cell>
          <cell r="AD44">
            <v>-1.7857650346877703E-2</v>
          </cell>
          <cell r="AE44">
            <v>-1.5088056419361265E-2</v>
          </cell>
          <cell r="AF44">
            <v>-1.1828577269777805E-3</v>
          </cell>
          <cell r="AG44">
            <v>4.7712345678113624E-2</v>
          </cell>
          <cell r="AH44">
            <v>2.5535391420634407E-2</v>
          </cell>
          <cell r="AI44">
            <v>-5.1587345654749539E-2</v>
          </cell>
          <cell r="AJ44">
            <v>3.7407683041101839E-3</v>
          </cell>
          <cell r="AK44">
            <v>-4.9510908899932753E-2</v>
          </cell>
          <cell r="AL44">
            <v>-2.8035945648007619E-2</v>
          </cell>
          <cell r="AM44">
            <v>1.9010651227364055E-2</v>
          </cell>
          <cell r="AN44">
            <v>-6.3817076887381946E-2</v>
          </cell>
          <cell r="AO44">
            <v>4.401780670419312E-2</v>
          </cell>
          <cell r="AP44">
            <v>2.0841695990727837E-2</v>
          </cell>
          <cell r="AQ44">
            <v>-1.8865523316875094E-2</v>
          </cell>
          <cell r="AR44">
            <v>4.263541706995143E-3</v>
          </cell>
          <cell r="AS44">
            <v>2.2457595557380944E-2</v>
          </cell>
          <cell r="AT44">
            <v>-8.464689934628223E-3</v>
          </cell>
          <cell r="AU44">
            <v>-5.8881058761277002E-3</v>
          </cell>
          <cell r="AV44">
            <v>-4.1832560098411502E-3</v>
          </cell>
          <cell r="AW44">
            <v>-3.9343819577664666E-3</v>
          </cell>
          <cell r="AX44">
            <v>-1.4404389654246957E-2</v>
          </cell>
          <cell r="AY44">
            <v>1.0321312558214711E-3</v>
          </cell>
          <cell r="AZ44">
            <v>8.4123755208323427E-4</v>
          </cell>
          <cell r="BA44">
            <v>-9.7149736074277349E-3</v>
          </cell>
          <cell r="BB44">
            <v>-1.5072270934690025E-2</v>
          </cell>
          <cell r="BC44">
            <v>5.9914698710131324E-3</v>
          </cell>
          <cell r="BD44">
            <v>0.10060254627592354</v>
          </cell>
          <cell r="BE44">
            <v>-2.9890340883455532E-2</v>
          </cell>
          <cell r="BF44">
            <v>-2.7127640828820555E-2</v>
          </cell>
          <cell r="BG44">
            <v>4.9550559286611562E-2</v>
          </cell>
          <cell r="BH44">
            <v>1.1241358938988264E-2</v>
          </cell>
          <cell r="BI44">
            <v>-7.4383841123092992E-3</v>
          </cell>
          <cell r="BJ44">
            <v>9.1432345034213519E-2</v>
          </cell>
          <cell r="BK44">
            <v>-2.5391812269460849E-2</v>
          </cell>
          <cell r="BL44">
            <v>1.2130960693741392E-2</v>
          </cell>
          <cell r="BM44">
            <v>3.9560174131223362E-2</v>
          </cell>
          <cell r="BN44">
            <v>-3.4478485438114888E-2</v>
          </cell>
          <cell r="BO44">
            <v>-1.5196731577354837E-2</v>
          </cell>
          <cell r="BP44">
            <v>-2.9677112033706675E-2</v>
          </cell>
          <cell r="BQ44">
            <v>-2.384987870395398E-2</v>
          </cell>
          <cell r="BR44">
            <v>3.9448864462143874E-3</v>
          </cell>
          <cell r="BS44">
            <v>-3.6947843006050272E-2</v>
          </cell>
          <cell r="BT44">
            <v>2.3873784878924154E-2</v>
          </cell>
          <cell r="BU44">
            <v>-5.7023147271800155E-2</v>
          </cell>
          <cell r="BV44">
            <v>1.5649871628353341E-2</v>
          </cell>
          <cell r="BW44">
            <v>1.5726768730245363E-2</v>
          </cell>
          <cell r="BX44">
            <v>-2.1835986787495945E-2</v>
          </cell>
          <cell r="BY44">
            <v>4.2624554229777256E-4</v>
          </cell>
          <cell r="BZ44">
            <v>9.7032243391199105E-2</v>
          </cell>
          <cell r="CA44">
            <v>-1.8391120626306181E-2</v>
          </cell>
          <cell r="CB44">
            <v>-4.1565650938706893E-2</v>
          </cell>
          <cell r="CC44">
            <v>-2.0872041283446205E-2</v>
          </cell>
        </row>
        <row r="46">
          <cell r="I46">
            <v>22733860.889514655</v>
          </cell>
          <cell r="J46">
            <v>1511564.7656098637</v>
          </cell>
          <cell r="K46">
            <v>23242931.082161047</v>
          </cell>
          <cell r="L46">
            <v>7206486.1589894528</v>
          </cell>
          <cell r="M46">
            <v>19528936.489097923</v>
          </cell>
          <cell r="N46">
            <v>39123543.702376068</v>
          </cell>
          <cell r="O46">
            <v>32590065.828526173</v>
          </cell>
          <cell r="P46">
            <v>20741069.317544289</v>
          </cell>
          <cell r="Q46">
            <v>4117968.9471642757</v>
          </cell>
          <cell r="R46">
            <v>814736.22398704069</v>
          </cell>
          <cell r="S46">
            <v>8132348.2813559705</v>
          </cell>
          <cell r="T46">
            <v>1114938.1559453062</v>
          </cell>
          <cell r="U46">
            <v>4603088.2767958287</v>
          </cell>
          <cell r="V46">
            <v>138360699.05123925</v>
          </cell>
          <cell r="W46">
            <v>21443207.722374804</v>
          </cell>
          <cell r="X46">
            <v>56114557.375975452</v>
          </cell>
          <cell r="Y46">
            <v>11050924.22905086</v>
          </cell>
          <cell r="Z46">
            <v>2020618.3217970631</v>
          </cell>
          <cell r="AA46">
            <v>13693703.762267223</v>
          </cell>
          <cell r="AB46">
            <v>12663245.782764882</v>
          </cell>
          <cell r="AC46">
            <v>2298001.7732789055</v>
          </cell>
          <cell r="AD46">
            <v>26349437.485913686</v>
          </cell>
          <cell r="AE46">
            <v>5697275.2779640164</v>
          </cell>
          <cell r="AF46">
            <v>31818226.153832588</v>
          </cell>
          <cell r="AG46">
            <v>14458553.360736942</v>
          </cell>
          <cell r="AH46">
            <v>13795324.849683339</v>
          </cell>
          <cell r="AI46">
            <v>1154660.814310912</v>
          </cell>
          <cell r="AJ46">
            <v>119219771.24966708</v>
          </cell>
          <cell r="AK46">
            <v>647592.09055900015</v>
          </cell>
          <cell r="AL46">
            <v>1567049.5063773117</v>
          </cell>
          <cell r="AM46">
            <v>85534748.064499915</v>
          </cell>
          <cell r="AN46">
            <v>1276679144.64152</v>
          </cell>
          <cell r="AO46">
            <v>182188446.12231275</v>
          </cell>
          <cell r="AP46">
            <v>11234850.327022802</v>
          </cell>
          <cell r="AQ46">
            <v>2959685.495602536</v>
          </cell>
          <cell r="AR46">
            <v>13997378.963913579</v>
          </cell>
          <cell r="AS46">
            <v>41940380.711869553</v>
          </cell>
          <cell r="AT46">
            <v>4579831.3995273113</v>
          </cell>
          <cell r="AU46">
            <v>6832691.5688816402</v>
          </cell>
          <cell r="AV46">
            <v>70382113.719667912</v>
          </cell>
          <cell r="AW46">
            <v>4640707.4352871254</v>
          </cell>
          <cell r="AX46">
            <v>22268019.910927817</v>
          </cell>
          <cell r="AY46">
            <v>18797777.988476276</v>
          </cell>
          <cell r="AZ46">
            <v>34415401.540094033</v>
          </cell>
          <cell r="BA46">
            <v>6036142.0622912608</v>
          </cell>
          <cell r="BB46">
            <v>13329217.775033031</v>
          </cell>
          <cell r="BC46">
            <v>14708022.264895938</v>
          </cell>
          <cell r="BD46">
            <v>4169223.7540553194</v>
          </cell>
          <cell r="BE46">
            <v>47294710.951778881</v>
          </cell>
          <cell r="BF46">
            <v>6641297.7743462287</v>
          </cell>
          <cell r="BG46">
            <v>7811673.4028024971</v>
          </cell>
          <cell r="BH46">
            <v>27239374.430485196</v>
          </cell>
          <cell r="BI46">
            <v>5412394.6237019505</v>
          </cell>
          <cell r="BJ46">
            <v>2786306.5701450193</v>
          </cell>
          <cell r="BK46">
            <v>20152291.131242845</v>
          </cell>
          <cell r="BL46">
            <v>226405635.49079064</v>
          </cell>
          <cell r="BM46">
            <v>22933877.207852978</v>
          </cell>
          <cell r="BN46">
            <v>2369550.2745440109</v>
          </cell>
          <cell r="BO46">
            <v>2865441.259416353</v>
          </cell>
          <cell r="BP46">
            <v>2220174.4837128716</v>
          </cell>
          <cell r="BQ46">
            <v>8453199.9529069178</v>
          </cell>
          <cell r="BR46">
            <v>29347271.1633154</v>
          </cell>
          <cell r="BS46">
            <v>5050561.0551164867</v>
          </cell>
          <cell r="BT46">
            <v>678621080.63297772</v>
          </cell>
          <cell r="BU46">
            <v>61508156.293595836</v>
          </cell>
          <cell r="BV46">
            <v>5221492.0034164013</v>
          </cell>
          <cell r="BW46">
            <v>39453850.091863446</v>
          </cell>
          <cell r="BX46">
            <v>10542874.656267449</v>
          </cell>
          <cell r="BY46">
            <v>2901330.4728935906</v>
          </cell>
          <cell r="BZ46">
            <v>3083222.6606374839</v>
          </cell>
          <cell r="CA46">
            <v>12497406.531071778</v>
          </cell>
          <cell r="CB46">
            <v>25226684.515079424</v>
          </cell>
          <cell r="CC46">
            <v>11232274.72535393</v>
          </cell>
        </row>
        <row r="47">
          <cell r="I47">
            <v>20981994.964634076</v>
          </cell>
          <cell r="J47">
            <v>1754377.2065460407</v>
          </cell>
          <cell r="K47">
            <v>22362285.171732154</v>
          </cell>
          <cell r="L47">
            <v>7397119.843637418</v>
          </cell>
          <cell r="M47">
            <v>18977705.706258759</v>
          </cell>
          <cell r="N47">
            <v>38374757.062164299</v>
          </cell>
          <cell r="O47">
            <v>30817223.337380707</v>
          </cell>
          <cell r="P47">
            <v>19297089.066233084</v>
          </cell>
          <cell r="Q47">
            <v>3979406.0869381302</v>
          </cell>
          <cell r="R47">
            <v>820396.34630159033</v>
          </cell>
          <cell r="S47">
            <v>8348785.3610004466</v>
          </cell>
          <cell r="T47">
            <v>1041420.0678838722</v>
          </cell>
          <cell r="U47">
            <v>4791708.6742231688</v>
          </cell>
          <cell r="V47">
            <v>136328854.02869692</v>
          </cell>
          <cell r="W47">
            <v>19913345.352875028</v>
          </cell>
          <cell r="X47">
            <v>60335771.026821151</v>
          </cell>
          <cell r="Y47">
            <v>10410132.72968629</v>
          </cell>
          <cell r="Z47">
            <v>2044172.1740882096</v>
          </cell>
          <cell r="AA47">
            <v>13821260.761469487</v>
          </cell>
          <cell r="AB47">
            <v>12274787.504067503</v>
          </cell>
          <cell r="AC47">
            <v>2407423.1513045076</v>
          </cell>
          <cell r="AD47">
            <v>28347030.303100459</v>
          </cell>
          <cell r="AE47">
            <v>5952299.7455114294</v>
          </cell>
          <cell r="AF47">
            <v>30251836.195831053</v>
          </cell>
          <cell r="AG47">
            <v>14742058.448549505</v>
          </cell>
          <cell r="AH47">
            <v>14284052.472260691</v>
          </cell>
          <cell r="AI47">
            <v>1164890.0332964999</v>
          </cell>
          <cell r="AJ47">
            <v>111455287.93956229</v>
          </cell>
          <cell r="AK47">
            <v>638767.18865154916</v>
          </cell>
          <cell r="AL47">
            <v>1460850.9467488646</v>
          </cell>
          <cell r="AM47">
            <v>80956049.047171786</v>
          </cell>
          <cell r="AN47">
            <v>1271065511.2212262</v>
          </cell>
          <cell r="AO47">
            <v>176005101.8468529</v>
          </cell>
          <cell r="AP47">
            <v>10838037.250826858</v>
          </cell>
          <cell r="AQ47">
            <v>2932018.5312212221</v>
          </cell>
          <cell r="AR47">
            <v>13196025.155198541</v>
          </cell>
          <cell r="AS47">
            <v>40050654.967137828</v>
          </cell>
          <cell r="AT47">
            <v>4198181.8726248443</v>
          </cell>
          <cell r="AU47">
            <v>6218696.572708603</v>
          </cell>
          <cell r="AV47">
            <v>69305484.91096589</v>
          </cell>
          <cell r="AW47">
            <v>4697376.8152576415</v>
          </cell>
          <cell r="AX47">
            <v>20805955.666340332</v>
          </cell>
          <cell r="AY47">
            <v>18162346.538062785</v>
          </cell>
          <cell r="AZ47">
            <v>35011383.295872569</v>
          </cell>
          <cell r="BA47">
            <v>5884503.4237213321</v>
          </cell>
          <cell r="BB47">
            <v>13466824.174624801</v>
          </cell>
          <cell r="BC47">
            <v>14342640.242384795</v>
          </cell>
          <cell r="BD47">
            <v>3805160.3493723506</v>
          </cell>
          <cell r="BE47">
            <v>44547306.810539849</v>
          </cell>
          <cell r="BF47">
            <v>6448434.0494857719</v>
          </cell>
          <cell r="BG47">
            <v>7795433.1022064704</v>
          </cell>
          <cell r="BH47">
            <v>27221055.490963772</v>
          </cell>
          <cell r="BI47">
            <v>4998427.4667390939</v>
          </cell>
          <cell r="BJ47">
            <v>2430907.8856105106</v>
          </cell>
          <cell r="BK47">
            <v>19090875.396904007</v>
          </cell>
          <cell r="BL47">
            <v>219535438.49113721</v>
          </cell>
          <cell r="BM47">
            <v>20339820.42132749</v>
          </cell>
          <cell r="BN47">
            <v>2363872.9988664845</v>
          </cell>
          <cell r="BO47">
            <v>2794639.0154434275</v>
          </cell>
          <cell r="BP47">
            <v>2243561.47213841</v>
          </cell>
          <cell r="BQ47">
            <v>9449089.9820986763</v>
          </cell>
          <cell r="BR47">
            <v>28384243.778951205</v>
          </cell>
          <cell r="BS47">
            <v>4523415.4014916858</v>
          </cell>
          <cell r="BT47">
            <v>647051449.48207307</v>
          </cell>
          <cell r="BU47">
            <v>63745051.654940054</v>
          </cell>
          <cell r="BV47">
            <v>5098417.0823419215</v>
          </cell>
          <cell r="BW47">
            <v>35935669.462114483</v>
          </cell>
          <cell r="BX47">
            <v>10635747.621779993</v>
          </cell>
          <cell r="BY47">
            <v>2701258.7862181328</v>
          </cell>
          <cell r="BZ47">
            <v>2798145.8204032625</v>
          </cell>
          <cell r="CA47">
            <v>11468697.628325228</v>
          </cell>
          <cell r="CB47">
            <v>24564528.153923504</v>
          </cell>
          <cell r="CC47">
            <v>11170085.574111272</v>
          </cell>
        </row>
        <row r="48">
          <cell r="I48">
            <v>8.0190794871447105E-2</v>
          </cell>
          <cell r="J48">
            <v>-0.14896854298536316</v>
          </cell>
          <cell r="K48">
            <v>3.8625204168555083E-2</v>
          </cell>
          <cell r="L48">
            <v>-2.6109238218360205E-2</v>
          </cell>
          <cell r="M48">
            <v>2.8632381831059699E-2</v>
          </cell>
          <cell r="N48">
            <v>1.9324551243382105E-2</v>
          </cell>
          <cell r="O48">
            <v>5.5933779795484924E-2</v>
          </cell>
          <cell r="P48">
            <v>7.2161500743526785E-2</v>
          </cell>
          <cell r="Q48">
            <v>3.4227484046679739E-2</v>
          </cell>
          <cell r="R48">
            <v>-6.9231633262544987E-3</v>
          </cell>
          <cell r="S48">
            <v>-2.626633918490167E-2</v>
          </cell>
          <cell r="T48">
            <v>6.8213706191249543E-2</v>
          </cell>
          <cell r="U48">
            <v>-4.0159622019737627E-2</v>
          </cell>
          <cell r="V48">
            <v>1.4794025164992107E-2</v>
          </cell>
          <cell r="W48">
            <v>7.4017811215965873E-2</v>
          </cell>
          <cell r="X48">
            <v>-7.2529876906135424E-2</v>
          </cell>
          <cell r="Y48">
            <v>5.973443234855292E-2</v>
          </cell>
          <cell r="Z48">
            <v>-1.1589338218690312E-2</v>
          </cell>
          <cell r="AA48">
            <v>-9.2718936932948189E-3</v>
          </cell>
          <cell r="AB48">
            <v>3.1156402547999531E-2</v>
          </cell>
          <cell r="AC48">
            <v>-4.6516992554460491E-2</v>
          </cell>
          <cell r="AD48">
            <v>-7.3075346497239541E-2</v>
          </cell>
          <cell r="AE48">
            <v>-4.3789617589709437E-2</v>
          </cell>
          <cell r="AF48">
            <v>5.0482391767016986E-2</v>
          </cell>
          <cell r="AG48">
            <v>-1.9418360006344216E-2</v>
          </cell>
          <cell r="AH48">
            <v>-3.481394746838995E-2</v>
          </cell>
          <cell r="AI48">
            <v>-8.8200569604824017E-3</v>
          </cell>
          <cell r="AJ48">
            <v>6.7345101615646455E-2</v>
          </cell>
          <cell r="AK48">
            <v>1.3720957280097892E-2</v>
          </cell>
          <cell r="AL48">
            <v>7.017544979441305E-2</v>
          </cell>
          <cell r="AM48">
            <v>5.5016300438085558E-2</v>
          </cell>
          <cell r="AN48">
            <v>4.4067544146247787E-3</v>
          </cell>
          <cell r="AO48">
            <v>3.4528587271289733E-2</v>
          </cell>
          <cell r="AP48">
            <v>3.5958669325909368E-2</v>
          </cell>
          <cell r="AQ48">
            <v>9.3919068661588601E-3</v>
          </cell>
          <cell r="AR48">
            <v>5.8954435585642118E-2</v>
          </cell>
          <cell r="AS48">
            <v>4.610407585188217E-2</v>
          </cell>
          <cell r="AT48">
            <v>8.7010641022003898E-2</v>
          </cell>
          <cell r="AU48">
            <v>9.4158345752150013E-2</v>
          </cell>
          <cell r="AV48">
            <v>1.5415113993393646E-2</v>
          </cell>
          <cell r="AW48">
            <v>-1.2137409375169446E-2</v>
          </cell>
          <cell r="AX48">
            <v>6.7912288635519888E-2</v>
          </cell>
          <cell r="AY48">
            <v>3.4388091271653279E-2</v>
          </cell>
          <cell r="AZ48">
            <v>-1.7169062264445846E-2</v>
          </cell>
          <cell r="BA48">
            <v>2.5442719306508658E-2</v>
          </cell>
          <cell r="BB48">
            <v>-1.0270741440220643E-2</v>
          </cell>
          <cell r="BC48">
            <v>2.5156141687741166E-2</v>
          </cell>
          <cell r="BD48">
            <v>9.1371736196705758E-2</v>
          </cell>
          <cell r="BE48">
            <v>5.9846771141446695E-2</v>
          </cell>
          <cell r="BF48">
            <v>2.9470074028940967E-2</v>
          </cell>
          <cell r="BG48">
            <v>2.081142517021739E-3</v>
          </cell>
          <cell r="BH48">
            <v>6.7274313620913518E-4</v>
          </cell>
          <cell r="BI48">
            <v>7.9568267762758493E-2</v>
          </cell>
          <cell r="BJ48">
            <v>0.13645210578574102</v>
          </cell>
          <cell r="BK48">
            <v>5.4107492719205889E-2</v>
          </cell>
          <cell r="BL48">
            <v>3.081456729491024E-2</v>
          </cell>
          <cell r="BM48">
            <v>0.12003460971053688</v>
          </cell>
          <cell r="BN48">
            <v>2.3988044474263508E-3</v>
          </cell>
          <cell r="BO48">
            <v>2.5019410977051688E-2</v>
          </cell>
          <cell r="BP48">
            <v>-1.0478757102069287E-2</v>
          </cell>
          <cell r="BQ48">
            <v>-0.11137337634324274</v>
          </cell>
          <cell r="BR48">
            <v>3.3365371560533999E-2</v>
          </cell>
          <cell r="BS48">
            <v>0.1102320088329112</v>
          </cell>
          <cell r="BT48">
            <v>4.7637105351222266E-2</v>
          </cell>
          <cell r="BU48">
            <v>-3.5721771247922987E-2</v>
          </cell>
          <cell r="BV48">
            <v>2.3853069921516003E-2</v>
          </cell>
          <cell r="BW48">
            <v>9.3401256193076848E-2</v>
          </cell>
          <cell r="BX48">
            <v>-8.7705007078557641E-3</v>
          </cell>
          <cell r="BY48">
            <v>7.1451534057072025E-2</v>
          </cell>
          <cell r="BZ48">
            <v>9.7018377538297909E-2</v>
          </cell>
          <cell r="CA48">
            <v>8.5899766490698456E-2</v>
          </cell>
          <cell r="CB48">
            <v>2.659888622413813E-2</v>
          </cell>
          <cell r="CC48">
            <v>5.5520320323347487E-3</v>
          </cell>
        </row>
        <row r="50">
          <cell r="Q50" t="str">
            <v>IFRS?</v>
          </cell>
        </row>
        <row r="51">
          <cell r="CB51">
            <v>0</v>
          </cell>
        </row>
        <row r="53">
          <cell r="AY53">
            <v>0</v>
          </cell>
          <cell r="AZ53">
            <v>0</v>
          </cell>
          <cell r="BA53">
            <v>0</v>
          </cell>
        </row>
        <row r="55">
          <cell r="I55">
            <v>11645</v>
          </cell>
          <cell r="J55">
            <v>1665</v>
          </cell>
          <cell r="K55">
            <v>35982</v>
          </cell>
          <cell r="L55">
            <v>9858</v>
          </cell>
          <cell r="M55">
            <v>38546</v>
          </cell>
          <cell r="N55">
            <v>66704</v>
          </cell>
          <cell r="O55">
            <v>52214</v>
          </cell>
          <cell r="P55">
            <v>28584</v>
          </cell>
          <cell r="Q55">
            <v>6710</v>
          </cell>
          <cell r="R55">
            <v>1247</v>
          </cell>
          <cell r="S55">
            <v>16260</v>
          </cell>
          <cell r="T55">
            <v>1962</v>
          </cell>
          <cell r="U55">
            <v>11483</v>
          </cell>
          <cell r="V55">
            <v>199871</v>
          </cell>
          <cell r="W55">
            <v>40385</v>
          </cell>
          <cell r="X55">
            <v>86018</v>
          </cell>
          <cell r="Y55">
            <v>18123</v>
          </cell>
          <cell r="Z55">
            <v>3301</v>
          </cell>
          <cell r="AA55">
            <v>28400</v>
          </cell>
          <cell r="AB55">
            <v>20187</v>
          </cell>
          <cell r="AC55">
            <v>3697</v>
          </cell>
          <cell r="AD55">
            <v>47074</v>
          </cell>
          <cell r="AE55">
            <v>10595</v>
          </cell>
          <cell r="AF55">
            <v>52323</v>
          </cell>
          <cell r="AG55">
            <v>21225</v>
          </cell>
          <cell r="AH55">
            <v>21499</v>
          </cell>
          <cell r="AI55">
            <v>2787</v>
          </cell>
          <cell r="AJ55">
            <v>238777</v>
          </cell>
          <cell r="AK55">
            <v>1220</v>
          </cell>
          <cell r="AL55">
            <v>5517</v>
          </cell>
          <cell r="AM55">
            <v>145983</v>
          </cell>
          <cell r="AN55">
            <v>1220476</v>
          </cell>
          <cell r="AO55">
            <v>314722</v>
          </cell>
          <cell r="AP55">
            <v>15341</v>
          </cell>
          <cell r="AQ55">
            <v>5567</v>
          </cell>
          <cell r="AR55">
            <v>27098</v>
          </cell>
          <cell r="AS55">
            <v>90019</v>
          </cell>
          <cell r="AT55">
            <v>9846</v>
          </cell>
          <cell r="AU55">
            <v>9765</v>
          </cell>
          <cell r="AV55">
            <v>150917</v>
          </cell>
          <cell r="AW55">
            <v>7013</v>
          </cell>
          <cell r="AX55">
            <v>34073</v>
          </cell>
          <cell r="AY55">
            <v>34626</v>
          </cell>
          <cell r="AZ55">
            <v>51213</v>
          </cell>
          <cell r="BA55">
            <v>8639</v>
          </cell>
          <cell r="BB55">
            <v>19342</v>
          </cell>
          <cell r="BC55">
            <v>23973</v>
          </cell>
          <cell r="BD55">
            <v>6065</v>
          </cell>
          <cell r="BE55">
            <v>64793</v>
          </cell>
          <cell r="BF55">
            <v>11508</v>
          </cell>
          <cell r="BG55">
            <v>13219</v>
          </cell>
          <cell r="BH55">
            <v>53969</v>
          </cell>
          <cell r="BI55">
            <v>10724</v>
          </cell>
          <cell r="BJ55">
            <v>3463</v>
          </cell>
          <cell r="BK55">
            <v>35845</v>
          </cell>
          <cell r="BL55">
            <v>346618</v>
          </cell>
          <cell r="BM55">
            <v>33367</v>
          </cell>
          <cell r="BN55">
            <v>4225</v>
          </cell>
          <cell r="BO55">
            <v>5859</v>
          </cell>
          <cell r="BP55">
            <v>2767</v>
          </cell>
          <cell r="BQ55">
            <v>15846</v>
          </cell>
          <cell r="BR55">
            <v>50190</v>
          </cell>
          <cell r="BS55">
            <v>6858</v>
          </cell>
          <cell r="BT55">
            <v>734576</v>
          </cell>
          <cell r="BU55">
            <v>116292</v>
          </cell>
          <cell r="BV55">
            <v>12816</v>
          </cell>
          <cell r="BW55">
            <v>54166</v>
          </cell>
          <cell r="BX55">
            <v>22330</v>
          </cell>
          <cell r="BY55">
            <v>3695</v>
          </cell>
          <cell r="BZ55">
            <v>3762</v>
          </cell>
          <cell r="CA55">
            <v>22725</v>
          </cell>
          <cell r="CB55">
            <v>41200</v>
          </cell>
          <cell r="CC55">
            <v>15534</v>
          </cell>
        </row>
        <row r="56">
          <cell r="I56">
            <v>11609</v>
          </cell>
          <cell r="J56">
            <v>1660</v>
          </cell>
          <cell r="K56">
            <v>35820</v>
          </cell>
          <cell r="L56">
            <v>9783</v>
          </cell>
          <cell r="M56">
            <v>38263</v>
          </cell>
          <cell r="N56">
            <v>65377</v>
          </cell>
          <cell r="O56">
            <v>51985</v>
          </cell>
          <cell r="P56">
            <v>28429.036100828482</v>
          </cell>
          <cell r="Q56">
            <v>6647</v>
          </cell>
          <cell r="R56">
            <v>1275</v>
          </cell>
          <cell r="S56">
            <v>15716</v>
          </cell>
          <cell r="T56">
            <v>1956</v>
          </cell>
          <cell r="U56">
            <v>11371</v>
          </cell>
          <cell r="V56">
            <v>197746</v>
          </cell>
          <cell r="W56">
            <v>40232</v>
          </cell>
          <cell r="X56">
            <v>85620</v>
          </cell>
          <cell r="Y56">
            <v>18451</v>
          </cell>
          <cell r="Z56">
            <v>3302</v>
          </cell>
          <cell r="AA56">
            <v>28130</v>
          </cell>
          <cell r="AB56">
            <v>20057</v>
          </cell>
          <cell r="AC56">
            <v>3780</v>
          </cell>
          <cell r="AD56">
            <v>46879</v>
          </cell>
          <cell r="AE56">
            <v>10488</v>
          </cell>
          <cell r="AF56">
            <v>51553</v>
          </cell>
          <cell r="AG56">
            <v>21166</v>
          </cell>
          <cell r="AH56">
            <v>20893</v>
          </cell>
          <cell r="AI56">
            <v>2787</v>
          </cell>
          <cell r="AJ56">
            <v>237185</v>
          </cell>
          <cell r="AK56">
            <v>1216</v>
          </cell>
          <cell r="AL56">
            <v>5579</v>
          </cell>
          <cell r="AM56">
            <v>141795</v>
          </cell>
          <cell r="AN56">
            <v>1221411</v>
          </cell>
          <cell r="AO56">
            <v>309534</v>
          </cell>
          <cell r="AP56">
            <v>15062</v>
          </cell>
          <cell r="AQ56">
            <v>5568</v>
          </cell>
          <cell r="AR56">
            <v>26775</v>
          </cell>
          <cell r="AS56">
            <v>89026</v>
          </cell>
          <cell r="AT56">
            <v>9773</v>
          </cell>
          <cell r="AU56">
            <v>9685</v>
          </cell>
          <cell r="AV56">
            <v>149742</v>
          </cell>
          <cell r="AW56">
            <v>6975</v>
          </cell>
          <cell r="AX56">
            <v>32324</v>
          </cell>
          <cell r="AY56">
            <v>33883</v>
          </cell>
          <cell r="AZ56">
            <v>50986</v>
          </cell>
          <cell r="BA56">
            <v>8187</v>
          </cell>
          <cell r="BB56">
            <v>19075</v>
          </cell>
          <cell r="BC56">
            <v>23972</v>
          </cell>
          <cell r="BD56">
            <v>6068</v>
          </cell>
          <cell r="BE56">
            <v>64106</v>
          </cell>
          <cell r="BF56">
            <v>11392</v>
          </cell>
          <cell r="BG56">
            <v>13146</v>
          </cell>
          <cell r="BH56">
            <v>53361</v>
          </cell>
          <cell r="BI56">
            <v>10633</v>
          </cell>
          <cell r="BJ56">
            <v>3480</v>
          </cell>
          <cell r="BK56">
            <v>35436</v>
          </cell>
          <cell r="BL56">
            <v>340343</v>
          </cell>
          <cell r="BM56">
            <v>33058</v>
          </cell>
          <cell r="BN56">
            <v>4215</v>
          </cell>
          <cell r="BO56">
            <v>5862</v>
          </cell>
          <cell r="BP56">
            <v>2755</v>
          </cell>
          <cell r="BQ56">
            <v>16563</v>
          </cell>
          <cell r="BR56">
            <v>49998</v>
          </cell>
          <cell r="BS56">
            <v>6782</v>
          </cell>
          <cell r="BT56">
            <v>718661</v>
          </cell>
          <cell r="BU56">
            <v>115280</v>
          </cell>
          <cell r="BV56">
            <v>12538</v>
          </cell>
          <cell r="BW56">
            <v>53388</v>
          </cell>
          <cell r="BX56">
            <v>22053</v>
          </cell>
          <cell r="BY56">
            <v>3649</v>
          </cell>
          <cell r="BZ56">
            <v>3753</v>
          </cell>
          <cell r="CA56">
            <v>22593</v>
          </cell>
          <cell r="CB56">
            <v>40915</v>
          </cell>
          <cell r="CC56">
            <v>15356</v>
          </cell>
        </row>
        <row r="57">
          <cell r="I57">
            <v>198410141</v>
          </cell>
          <cell r="J57">
            <v>21859631</v>
          </cell>
          <cell r="K57">
            <v>996516076</v>
          </cell>
          <cell r="L57">
            <v>283348910</v>
          </cell>
          <cell r="M57">
            <v>916961396</v>
          </cell>
          <cell r="N57">
            <v>1610894692</v>
          </cell>
          <cell r="O57">
            <v>1451286994</v>
          </cell>
          <cell r="P57">
            <v>498551567</v>
          </cell>
          <cell r="Q57">
            <v>149536851</v>
          </cell>
          <cell r="R57">
            <v>26869075</v>
          </cell>
          <cell r="S57">
            <v>286174492</v>
          </cell>
          <cell r="T57">
            <v>28651581</v>
          </cell>
          <cell r="U57">
            <v>224175592</v>
          </cell>
          <cell r="V57">
            <v>7389255673</v>
          </cell>
          <cell r="W57">
            <v>929789980</v>
          </cell>
          <cell r="X57">
            <v>2436129364</v>
          </cell>
          <cell r="Y57">
            <v>485917499</v>
          </cell>
          <cell r="Z57">
            <v>60648319</v>
          </cell>
          <cell r="AA57">
            <v>514954654</v>
          </cell>
          <cell r="AB57">
            <v>586415518</v>
          </cell>
          <cell r="AC57">
            <v>77974451</v>
          </cell>
          <cell r="AD57">
            <v>914045725</v>
          </cell>
          <cell r="AE57">
            <v>175492009</v>
          </cell>
          <cell r="AF57">
            <v>1698361347</v>
          </cell>
          <cell r="AG57">
            <v>426068562</v>
          </cell>
          <cell r="AH57">
            <v>495629720</v>
          </cell>
          <cell r="AI57">
            <v>80796036</v>
          </cell>
          <cell r="AJ57">
            <v>5422729447</v>
          </cell>
          <cell r="AK57">
            <v>23162476</v>
          </cell>
          <cell r="AL57">
            <v>148429926</v>
          </cell>
          <cell r="AM57">
            <v>3863316083</v>
          </cell>
          <cell r="AN57">
            <v>31019262721</v>
          </cell>
          <cell r="AO57">
            <v>7454176542</v>
          </cell>
          <cell r="AP57">
            <v>231663103</v>
          </cell>
          <cell r="AQ57">
            <v>103734960</v>
          </cell>
          <cell r="AR57">
            <v>707469590</v>
          </cell>
          <cell r="AS57">
            <v>1810844580</v>
          </cell>
          <cell r="AT57">
            <v>245448519</v>
          </cell>
          <cell r="AU57">
            <v>207947665</v>
          </cell>
          <cell r="AV57">
            <v>3181681572</v>
          </cell>
          <cell r="AW57">
            <v>192623608</v>
          </cell>
          <cell r="AX57">
            <v>806076706</v>
          </cell>
          <cell r="AY57">
            <v>653433902</v>
          </cell>
          <cell r="AZ57">
            <v>1192446988</v>
          </cell>
          <cell r="BA57">
            <v>181917761</v>
          </cell>
          <cell r="BB57">
            <v>348478575</v>
          </cell>
          <cell r="BC57">
            <v>545315459</v>
          </cell>
          <cell r="BD57">
            <v>124005548</v>
          </cell>
          <cell r="BE57">
            <v>1527331882</v>
          </cell>
          <cell r="BF57">
            <v>244311173</v>
          </cell>
          <cell r="BG57">
            <v>297568875</v>
          </cell>
          <cell r="BH57">
            <v>1071585365</v>
          </cell>
          <cell r="BI57">
            <v>185443175</v>
          </cell>
          <cell r="BJ57">
            <v>81831402</v>
          </cell>
          <cell r="BK57">
            <v>791578317</v>
          </cell>
          <cell r="BL57">
            <v>8362767467</v>
          </cell>
          <cell r="BM57">
            <v>679061838</v>
          </cell>
          <cell r="BN57">
            <v>86137327</v>
          </cell>
          <cell r="BO57">
            <v>105105530</v>
          </cell>
          <cell r="BP57">
            <v>82667661</v>
          </cell>
          <cell r="BQ57">
            <v>274539555</v>
          </cell>
          <cell r="BR57">
            <v>946122149</v>
          </cell>
          <cell r="BS57">
            <v>189090718</v>
          </cell>
          <cell r="BT57">
            <v>24609349779</v>
          </cell>
          <cell r="BU57">
            <v>2515590298</v>
          </cell>
          <cell r="BV57">
            <v>128442691</v>
          </cell>
          <cell r="BW57">
            <v>1438517345</v>
          </cell>
          <cell r="BX57">
            <v>389229011</v>
          </cell>
          <cell r="BY57">
            <v>103038967</v>
          </cell>
          <cell r="BZ57">
            <v>147177161</v>
          </cell>
          <cell r="CA57">
            <v>431424778</v>
          </cell>
          <cell r="CB57">
            <v>854203136</v>
          </cell>
          <cell r="CC57">
            <v>384027837</v>
          </cell>
        </row>
        <row r="58">
          <cell r="I58">
            <v>193014831</v>
          </cell>
          <cell r="J58">
            <v>21589804</v>
          </cell>
          <cell r="K58">
            <v>1012066685</v>
          </cell>
          <cell r="L58">
            <v>272480829</v>
          </cell>
          <cell r="M58">
            <v>926919627</v>
          </cell>
          <cell r="N58">
            <v>1695193906</v>
          </cell>
          <cell r="O58">
            <v>1451576852</v>
          </cell>
          <cell r="P58">
            <v>531133416</v>
          </cell>
          <cell r="Q58">
            <v>148746765</v>
          </cell>
          <cell r="R58">
            <v>25709821</v>
          </cell>
          <cell r="S58">
            <v>304777816</v>
          </cell>
          <cell r="T58">
            <v>28738457</v>
          </cell>
          <cell r="U58">
            <v>266004641</v>
          </cell>
          <cell r="V58">
            <v>7536071262</v>
          </cell>
          <cell r="W58">
            <v>928081976</v>
          </cell>
          <cell r="X58">
            <v>2462189604</v>
          </cell>
          <cell r="Y58">
            <v>482533545</v>
          </cell>
          <cell r="Z58">
            <v>59530334</v>
          </cell>
          <cell r="AA58">
            <v>518081410</v>
          </cell>
          <cell r="AB58">
            <v>590338321</v>
          </cell>
          <cell r="AC58">
            <v>75181367</v>
          </cell>
          <cell r="AD58">
            <v>900454764</v>
          </cell>
          <cell r="AE58">
            <v>179194013</v>
          </cell>
          <cell r="AF58">
            <v>1688300532</v>
          </cell>
          <cell r="AG58">
            <v>413280348</v>
          </cell>
          <cell r="AH58">
            <v>483431961</v>
          </cell>
          <cell r="AI58">
            <v>89787415</v>
          </cell>
          <cell r="AJ58">
            <v>5464784415</v>
          </cell>
          <cell r="AK58">
            <v>22610182</v>
          </cell>
          <cell r="AL58">
            <v>147539204</v>
          </cell>
          <cell r="AM58">
            <v>3878339613</v>
          </cell>
          <cell r="AN58">
            <v>23342000000</v>
          </cell>
          <cell r="AO58">
            <v>7504577323</v>
          </cell>
          <cell r="AP58">
            <v>243724226</v>
          </cell>
          <cell r="AQ58">
            <v>101403685</v>
          </cell>
          <cell r="AR58">
            <v>697335421</v>
          </cell>
          <cell r="AS58">
            <v>1823184553</v>
          </cell>
          <cell r="AT58">
            <v>247810020</v>
          </cell>
          <cell r="AU58">
            <v>205090392</v>
          </cell>
          <cell r="AV58">
            <v>3221720937</v>
          </cell>
          <cell r="AW58">
            <v>193626658</v>
          </cell>
          <cell r="AX58">
            <v>775130278</v>
          </cell>
          <cell r="AY58">
            <v>661173841</v>
          </cell>
          <cell r="AZ58">
            <v>1152993887</v>
          </cell>
          <cell r="BA58">
            <v>181574574</v>
          </cell>
          <cell r="BB58">
            <v>355081982</v>
          </cell>
          <cell r="BC58">
            <v>544974321</v>
          </cell>
          <cell r="BD58">
            <v>115702661</v>
          </cell>
          <cell r="BE58">
            <v>1526970466</v>
          </cell>
          <cell r="BF58">
            <v>241810640</v>
          </cell>
          <cell r="BG58">
            <v>298505033</v>
          </cell>
          <cell r="BH58">
            <v>1080898462</v>
          </cell>
          <cell r="BI58">
            <v>182910053</v>
          </cell>
          <cell r="BJ58">
            <v>80650499</v>
          </cell>
          <cell r="BK58">
            <v>787731557</v>
          </cell>
          <cell r="BL58">
            <v>8400196151</v>
          </cell>
          <cell r="BM58">
            <v>667920746</v>
          </cell>
          <cell r="BN58">
            <v>85762247</v>
          </cell>
          <cell r="BO58">
            <v>104336162</v>
          </cell>
          <cell r="BP58">
            <v>70719386</v>
          </cell>
          <cell r="BQ58">
            <v>287989674</v>
          </cell>
          <cell r="BR58">
            <v>940012098</v>
          </cell>
          <cell r="BS58">
            <v>183840372</v>
          </cell>
          <cell r="BT58">
            <v>24404366530</v>
          </cell>
          <cell r="BU58">
            <v>2567952781</v>
          </cell>
          <cell r="BV58">
            <v>117392929</v>
          </cell>
          <cell r="BW58">
            <v>1438979357</v>
          </cell>
          <cell r="BX58">
            <v>397757856</v>
          </cell>
          <cell r="BY58">
            <v>100501326</v>
          </cell>
          <cell r="BZ58">
            <v>137452522</v>
          </cell>
          <cell r="CA58">
            <v>418323290</v>
          </cell>
          <cell r="CB58">
            <v>867348643</v>
          </cell>
          <cell r="CC58">
            <v>375165658</v>
          </cell>
        </row>
        <row r="59">
          <cell r="I59">
            <v>43003</v>
          </cell>
          <cell r="J59">
            <v>3626</v>
          </cell>
          <cell r="K59">
            <v>176331</v>
          </cell>
          <cell r="L59">
            <v>60448</v>
          </cell>
          <cell r="M59">
            <v>197591</v>
          </cell>
          <cell r="N59">
            <v>376298</v>
          </cell>
          <cell r="O59">
            <v>292235</v>
          </cell>
          <cell r="P59">
            <v>107389</v>
          </cell>
          <cell r="Q59">
            <v>28656</v>
          </cell>
          <cell r="R59">
            <v>7119</v>
          </cell>
          <cell r="S59">
            <v>54496</v>
          </cell>
          <cell r="T59">
            <v>6684</v>
          </cell>
          <cell r="U59">
            <v>57592</v>
          </cell>
          <cell r="V59">
            <v>1540527</v>
          </cell>
          <cell r="W59">
            <v>193033</v>
          </cell>
          <cell r="X59">
            <v>491100</v>
          </cell>
          <cell r="Y59">
            <v>108683</v>
          </cell>
          <cell r="Z59">
            <v>13956</v>
          </cell>
          <cell r="AA59">
            <v>133124</v>
          </cell>
          <cell r="AB59">
            <v>105361</v>
          </cell>
          <cell r="AC59">
            <v>17165</v>
          </cell>
          <cell r="AD59">
            <v>195749</v>
          </cell>
          <cell r="AE59">
            <v>43983</v>
          </cell>
          <cell r="AF59">
            <v>298913</v>
          </cell>
          <cell r="AG59">
            <v>102682</v>
          </cell>
          <cell r="AH59">
            <v>111279</v>
          </cell>
          <cell r="AI59">
            <v>17541</v>
          </cell>
          <cell r="AJ59">
            <v>1093152</v>
          </cell>
          <cell r="AK59">
            <v>6201</v>
          </cell>
          <cell r="AL59">
            <v>33</v>
          </cell>
          <cell r="AM59">
            <v>831796</v>
          </cell>
          <cell r="AN59">
            <v>6367000</v>
          </cell>
          <cell r="AO59">
            <v>1430303</v>
          </cell>
          <cell r="AP59">
            <v>58025</v>
          </cell>
          <cell r="AQ59">
            <v>21269</v>
          </cell>
          <cell r="AR59">
            <v>133035</v>
          </cell>
          <cell r="AS59">
            <v>379777</v>
          </cell>
          <cell r="AT59">
            <v>45202</v>
          </cell>
          <cell r="AU59">
            <v>42958</v>
          </cell>
          <cell r="AV59">
            <v>713073</v>
          </cell>
          <cell r="AW59">
            <v>36227</v>
          </cell>
          <cell r="AX59">
            <v>173828</v>
          </cell>
          <cell r="AY59">
            <v>152711</v>
          </cell>
          <cell r="AZ59">
            <v>268583</v>
          </cell>
          <cell r="BA59">
            <v>44925</v>
          </cell>
          <cell r="BB59">
            <v>77138</v>
          </cell>
          <cell r="BC59">
            <v>110029</v>
          </cell>
          <cell r="BD59">
            <v>24398</v>
          </cell>
          <cell r="BE59">
            <v>365537</v>
          </cell>
          <cell r="BF59">
            <v>47081</v>
          </cell>
          <cell r="BG59">
            <v>58786</v>
          </cell>
          <cell r="BH59">
            <v>227923</v>
          </cell>
          <cell r="BI59">
            <v>47940</v>
          </cell>
          <cell r="BJ59">
            <v>18179</v>
          </cell>
          <cell r="BK59">
            <v>158060</v>
          </cell>
          <cell r="BL59">
            <v>1971765</v>
          </cell>
          <cell r="BM59">
            <v>139361</v>
          </cell>
          <cell r="BN59">
            <v>17150</v>
          </cell>
          <cell r="BO59">
            <v>38183</v>
          </cell>
          <cell r="BP59">
            <v>20657</v>
          </cell>
          <cell r="BQ59">
            <v>60526</v>
          </cell>
          <cell r="BR59">
            <v>181192</v>
          </cell>
          <cell r="BS59">
            <v>39113</v>
          </cell>
          <cell r="BT59">
            <v>4914898</v>
          </cell>
          <cell r="BU59">
            <v>516710</v>
          </cell>
          <cell r="BV59">
            <v>28783</v>
          </cell>
          <cell r="BW59">
            <v>295130</v>
          </cell>
          <cell r="BX59">
            <v>93583</v>
          </cell>
          <cell r="BY59">
            <v>17714</v>
          </cell>
          <cell r="BZ59">
            <v>27606</v>
          </cell>
          <cell r="CA59">
            <v>84001</v>
          </cell>
          <cell r="CB59">
            <v>198176</v>
          </cell>
          <cell r="CC59">
            <v>87431</v>
          </cell>
        </row>
        <row r="60">
          <cell r="I60">
            <v>38076</v>
          </cell>
          <cell r="J60">
            <v>4356</v>
          </cell>
          <cell r="K60">
            <v>182509</v>
          </cell>
          <cell r="L60">
            <v>57677</v>
          </cell>
          <cell r="M60">
            <v>192045</v>
          </cell>
          <cell r="N60">
            <v>373210</v>
          </cell>
          <cell r="O60">
            <v>294037</v>
          </cell>
          <cell r="P60">
            <v>109451</v>
          </cell>
          <cell r="Q60">
            <v>28573</v>
          </cell>
          <cell r="R60">
            <v>6359</v>
          </cell>
          <cell r="S60">
            <v>56538</v>
          </cell>
          <cell r="T60">
            <v>6607</v>
          </cell>
          <cell r="U60">
            <v>63217</v>
          </cell>
          <cell r="V60">
            <v>1552685</v>
          </cell>
          <cell r="W60">
            <v>199699</v>
          </cell>
          <cell r="X60">
            <v>516300</v>
          </cell>
          <cell r="Y60">
            <v>95349</v>
          </cell>
          <cell r="Z60">
            <v>12524</v>
          </cell>
          <cell r="AA60">
            <v>122227</v>
          </cell>
          <cell r="AB60">
            <v>104736</v>
          </cell>
          <cell r="AC60">
            <v>16288</v>
          </cell>
          <cell r="AD60">
            <v>180332</v>
          </cell>
          <cell r="AE60">
            <v>43383</v>
          </cell>
          <cell r="AF60">
            <v>294400</v>
          </cell>
          <cell r="AG60">
            <v>97028</v>
          </cell>
          <cell r="AH60">
            <v>214152</v>
          </cell>
          <cell r="AI60">
            <v>15231</v>
          </cell>
          <cell r="AJ60">
            <v>1088675</v>
          </cell>
          <cell r="AK60">
            <v>5816</v>
          </cell>
          <cell r="AL60">
            <v>29</v>
          </cell>
          <cell r="AM60">
            <v>817322</v>
          </cell>
          <cell r="AN60">
            <v>3716700</v>
          </cell>
          <cell r="AO60">
            <v>1458497</v>
          </cell>
          <cell r="AP60">
            <v>46737</v>
          </cell>
          <cell r="AQ60">
            <v>20768</v>
          </cell>
          <cell r="AR60">
            <v>122717</v>
          </cell>
          <cell r="AS60">
            <v>378977</v>
          </cell>
          <cell r="AT60">
            <v>45252</v>
          </cell>
          <cell r="AU60">
            <v>38731</v>
          </cell>
          <cell r="AV60">
            <v>693268</v>
          </cell>
          <cell r="AW60">
            <v>38530</v>
          </cell>
          <cell r="AX60">
            <v>166579</v>
          </cell>
          <cell r="AY60">
            <v>154735</v>
          </cell>
          <cell r="AZ60">
            <v>262917</v>
          </cell>
          <cell r="BA60">
            <v>44481</v>
          </cell>
          <cell r="BB60">
            <v>86338</v>
          </cell>
          <cell r="BC60">
            <v>105211</v>
          </cell>
          <cell r="BD60">
            <v>22683</v>
          </cell>
          <cell r="BE60">
            <v>362482</v>
          </cell>
          <cell r="BF60">
            <v>47320</v>
          </cell>
          <cell r="BG60">
            <v>56769</v>
          </cell>
          <cell r="BH60">
            <v>231093</v>
          </cell>
          <cell r="BI60">
            <v>35963</v>
          </cell>
          <cell r="BJ60">
            <v>17100</v>
          </cell>
          <cell r="BK60">
            <v>147149</v>
          </cell>
          <cell r="BL60">
            <v>1940793</v>
          </cell>
          <cell r="BM60">
            <v>132090</v>
          </cell>
          <cell r="BN60">
            <v>16739</v>
          </cell>
          <cell r="BO60">
            <v>33214</v>
          </cell>
          <cell r="BP60">
            <v>18063</v>
          </cell>
          <cell r="BQ60">
            <v>63087</v>
          </cell>
          <cell r="BR60">
            <v>168172</v>
          </cell>
          <cell r="BS60">
            <v>36355</v>
          </cell>
          <cell r="BT60">
            <v>4829627</v>
          </cell>
          <cell r="BU60">
            <v>531367</v>
          </cell>
          <cell r="BV60">
            <v>31515</v>
          </cell>
          <cell r="BW60">
            <v>286310</v>
          </cell>
          <cell r="BX60">
            <v>89</v>
          </cell>
          <cell r="BY60">
            <v>17225</v>
          </cell>
          <cell r="BZ60">
            <v>25064</v>
          </cell>
          <cell r="CA60">
            <v>83916</v>
          </cell>
          <cell r="CB60">
            <v>203146</v>
          </cell>
          <cell r="CC60">
            <v>74379</v>
          </cell>
        </row>
        <row r="61">
          <cell r="I61">
            <v>47365</v>
          </cell>
          <cell r="J61">
            <v>8722</v>
          </cell>
          <cell r="K61">
            <v>219364</v>
          </cell>
          <cell r="L61">
            <v>69987</v>
          </cell>
          <cell r="M61">
            <v>196464</v>
          </cell>
          <cell r="N61">
            <v>379690</v>
          </cell>
          <cell r="O61">
            <v>312448</v>
          </cell>
          <cell r="P61">
            <v>116948</v>
          </cell>
          <cell r="Q61">
            <v>39945</v>
          </cell>
          <cell r="R61">
            <v>8879</v>
          </cell>
          <cell r="S61">
            <v>70523</v>
          </cell>
          <cell r="T61">
            <v>7251</v>
          </cell>
          <cell r="U61">
            <v>64272</v>
          </cell>
          <cell r="V61">
            <v>1610300</v>
          </cell>
          <cell r="W61">
            <v>236974</v>
          </cell>
          <cell r="X61">
            <v>656700</v>
          </cell>
          <cell r="Y61">
            <v>98167</v>
          </cell>
          <cell r="Z61">
            <v>15590</v>
          </cell>
          <cell r="AA61">
            <v>143420</v>
          </cell>
          <cell r="AB61">
            <v>111673</v>
          </cell>
          <cell r="AC61">
            <v>18859</v>
          </cell>
          <cell r="AD61">
            <v>206940</v>
          </cell>
          <cell r="AE61">
            <v>57081</v>
          </cell>
          <cell r="AF61">
            <v>297500</v>
          </cell>
          <cell r="AG61">
            <v>114709</v>
          </cell>
          <cell r="AH61">
            <v>214152</v>
          </cell>
          <cell r="AI61">
            <v>22617</v>
          </cell>
          <cell r="AJ61">
            <v>1318006.26</v>
          </cell>
          <cell r="AK61">
            <v>7653</v>
          </cell>
          <cell r="AL61">
            <v>40003</v>
          </cell>
          <cell r="AM61">
            <v>820000</v>
          </cell>
          <cell r="AN61">
            <v>4407238</v>
          </cell>
          <cell r="AO61">
            <v>1518168</v>
          </cell>
          <cell r="AP61">
            <v>66861</v>
          </cell>
          <cell r="AQ61">
            <v>23000</v>
          </cell>
          <cell r="AR61">
            <v>147462</v>
          </cell>
          <cell r="AS61">
            <v>386568</v>
          </cell>
          <cell r="AT61">
            <v>50701</v>
          </cell>
          <cell r="AU61">
            <v>49384</v>
          </cell>
          <cell r="AV61">
            <v>719375</v>
          </cell>
          <cell r="AW61">
            <v>40658</v>
          </cell>
          <cell r="AX61">
            <v>166579</v>
          </cell>
          <cell r="AY61">
            <v>163930</v>
          </cell>
          <cell r="AZ61">
            <v>269269</v>
          </cell>
          <cell r="BA61">
            <v>45651</v>
          </cell>
          <cell r="BB61">
            <v>92162</v>
          </cell>
          <cell r="BC61">
            <v>121809</v>
          </cell>
          <cell r="BD61">
            <v>26895</v>
          </cell>
          <cell r="BE61">
            <v>380100</v>
          </cell>
          <cell r="BF61">
            <v>53650</v>
          </cell>
          <cell r="BG61">
            <v>74924</v>
          </cell>
          <cell r="BH61">
            <v>234849</v>
          </cell>
          <cell r="BI61">
            <v>43015</v>
          </cell>
          <cell r="BJ61">
            <v>20600</v>
          </cell>
          <cell r="BK61">
            <v>161697</v>
          </cell>
          <cell r="BL61">
            <v>2047474</v>
          </cell>
          <cell r="BM61">
            <v>156336</v>
          </cell>
          <cell r="BN61">
            <v>19991</v>
          </cell>
          <cell r="BO61">
            <v>39622</v>
          </cell>
          <cell r="BP61">
            <v>22753</v>
          </cell>
          <cell r="BQ61">
            <v>77500</v>
          </cell>
          <cell r="BR61">
            <v>198752</v>
          </cell>
          <cell r="BS61">
            <v>48436</v>
          </cell>
          <cell r="BT61">
            <v>5018278</v>
          </cell>
          <cell r="BU61">
            <v>531367</v>
          </cell>
          <cell r="BV61">
            <v>31515</v>
          </cell>
          <cell r="BW61">
            <v>294349</v>
          </cell>
          <cell r="BX61">
            <v>104372</v>
          </cell>
          <cell r="BY61">
            <v>17539</v>
          </cell>
          <cell r="BZ61">
            <v>27350</v>
          </cell>
          <cell r="CA61">
            <v>94390</v>
          </cell>
          <cell r="CB61">
            <v>208479</v>
          </cell>
          <cell r="CC61">
            <v>81815</v>
          </cell>
        </row>
        <row r="62">
          <cell r="I62">
            <v>47365</v>
          </cell>
          <cell r="J62">
            <v>8722</v>
          </cell>
          <cell r="K62">
            <v>219364</v>
          </cell>
          <cell r="L62">
            <v>69987</v>
          </cell>
          <cell r="M62">
            <v>197591</v>
          </cell>
          <cell r="N62">
            <v>379690</v>
          </cell>
          <cell r="O62">
            <v>312448</v>
          </cell>
          <cell r="P62">
            <v>116948</v>
          </cell>
          <cell r="Q62">
            <v>39945</v>
          </cell>
          <cell r="R62">
            <v>8879</v>
          </cell>
          <cell r="S62">
            <v>70523</v>
          </cell>
          <cell r="T62">
            <v>7251</v>
          </cell>
          <cell r="U62">
            <v>64272</v>
          </cell>
          <cell r="V62">
            <v>1610300</v>
          </cell>
          <cell r="W62">
            <v>236974</v>
          </cell>
          <cell r="X62">
            <v>656700</v>
          </cell>
          <cell r="Y62">
            <v>108683</v>
          </cell>
          <cell r="Z62">
            <v>15590</v>
          </cell>
          <cell r="AA62">
            <v>143420</v>
          </cell>
          <cell r="AB62">
            <v>111673</v>
          </cell>
          <cell r="AC62">
            <v>18859</v>
          </cell>
          <cell r="AD62">
            <v>206940</v>
          </cell>
          <cell r="AE62">
            <v>57081</v>
          </cell>
          <cell r="AF62">
            <v>298913</v>
          </cell>
          <cell r="AG62">
            <v>114709</v>
          </cell>
          <cell r="AH62">
            <v>214152</v>
          </cell>
          <cell r="AI62">
            <v>22617</v>
          </cell>
          <cell r="AJ62">
            <v>1318006.26</v>
          </cell>
          <cell r="AK62">
            <v>7653</v>
          </cell>
          <cell r="AL62">
            <v>40003</v>
          </cell>
          <cell r="AM62">
            <v>831796</v>
          </cell>
          <cell r="AN62">
            <v>6367000</v>
          </cell>
          <cell r="AO62">
            <v>1518168</v>
          </cell>
          <cell r="AP62">
            <v>66861</v>
          </cell>
          <cell r="AQ62">
            <v>23000</v>
          </cell>
          <cell r="AR62">
            <v>147462</v>
          </cell>
          <cell r="AS62">
            <v>386568</v>
          </cell>
          <cell r="AT62">
            <v>50701</v>
          </cell>
          <cell r="AU62">
            <v>49384</v>
          </cell>
          <cell r="AV62">
            <v>719375</v>
          </cell>
          <cell r="AW62">
            <v>40658</v>
          </cell>
          <cell r="AX62">
            <v>173828</v>
          </cell>
          <cell r="AY62">
            <v>163930</v>
          </cell>
          <cell r="AZ62">
            <v>269269</v>
          </cell>
          <cell r="BA62">
            <v>45651</v>
          </cell>
          <cell r="BB62">
            <v>92162</v>
          </cell>
          <cell r="BC62">
            <v>121809</v>
          </cell>
          <cell r="BD62">
            <v>26895</v>
          </cell>
          <cell r="BE62">
            <v>380100</v>
          </cell>
          <cell r="BF62">
            <v>53650</v>
          </cell>
          <cell r="BG62">
            <v>74924</v>
          </cell>
          <cell r="BH62">
            <v>234849</v>
          </cell>
          <cell r="BI62">
            <v>47940</v>
          </cell>
          <cell r="BJ62">
            <v>20600</v>
          </cell>
          <cell r="BK62">
            <v>161697</v>
          </cell>
          <cell r="BL62">
            <v>2047474</v>
          </cell>
          <cell r="BM62">
            <v>156336</v>
          </cell>
          <cell r="BN62">
            <v>19991</v>
          </cell>
          <cell r="BO62">
            <v>39622</v>
          </cell>
          <cell r="BP62">
            <v>22753</v>
          </cell>
          <cell r="BQ62">
            <v>77500</v>
          </cell>
          <cell r="BR62">
            <v>198752</v>
          </cell>
          <cell r="BS62">
            <v>48436</v>
          </cell>
          <cell r="BT62">
            <v>5018278</v>
          </cell>
          <cell r="BU62">
            <v>531367</v>
          </cell>
          <cell r="BV62">
            <v>31515</v>
          </cell>
          <cell r="BW62">
            <v>295130</v>
          </cell>
          <cell r="BX62">
            <v>104372</v>
          </cell>
          <cell r="BY62">
            <v>17714</v>
          </cell>
          <cell r="BZ62">
            <v>27606</v>
          </cell>
          <cell r="CA62">
            <v>94390</v>
          </cell>
          <cell r="CB62">
            <v>208479</v>
          </cell>
          <cell r="CC62">
            <v>87431</v>
          </cell>
        </row>
        <row r="65">
          <cell r="I65">
            <v>1.5905811360368366E-2</v>
          </cell>
          <cell r="J65">
            <v>1.5905811360368366E-2</v>
          </cell>
          <cell r="K65">
            <v>1.5905811360368366E-2</v>
          </cell>
          <cell r="L65">
            <v>1.5905811360368366E-2</v>
          </cell>
          <cell r="M65">
            <v>1.5905811360368366E-2</v>
          </cell>
          <cell r="N65">
            <v>1.5905811360368366E-2</v>
          </cell>
          <cell r="O65">
            <v>1.5905811360368366E-2</v>
          </cell>
          <cell r="P65">
            <v>1.5905811360368366E-2</v>
          </cell>
          <cell r="Q65">
            <v>1.5905811360368366E-2</v>
          </cell>
          <cell r="R65">
            <v>1.5905811360368366E-2</v>
          </cell>
          <cell r="S65">
            <v>1.5905811360368366E-2</v>
          </cell>
          <cell r="T65">
            <v>1.5905811360368366E-2</v>
          </cell>
          <cell r="U65">
            <v>1.5905811360368366E-2</v>
          </cell>
          <cell r="V65">
            <v>1.5905811360368366E-2</v>
          </cell>
          <cell r="W65">
            <v>1.5905811360368366E-2</v>
          </cell>
          <cell r="X65">
            <v>1.5905811360368366E-2</v>
          </cell>
          <cell r="Y65">
            <v>1.5905811360368366E-2</v>
          </cell>
          <cell r="Z65">
            <v>1.5905811360368366E-2</v>
          </cell>
          <cell r="AA65">
            <v>1.5905811360368366E-2</v>
          </cell>
          <cell r="AB65">
            <v>1.5905811360368366E-2</v>
          </cell>
          <cell r="AC65">
            <v>1.5905811360368366E-2</v>
          </cell>
          <cell r="AD65">
            <v>1.5905811360368366E-2</v>
          </cell>
          <cell r="AE65">
            <v>1.5905811360368366E-2</v>
          </cell>
          <cell r="AF65">
            <v>1.5905811360368366E-2</v>
          </cell>
          <cell r="AG65">
            <v>1.5905811360368366E-2</v>
          </cell>
          <cell r="AH65">
            <v>1.5905811360368366E-2</v>
          </cell>
          <cell r="AI65">
            <v>1.5905811360368366E-2</v>
          </cell>
          <cell r="AJ65">
            <v>1.5905811360368366E-2</v>
          </cell>
          <cell r="AK65">
            <v>1.5905811360368366E-2</v>
          </cell>
          <cell r="AL65">
            <v>1.5905811360368366E-2</v>
          </cell>
          <cell r="AM65">
            <v>1.5905811360368366E-2</v>
          </cell>
          <cell r="AN65">
            <v>1.5905811360368366E-2</v>
          </cell>
          <cell r="AO65">
            <v>1.5905811360368366E-2</v>
          </cell>
          <cell r="AP65">
            <v>1.5905811360368366E-2</v>
          </cell>
          <cell r="AQ65">
            <v>1.5905811360368366E-2</v>
          </cell>
          <cell r="AR65">
            <v>1.5905811360368366E-2</v>
          </cell>
          <cell r="AS65">
            <v>1.5905811360368366E-2</v>
          </cell>
          <cell r="AT65">
            <v>1.5905811360368366E-2</v>
          </cell>
          <cell r="AU65">
            <v>1.5905811360368366E-2</v>
          </cell>
          <cell r="AV65">
            <v>1.5905811360368366E-2</v>
          </cell>
          <cell r="AW65">
            <v>1.5905811360368366E-2</v>
          </cell>
          <cell r="AX65">
            <v>1.5905811360368366E-2</v>
          </cell>
          <cell r="AY65">
            <v>1.5905811360368366E-2</v>
          </cell>
          <cell r="AZ65">
            <v>1.5905811360368366E-2</v>
          </cell>
          <cell r="BA65">
            <v>1.5905811360368366E-2</v>
          </cell>
          <cell r="BB65">
            <v>1.5905811360368366E-2</v>
          </cell>
          <cell r="BC65">
            <v>1.5905811360368366E-2</v>
          </cell>
          <cell r="BD65">
            <v>1.5905811360368366E-2</v>
          </cell>
          <cell r="BE65">
            <v>1.5905811360368366E-2</v>
          </cell>
          <cell r="BF65">
            <v>1.5905811360368366E-2</v>
          </cell>
          <cell r="BG65">
            <v>1.5905811360368366E-2</v>
          </cell>
          <cell r="BH65">
            <v>1.5905811360368366E-2</v>
          </cell>
          <cell r="BI65">
            <v>1.5905811360368366E-2</v>
          </cell>
          <cell r="BJ65">
            <v>1.5905811360368366E-2</v>
          </cell>
          <cell r="BK65">
            <v>1.5905811360368366E-2</v>
          </cell>
          <cell r="BL65">
            <v>1.5905811360368366E-2</v>
          </cell>
          <cell r="BM65">
            <v>1.5905811360368366E-2</v>
          </cell>
          <cell r="BN65">
            <v>1.5905811360368366E-2</v>
          </cell>
          <cell r="BO65">
            <v>1.5905811360368366E-2</v>
          </cell>
          <cell r="BP65">
            <v>1.5905811360368366E-2</v>
          </cell>
          <cell r="BQ65">
            <v>1.5905811360368366E-2</v>
          </cell>
          <cell r="BR65">
            <v>1.5905811360368366E-2</v>
          </cell>
          <cell r="BS65">
            <v>1.5905811360368366E-2</v>
          </cell>
          <cell r="BT65">
            <v>1.5905811360368366E-2</v>
          </cell>
          <cell r="BU65">
            <v>1.5905811360368366E-2</v>
          </cell>
          <cell r="BV65">
            <v>1.5905811360368366E-2</v>
          </cell>
          <cell r="BW65">
            <v>1.5905811360368366E-2</v>
          </cell>
          <cell r="BX65">
            <v>1.5905811360368366E-2</v>
          </cell>
          <cell r="BY65">
            <v>1.5905811360368366E-2</v>
          </cell>
          <cell r="BZ65">
            <v>1.5905811360368366E-2</v>
          </cell>
          <cell r="CA65">
            <v>1.5905811360368366E-2</v>
          </cell>
          <cell r="CB65">
            <v>1.5905811360368366E-2</v>
          </cell>
          <cell r="CC65">
            <v>1.5905811360368366E-2</v>
          </cell>
        </row>
        <row r="66">
          <cell r="I66">
            <v>1.536545746216181E-2</v>
          </cell>
          <cell r="J66">
            <v>1.536545746216181E-2</v>
          </cell>
          <cell r="K66">
            <v>1.536545746216181E-2</v>
          </cell>
          <cell r="L66">
            <v>1.536545746216181E-2</v>
          </cell>
          <cell r="M66">
            <v>1.536545746216181E-2</v>
          </cell>
          <cell r="N66">
            <v>1.536545746216181E-2</v>
          </cell>
          <cell r="O66">
            <v>1.536545746216181E-2</v>
          </cell>
          <cell r="P66">
            <v>1.536545746216181E-2</v>
          </cell>
          <cell r="Q66">
            <v>1.536545746216181E-2</v>
          </cell>
          <cell r="R66">
            <v>1.536545746216181E-2</v>
          </cell>
          <cell r="S66">
            <v>1.536545746216181E-2</v>
          </cell>
          <cell r="T66">
            <v>1.536545746216181E-2</v>
          </cell>
          <cell r="U66">
            <v>1.536545746216181E-2</v>
          </cell>
          <cell r="V66">
            <v>1.536545746216181E-2</v>
          </cell>
          <cell r="W66">
            <v>1.536545746216181E-2</v>
          </cell>
          <cell r="X66">
            <v>1.536545746216181E-2</v>
          </cell>
          <cell r="Y66">
            <v>1.536545746216181E-2</v>
          </cell>
          <cell r="Z66">
            <v>1.536545746216181E-2</v>
          </cell>
          <cell r="AA66">
            <v>1.536545746216181E-2</v>
          </cell>
          <cell r="AB66">
            <v>1.536545746216181E-2</v>
          </cell>
          <cell r="AC66">
            <v>1.536545746216181E-2</v>
          </cell>
          <cell r="AD66">
            <v>1.536545746216181E-2</v>
          </cell>
          <cell r="AE66">
            <v>1.536545746216181E-2</v>
          </cell>
          <cell r="AF66">
            <v>1.536545746216181E-2</v>
          </cell>
          <cell r="AG66">
            <v>1.536545746216181E-2</v>
          </cell>
          <cell r="AH66">
            <v>1.536545746216181E-2</v>
          </cell>
          <cell r="AI66">
            <v>1.536545746216181E-2</v>
          </cell>
          <cell r="AJ66">
            <v>1.536545746216181E-2</v>
          </cell>
          <cell r="AK66">
            <v>1.536545746216181E-2</v>
          </cell>
          <cell r="AL66">
            <v>1.536545746216181E-2</v>
          </cell>
          <cell r="AM66">
            <v>1.536545746216181E-2</v>
          </cell>
          <cell r="AN66">
            <v>1.536545746216181E-2</v>
          </cell>
          <cell r="AO66">
            <v>1.536545746216181E-2</v>
          </cell>
          <cell r="AP66">
            <v>1.536545746216181E-2</v>
          </cell>
          <cell r="AQ66">
            <v>1.536545746216181E-2</v>
          </cell>
          <cell r="AR66">
            <v>1.536545746216181E-2</v>
          </cell>
          <cell r="AS66">
            <v>1.536545746216181E-2</v>
          </cell>
          <cell r="AT66">
            <v>1.536545746216181E-2</v>
          </cell>
          <cell r="AU66">
            <v>1.536545746216181E-2</v>
          </cell>
          <cell r="AV66">
            <v>1.536545746216181E-2</v>
          </cell>
          <cell r="AW66">
            <v>1.536545746216181E-2</v>
          </cell>
          <cell r="AX66">
            <v>1.536545746216181E-2</v>
          </cell>
          <cell r="AY66">
            <v>1.536545746216181E-2</v>
          </cell>
          <cell r="AZ66">
            <v>1.536545746216181E-2</v>
          </cell>
          <cell r="BA66">
            <v>1.536545746216181E-2</v>
          </cell>
          <cell r="BB66">
            <v>1.536545746216181E-2</v>
          </cell>
          <cell r="BC66">
            <v>1.536545746216181E-2</v>
          </cell>
          <cell r="BD66">
            <v>1.536545746216181E-2</v>
          </cell>
          <cell r="BE66">
            <v>1.536545746216181E-2</v>
          </cell>
          <cell r="BF66">
            <v>1.536545746216181E-2</v>
          </cell>
          <cell r="BG66">
            <v>1.536545746216181E-2</v>
          </cell>
          <cell r="BH66">
            <v>1.536545746216181E-2</v>
          </cell>
          <cell r="BI66">
            <v>1.536545746216181E-2</v>
          </cell>
          <cell r="BJ66">
            <v>1.536545746216181E-2</v>
          </cell>
          <cell r="BK66">
            <v>1.536545746216181E-2</v>
          </cell>
          <cell r="BL66">
            <v>1.536545746216181E-2</v>
          </cell>
          <cell r="BM66">
            <v>1.536545746216181E-2</v>
          </cell>
          <cell r="BN66">
            <v>1.536545746216181E-2</v>
          </cell>
          <cell r="BO66">
            <v>1.536545746216181E-2</v>
          </cell>
          <cell r="BP66">
            <v>1.536545746216181E-2</v>
          </cell>
          <cell r="BQ66">
            <v>1.536545746216181E-2</v>
          </cell>
          <cell r="BR66">
            <v>1.536545746216181E-2</v>
          </cell>
          <cell r="BS66">
            <v>1.536545746216181E-2</v>
          </cell>
          <cell r="BT66">
            <v>1.536545746216181E-2</v>
          </cell>
          <cell r="BU66">
            <v>1.536545746216181E-2</v>
          </cell>
          <cell r="BV66">
            <v>1.536545746216181E-2</v>
          </cell>
          <cell r="BW66">
            <v>1.536545746216181E-2</v>
          </cell>
          <cell r="BX66">
            <v>1.536545746216181E-2</v>
          </cell>
          <cell r="BY66">
            <v>1.536545746216181E-2</v>
          </cell>
          <cell r="BZ66">
            <v>1.536545746216181E-2</v>
          </cell>
          <cell r="CA66">
            <v>1.536545746216181E-2</v>
          </cell>
          <cell r="CB66">
            <v>1.536545746216181E-2</v>
          </cell>
          <cell r="CC66">
            <v>1.536545746216181E-2</v>
          </cell>
        </row>
        <row r="67">
          <cell r="I67">
            <v>1.5527563631623775E-2</v>
          </cell>
          <cell r="J67">
            <v>1.5527563631623775E-2</v>
          </cell>
          <cell r="K67">
            <v>1.5527563631623775E-2</v>
          </cell>
          <cell r="L67">
            <v>1.5527563631623775E-2</v>
          </cell>
          <cell r="M67">
            <v>1.5527563631623775E-2</v>
          </cell>
          <cell r="N67">
            <v>1.5527563631623775E-2</v>
          </cell>
          <cell r="O67">
            <v>1.5527563631623775E-2</v>
          </cell>
          <cell r="P67">
            <v>1.5527563631623775E-2</v>
          </cell>
          <cell r="Q67">
            <v>1.5527563631623775E-2</v>
          </cell>
          <cell r="R67">
            <v>1.5527563631623775E-2</v>
          </cell>
          <cell r="S67">
            <v>1.5527563631623775E-2</v>
          </cell>
          <cell r="T67">
            <v>1.5527563631623775E-2</v>
          </cell>
          <cell r="U67">
            <v>1.5527563631623775E-2</v>
          </cell>
          <cell r="V67">
            <v>1.5527563631623775E-2</v>
          </cell>
          <cell r="W67">
            <v>1.5527563631623775E-2</v>
          </cell>
          <cell r="X67">
            <v>1.5527563631623775E-2</v>
          </cell>
          <cell r="Y67">
            <v>1.5527563631623775E-2</v>
          </cell>
          <cell r="Z67">
            <v>1.5527563631623775E-2</v>
          </cell>
          <cell r="AA67">
            <v>1.5527563631623775E-2</v>
          </cell>
          <cell r="AB67">
            <v>1.5527563631623775E-2</v>
          </cell>
          <cell r="AC67">
            <v>1.5527563631623775E-2</v>
          </cell>
          <cell r="AD67">
            <v>1.5527563631623775E-2</v>
          </cell>
          <cell r="AE67">
            <v>1.5527563631623775E-2</v>
          </cell>
          <cell r="AF67">
            <v>1.5527563631623775E-2</v>
          </cell>
          <cell r="AG67">
            <v>1.5527563631623775E-2</v>
          </cell>
          <cell r="AH67">
            <v>1.5527563631623775E-2</v>
          </cell>
          <cell r="AI67">
            <v>1.5527563631623775E-2</v>
          </cell>
          <cell r="AJ67">
            <v>1.5527563631623775E-2</v>
          </cell>
          <cell r="AK67">
            <v>1.5527563631623775E-2</v>
          </cell>
          <cell r="AL67">
            <v>1.5527563631623775E-2</v>
          </cell>
          <cell r="AM67">
            <v>1.5527563631623775E-2</v>
          </cell>
          <cell r="AN67">
            <v>1.5527563631623775E-2</v>
          </cell>
          <cell r="AO67">
            <v>1.5527563631623775E-2</v>
          </cell>
          <cell r="AP67">
            <v>1.5527563631623775E-2</v>
          </cell>
          <cell r="AQ67">
            <v>1.5527563631623775E-2</v>
          </cell>
          <cell r="AR67">
            <v>1.5527563631623775E-2</v>
          </cell>
          <cell r="AS67">
            <v>1.5527563631623775E-2</v>
          </cell>
          <cell r="AT67">
            <v>1.5527563631623775E-2</v>
          </cell>
          <cell r="AU67">
            <v>1.5527563631623775E-2</v>
          </cell>
          <cell r="AV67">
            <v>1.5527563631623775E-2</v>
          </cell>
          <cell r="AW67">
            <v>1.5527563631623775E-2</v>
          </cell>
          <cell r="AX67">
            <v>1.5527563631623775E-2</v>
          </cell>
          <cell r="AY67">
            <v>1.5527563631623775E-2</v>
          </cell>
          <cell r="AZ67">
            <v>1.5527563631623775E-2</v>
          </cell>
          <cell r="BA67">
            <v>1.5527563631623775E-2</v>
          </cell>
          <cell r="BB67">
            <v>1.5527563631623775E-2</v>
          </cell>
          <cell r="BC67">
            <v>1.5527563631623775E-2</v>
          </cell>
          <cell r="BD67">
            <v>1.5527563631623775E-2</v>
          </cell>
          <cell r="BE67">
            <v>1.5527563631623775E-2</v>
          </cell>
          <cell r="BF67">
            <v>1.5527563631623775E-2</v>
          </cell>
          <cell r="BG67">
            <v>1.5527563631623775E-2</v>
          </cell>
          <cell r="BH67">
            <v>1.5527563631623775E-2</v>
          </cell>
          <cell r="BI67">
            <v>1.5527563631623775E-2</v>
          </cell>
          <cell r="BJ67">
            <v>1.5527563631623775E-2</v>
          </cell>
          <cell r="BK67">
            <v>1.5527563631623775E-2</v>
          </cell>
          <cell r="BL67">
            <v>1.5527563631623775E-2</v>
          </cell>
          <cell r="BM67">
            <v>1.5527563631623775E-2</v>
          </cell>
          <cell r="BN67">
            <v>1.5527563631623775E-2</v>
          </cell>
          <cell r="BO67">
            <v>1.5527563631623775E-2</v>
          </cell>
          <cell r="BP67">
            <v>1.5527563631623775E-2</v>
          </cell>
          <cell r="BQ67">
            <v>1.5527563631623775E-2</v>
          </cell>
          <cell r="BR67">
            <v>1.5527563631623775E-2</v>
          </cell>
          <cell r="BS67">
            <v>1.5527563631623775E-2</v>
          </cell>
          <cell r="BT67">
            <v>1.5527563631623775E-2</v>
          </cell>
          <cell r="BU67">
            <v>1.5527563631623775E-2</v>
          </cell>
          <cell r="BV67">
            <v>1.5527563631623775E-2</v>
          </cell>
          <cell r="BW67">
            <v>1.5527563631623775E-2</v>
          </cell>
          <cell r="BX67">
            <v>1.5527563631623775E-2</v>
          </cell>
          <cell r="BY67">
            <v>1.5527563631623775E-2</v>
          </cell>
          <cell r="BZ67">
            <v>1.5527563631623775E-2</v>
          </cell>
          <cell r="CA67">
            <v>1.5527563631623775E-2</v>
          </cell>
          <cell r="CB67">
            <v>1.5527563631623775E-2</v>
          </cell>
          <cell r="CC67">
            <v>1.5527563631623775E-2</v>
          </cell>
        </row>
        <row r="68">
          <cell r="I68">
            <v>105.32220770423416</v>
          </cell>
          <cell r="J68">
            <v>111.81468556565579</v>
          </cell>
          <cell r="K68">
            <v>121.06094251099056</v>
          </cell>
          <cell r="L68">
            <v>113.54829712590069</v>
          </cell>
          <cell r="M68">
            <v>113.54829712590069</v>
          </cell>
          <cell r="N68">
            <v>127.57193868875277</v>
          </cell>
          <cell r="O68">
            <v>123.92700448696738</v>
          </cell>
          <cell r="P68">
            <v>111.98168751691726</v>
          </cell>
          <cell r="Q68">
            <v>119.25695478298849</v>
          </cell>
          <cell r="R68">
            <v>113.2819068877277</v>
          </cell>
          <cell r="S68">
            <v>108.03063673715087</v>
          </cell>
          <cell r="T68">
            <v>131.77648764417333</v>
          </cell>
          <cell r="U68">
            <v>135.92306880431255</v>
          </cell>
          <cell r="V68">
            <v>132.79687640798861</v>
          </cell>
          <cell r="W68">
            <v>115.66334097009533</v>
          </cell>
          <cell r="X68">
            <v>135.92306880431255</v>
          </cell>
          <cell r="Y68">
            <v>116.36168359493664</v>
          </cell>
          <cell r="Z68">
            <v>113.2819068877277</v>
          </cell>
          <cell r="AA68">
            <v>135.92306880431255</v>
          </cell>
          <cell r="AB68">
            <v>113.67467714607322</v>
          </cell>
          <cell r="AC68">
            <v>111.81468556565579</v>
          </cell>
          <cell r="AD68">
            <v>113.2819068877277</v>
          </cell>
          <cell r="AE68">
            <v>127.57193868875277</v>
          </cell>
          <cell r="AF68">
            <v>119.25695478298849</v>
          </cell>
          <cell r="AG68">
            <v>113.54829712590069</v>
          </cell>
          <cell r="AH68">
            <v>130.18440754837005</v>
          </cell>
          <cell r="AI68">
            <v>113.2819068877277</v>
          </cell>
          <cell r="AJ68">
            <v>127.57193868875277</v>
          </cell>
          <cell r="AK68">
            <v>103.277841389378</v>
          </cell>
          <cell r="AL68">
            <v>103.277841389378</v>
          </cell>
          <cell r="AM68">
            <v>132.79687640798861</v>
          </cell>
          <cell r="AN68">
            <v>125.68281390738366</v>
          </cell>
          <cell r="AO68">
            <v>131.77648764417333</v>
          </cell>
          <cell r="AP68">
            <v>124.59233778225577</v>
          </cell>
          <cell r="AQ68">
            <v>118.9024104488992</v>
          </cell>
          <cell r="AR68">
            <v>107.95155709697737</v>
          </cell>
          <cell r="AS68">
            <v>123.92700448696738</v>
          </cell>
          <cell r="AT68">
            <v>114.07734943211082</v>
          </cell>
          <cell r="AU68">
            <v>115.10445720909307</v>
          </cell>
          <cell r="AV68">
            <v>116.36168359493664</v>
          </cell>
          <cell r="AW68">
            <v>106.05650659749465</v>
          </cell>
          <cell r="AX68">
            <v>127.57193868875277</v>
          </cell>
          <cell r="AY68">
            <v>128.69460709512245</v>
          </cell>
          <cell r="AZ68">
            <v>111.98168751691726</v>
          </cell>
          <cell r="BA68">
            <v>111.98168751691726</v>
          </cell>
          <cell r="BB68">
            <v>113.54829712590069</v>
          </cell>
          <cell r="BC68">
            <v>105.61657663593037</v>
          </cell>
          <cell r="BD68">
            <v>117.48612748957217</v>
          </cell>
          <cell r="BE68">
            <v>130.18440754837005</v>
          </cell>
          <cell r="BF68">
            <v>128.69460709512245</v>
          </cell>
          <cell r="BG68">
            <v>124.59233778225577</v>
          </cell>
          <cell r="BH68">
            <v>132.79687640798861</v>
          </cell>
          <cell r="BI68">
            <v>97.196291682421943</v>
          </cell>
          <cell r="BJ68">
            <v>118.93712233499174</v>
          </cell>
          <cell r="BK68">
            <v>107.22020864676179</v>
          </cell>
          <cell r="BL68">
            <v>132.79687640798861</v>
          </cell>
          <cell r="BM68">
            <v>105.32220770423416</v>
          </cell>
          <cell r="BN68">
            <v>97.196291682421943</v>
          </cell>
          <cell r="BO68">
            <v>112.38434696291644</v>
          </cell>
          <cell r="BP68">
            <v>111.81468556565579</v>
          </cell>
          <cell r="BQ68">
            <v>116.36168359493664</v>
          </cell>
          <cell r="BR68">
            <v>111.81468556565579</v>
          </cell>
          <cell r="BS68">
            <v>119.8455464115752</v>
          </cell>
          <cell r="BT68">
            <v>132.79687640798861</v>
          </cell>
          <cell r="BU68">
            <v>133.42955442777082</v>
          </cell>
          <cell r="BV68">
            <v>124.59233778225577</v>
          </cell>
          <cell r="BW68">
            <v>123.92700448696738</v>
          </cell>
          <cell r="BX68">
            <v>111.98168751691726</v>
          </cell>
          <cell r="BY68">
            <v>113.12674078035687</v>
          </cell>
          <cell r="BZ68">
            <v>123.92700448696738</v>
          </cell>
          <cell r="CA68">
            <v>102.3264770737465</v>
          </cell>
          <cell r="CB68">
            <v>133.42955442777082</v>
          </cell>
          <cell r="CC68">
            <v>119.8455464115752</v>
          </cell>
        </row>
        <row r="69">
          <cell r="I69">
            <v>106.97036782690532</v>
          </cell>
          <cell r="J69">
            <v>113.56444480347814</v>
          </cell>
          <cell r="K69">
            <v>122.95539404413648</v>
          </cell>
          <cell r="L69">
            <v>115.32518520486755</v>
          </cell>
          <cell r="M69">
            <v>115.32518520486755</v>
          </cell>
          <cell r="N69">
            <v>129.56827912541644</v>
          </cell>
          <cell r="O69">
            <v>125.86630628636649</v>
          </cell>
          <cell r="P69">
            <v>113.73406012529533</v>
          </cell>
          <cell r="Q69">
            <v>121.12317617645266</v>
          </cell>
          <cell r="R69">
            <v>115.0546262944155</v>
          </cell>
          <cell r="S69">
            <v>109.72118036871764</v>
          </cell>
          <cell r="T69">
            <v>133.83862398535888</v>
          </cell>
          <cell r="U69">
            <v>138.05009392691022</v>
          </cell>
          <cell r="V69">
            <v>134.87498055033214</v>
          </cell>
          <cell r="W69">
            <v>117.47332682585294</v>
          </cell>
          <cell r="X69">
            <v>138.05009392691022</v>
          </cell>
          <cell r="Y69">
            <v>118.18259763470512</v>
          </cell>
          <cell r="Z69">
            <v>115.0546262944155</v>
          </cell>
          <cell r="AA69">
            <v>138.05009392691022</v>
          </cell>
          <cell r="AB69">
            <v>115.45354291345063</v>
          </cell>
          <cell r="AC69">
            <v>113.56444480347814</v>
          </cell>
          <cell r="AD69">
            <v>115.0546262944155</v>
          </cell>
          <cell r="AE69">
            <v>129.56827912541644</v>
          </cell>
          <cell r="AF69">
            <v>121.12317617645266</v>
          </cell>
          <cell r="AG69">
            <v>115.32518520486755</v>
          </cell>
          <cell r="AH69">
            <v>132.22162983787365</v>
          </cell>
          <cell r="AI69">
            <v>115.0546262944155</v>
          </cell>
          <cell r="AJ69">
            <v>129.56827912541644</v>
          </cell>
          <cell r="AK69">
            <v>104.89400974972548</v>
          </cell>
          <cell r="AL69">
            <v>104.89400974972548</v>
          </cell>
          <cell r="AM69">
            <v>134.87498055033214</v>
          </cell>
          <cell r="AN69">
            <v>127.64959191652828</v>
          </cell>
          <cell r="AO69">
            <v>133.83862398535888</v>
          </cell>
          <cell r="AP69">
            <v>126.54205121116287</v>
          </cell>
          <cell r="AQ69">
            <v>120.76308366932463</v>
          </cell>
          <cell r="AR69">
            <v>109.64086323160697</v>
          </cell>
          <cell r="AS69">
            <v>125.86630628636649</v>
          </cell>
          <cell r="AT69">
            <v>115.86251651446082</v>
          </cell>
          <cell r="AU69">
            <v>116.9056972367089</v>
          </cell>
          <cell r="AV69">
            <v>118.18259763470512</v>
          </cell>
          <cell r="AW69">
            <v>107.71615757456749</v>
          </cell>
          <cell r="AX69">
            <v>129.56827912541644</v>
          </cell>
          <cell r="AY69">
            <v>130.70851588074777</v>
          </cell>
          <cell r="AZ69">
            <v>113.73406012529533</v>
          </cell>
          <cell r="BA69">
            <v>113.73406012529533</v>
          </cell>
          <cell r="BB69">
            <v>115.32518520486755</v>
          </cell>
          <cell r="BC69">
            <v>107.26934326225494</v>
          </cell>
          <cell r="BD69">
            <v>119.32463766246126</v>
          </cell>
          <cell r="BE69">
            <v>132.22162983787365</v>
          </cell>
          <cell r="BF69">
            <v>130.70851588074777</v>
          </cell>
          <cell r="BG69">
            <v>126.54205121116287</v>
          </cell>
          <cell r="BH69">
            <v>134.87498055033214</v>
          </cell>
          <cell r="BI69">
            <v>98.717291436551122</v>
          </cell>
          <cell r="BJ69">
            <v>120.79833875278919</v>
          </cell>
          <cell r="BK69">
            <v>108.8980700977136</v>
          </cell>
          <cell r="BL69">
            <v>134.87498055033214</v>
          </cell>
          <cell r="BM69">
            <v>106.97036782690532</v>
          </cell>
          <cell r="BN69">
            <v>98.717291436551122</v>
          </cell>
          <cell r="BO69">
            <v>114.14302068533662</v>
          </cell>
          <cell r="BP69">
            <v>113.56444480347814</v>
          </cell>
          <cell r="BQ69">
            <v>118.18259763470512</v>
          </cell>
          <cell r="BR69">
            <v>113.56444480347814</v>
          </cell>
          <cell r="BS69">
            <v>121.72097852395535</v>
          </cell>
          <cell r="BT69">
            <v>134.87498055033214</v>
          </cell>
          <cell r="BU69">
            <v>135.51755918562012</v>
          </cell>
          <cell r="BV69">
            <v>126.54205121116287</v>
          </cell>
          <cell r="BW69">
            <v>125.86630628636649</v>
          </cell>
          <cell r="BX69">
            <v>113.73406012529533</v>
          </cell>
          <cell r="BY69">
            <v>114.89703203256393</v>
          </cell>
          <cell r="BZ69">
            <v>125.86630628636649</v>
          </cell>
          <cell r="CA69">
            <v>103.9277577787615</v>
          </cell>
          <cell r="CB69">
            <v>135.51755918562012</v>
          </cell>
          <cell r="CC69">
            <v>121.72097852395535</v>
          </cell>
        </row>
        <row r="73">
          <cell r="I73">
            <v>1848</v>
          </cell>
          <cell r="J73">
            <v>92</v>
          </cell>
          <cell r="K73">
            <v>801</v>
          </cell>
          <cell r="L73">
            <v>517</v>
          </cell>
          <cell r="M73">
            <v>496</v>
          </cell>
          <cell r="N73">
            <v>1518</v>
          </cell>
          <cell r="O73">
            <v>1135</v>
          </cell>
          <cell r="P73">
            <v>1023</v>
          </cell>
          <cell r="Q73">
            <v>151</v>
          </cell>
          <cell r="R73">
            <v>27</v>
          </cell>
          <cell r="S73">
            <v>341</v>
          </cell>
          <cell r="T73">
            <v>28</v>
          </cell>
          <cell r="U73">
            <v>155</v>
          </cell>
          <cell r="V73">
            <v>5174</v>
          </cell>
          <cell r="W73">
            <v>957</v>
          </cell>
          <cell r="X73">
            <v>1157</v>
          </cell>
          <cell r="Y73">
            <v>337</v>
          </cell>
          <cell r="Z73">
            <v>138</v>
          </cell>
          <cell r="AA73">
            <v>467</v>
          </cell>
          <cell r="AB73">
            <v>256</v>
          </cell>
          <cell r="AC73">
            <v>76</v>
          </cell>
          <cell r="AD73">
            <v>980</v>
          </cell>
          <cell r="AE73">
            <v>240</v>
          </cell>
          <cell r="AF73">
            <v>1099</v>
          </cell>
          <cell r="AG73">
            <v>1740</v>
          </cell>
          <cell r="AH73">
            <v>1527</v>
          </cell>
          <cell r="AI73">
            <v>68</v>
          </cell>
          <cell r="AJ73">
            <v>3401</v>
          </cell>
          <cell r="AK73">
            <v>21</v>
          </cell>
          <cell r="AL73">
            <v>68</v>
          </cell>
          <cell r="AM73">
            <v>3103</v>
          </cell>
          <cell r="AN73">
            <v>119516</v>
          </cell>
          <cell r="AO73">
            <v>5484</v>
          </cell>
          <cell r="AP73">
            <v>793</v>
          </cell>
          <cell r="AQ73">
            <v>98</v>
          </cell>
          <cell r="AR73">
            <v>362</v>
          </cell>
          <cell r="AS73">
            <v>1901</v>
          </cell>
          <cell r="AT73">
            <v>115</v>
          </cell>
          <cell r="AU73">
            <v>299</v>
          </cell>
          <cell r="AV73">
            <v>2881</v>
          </cell>
          <cell r="AW73">
            <v>135</v>
          </cell>
          <cell r="AX73">
            <v>994</v>
          </cell>
          <cell r="AY73">
            <v>844</v>
          </cell>
          <cell r="AZ73">
            <v>1977</v>
          </cell>
          <cell r="BA73">
            <v>326</v>
          </cell>
          <cell r="BB73">
            <v>788</v>
          </cell>
          <cell r="BC73">
            <v>583</v>
          </cell>
          <cell r="BD73">
            <v>370</v>
          </cell>
          <cell r="BE73">
            <v>1793</v>
          </cell>
          <cell r="BF73">
            <v>204</v>
          </cell>
          <cell r="BG73">
            <v>242</v>
          </cell>
          <cell r="BH73">
            <v>1007</v>
          </cell>
          <cell r="BI73">
            <v>167</v>
          </cell>
          <cell r="BJ73">
            <v>129</v>
          </cell>
          <cell r="BK73">
            <v>564</v>
          </cell>
          <cell r="BL73">
            <v>7569</v>
          </cell>
          <cell r="BM73">
            <v>741</v>
          </cell>
          <cell r="BN73">
            <v>60</v>
          </cell>
          <cell r="BO73">
            <v>104</v>
          </cell>
          <cell r="BP73">
            <v>283</v>
          </cell>
          <cell r="BQ73">
            <v>253</v>
          </cell>
          <cell r="BR73">
            <v>1145</v>
          </cell>
          <cell r="BS73">
            <v>154</v>
          </cell>
          <cell r="BT73">
            <v>10160</v>
          </cell>
          <cell r="BU73">
            <v>2589</v>
          </cell>
          <cell r="BV73">
            <v>258</v>
          </cell>
          <cell r="BW73">
            <v>1574</v>
          </cell>
          <cell r="BX73">
            <v>448</v>
          </cell>
          <cell r="BY73">
            <v>76</v>
          </cell>
          <cell r="BZ73">
            <v>61</v>
          </cell>
          <cell r="CA73">
            <v>516</v>
          </cell>
          <cell r="CB73">
            <v>1067</v>
          </cell>
          <cell r="CC73">
            <v>237</v>
          </cell>
        </row>
        <row r="74">
          <cell r="I74">
            <v>1838.2333333333333</v>
          </cell>
          <cell r="J74">
            <v>92.125</v>
          </cell>
          <cell r="K74">
            <v>769.06666666666661</v>
          </cell>
          <cell r="L74">
            <v>386.75</v>
          </cell>
          <cell r="M74">
            <v>501</v>
          </cell>
          <cell r="N74">
            <v>1534.2416666666668</v>
          </cell>
          <cell r="O74">
            <v>1100.2250000000001</v>
          </cell>
          <cell r="P74">
            <v>970.06666666666661</v>
          </cell>
          <cell r="Q74">
            <v>145.16666666666666</v>
          </cell>
          <cell r="R74">
            <v>27.125</v>
          </cell>
          <cell r="S74">
            <v>327</v>
          </cell>
          <cell r="T74">
            <v>27.425000000000001</v>
          </cell>
          <cell r="U74">
            <v>144.45833333333334</v>
          </cell>
          <cell r="V74">
            <v>5108</v>
          </cell>
          <cell r="W74">
            <v>914.88333333333333</v>
          </cell>
          <cell r="X74">
            <v>1166.4166666666667</v>
          </cell>
          <cell r="Y74">
            <v>317.11666666666667</v>
          </cell>
          <cell r="Z74">
            <v>136.21666666666664</v>
          </cell>
          <cell r="AA74">
            <v>457.19166666666666</v>
          </cell>
          <cell r="AB74">
            <v>273.72499999999997</v>
          </cell>
          <cell r="AC74">
            <v>81.149999999999991</v>
          </cell>
          <cell r="AD74">
            <v>907.98333333333323</v>
          </cell>
          <cell r="AE74">
            <v>227.08333333333334</v>
          </cell>
          <cell r="AF74">
            <v>1019.4666666666667</v>
          </cell>
          <cell r="AG74">
            <v>1696</v>
          </cell>
          <cell r="AH74">
            <v>1324.2666666666667</v>
          </cell>
          <cell r="AI74">
            <v>68.100000000000009</v>
          </cell>
          <cell r="AJ74">
            <v>3313.0833333333335</v>
          </cell>
          <cell r="AK74">
            <v>21.25</v>
          </cell>
          <cell r="AL74">
            <v>65.625</v>
          </cell>
          <cell r="AM74">
            <v>2662</v>
          </cell>
          <cell r="AN74">
            <v>119501.59999999999</v>
          </cell>
          <cell r="AO74">
            <v>5336.166666666667</v>
          </cell>
          <cell r="AP74">
            <v>675</v>
          </cell>
          <cell r="AQ74">
            <v>98</v>
          </cell>
          <cell r="AR74">
            <v>356.40000000000009</v>
          </cell>
          <cell r="AS74">
            <v>1811.9166666666667</v>
          </cell>
          <cell r="AT74">
            <v>109.75</v>
          </cell>
          <cell r="AU74">
            <v>442.25</v>
          </cell>
          <cell r="AV74">
            <v>2662.8333333333335</v>
          </cell>
          <cell r="AW74">
            <v>131.6</v>
          </cell>
          <cell r="AX74">
            <v>845.95833333333337</v>
          </cell>
          <cell r="AY74">
            <v>970.48333333333323</v>
          </cell>
          <cell r="AZ74">
            <v>2037</v>
          </cell>
          <cell r="BA74">
            <v>332.46666666666664</v>
          </cell>
          <cell r="BB74">
            <v>742</v>
          </cell>
          <cell r="BC74">
            <v>592.25</v>
          </cell>
          <cell r="BD74">
            <v>370</v>
          </cell>
          <cell r="BE74">
            <v>1419.1666666666667</v>
          </cell>
          <cell r="BF74">
            <v>177.44166666666669</v>
          </cell>
          <cell r="BG74">
            <v>290.94166666666672</v>
          </cell>
          <cell r="BH74">
            <v>1204.6666666666667</v>
          </cell>
          <cell r="BI74">
            <v>148.6</v>
          </cell>
          <cell r="BJ74">
            <v>128.33333333333334</v>
          </cell>
          <cell r="BK74">
            <v>545.08333333333337</v>
          </cell>
          <cell r="BL74">
            <v>7448.8249999999998</v>
          </cell>
          <cell r="BM74">
            <v>725.25</v>
          </cell>
          <cell r="BN74">
            <v>60.416666666666664</v>
          </cell>
          <cell r="BO74">
            <v>90.61666666666666</v>
          </cell>
          <cell r="BP74">
            <v>228.45000000000002</v>
          </cell>
          <cell r="BQ74">
            <v>243.41666666666666</v>
          </cell>
          <cell r="BR74">
            <v>1140.5416666666667</v>
          </cell>
          <cell r="BS74">
            <v>157.2583333333333</v>
          </cell>
          <cell r="BT74">
            <v>13653.666666666666</v>
          </cell>
          <cell r="BU74">
            <v>2099.5916666666667</v>
          </cell>
          <cell r="BV74">
            <v>228.45833333333334</v>
          </cell>
          <cell r="BW74">
            <v>1451.9750000000001</v>
          </cell>
          <cell r="BX74">
            <v>423.48333333333335</v>
          </cell>
          <cell r="BY74">
            <v>99.833333333333329</v>
          </cell>
          <cell r="BZ74">
            <v>65.208333333333329</v>
          </cell>
          <cell r="CA74">
            <v>456.18333333333334</v>
          </cell>
          <cell r="CB74">
            <v>1007.0749999999999</v>
          </cell>
          <cell r="CC74">
            <v>250.01666666666665</v>
          </cell>
        </row>
        <row r="75">
          <cell r="I75">
            <v>11467</v>
          </cell>
          <cell r="J75">
            <v>1764</v>
          </cell>
          <cell r="K75">
            <v>34736</v>
          </cell>
          <cell r="L75">
            <v>8741</v>
          </cell>
          <cell r="M75">
            <v>34804</v>
          </cell>
          <cell r="N75">
            <v>56873</v>
          </cell>
          <cell r="O75">
            <v>45765</v>
          </cell>
          <cell r="P75">
            <v>27653</v>
          </cell>
          <cell r="Q75">
            <v>5833</v>
          </cell>
          <cell r="R75">
            <v>1346</v>
          </cell>
          <cell r="S75">
            <v>13397</v>
          </cell>
          <cell r="T75">
            <v>1601</v>
          </cell>
          <cell r="U75">
            <v>10263</v>
          </cell>
          <cell r="V75">
            <v>173862</v>
          </cell>
          <cell r="W75">
            <v>39144</v>
          </cell>
          <cell r="X75">
            <v>82132</v>
          </cell>
          <cell r="Y75">
            <v>16968</v>
          </cell>
          <cell r="Z75">
            <v>3325</v>
          </cell>
          <cell r="AA75">
            <v>26734</v>
          </cell>
          <cell r="AB75">
            <v>18487</v>
          </cell>
          <cell r="AC75">
            <v>3787</v>
          </cell>
          <cell r="AD75">
            <v>45752</v>
          </cell>
          <cell r="AE75">
            <v>8969</v>
          </cell>
          <cell r="AF75">
            <v>44229</v>
          </cell>
          <cell r="AG75">
            <v>20112</v>
          </cell>
          <cell r="AH75">
            <v>18365</v>
          </cell>
          <cell r="AI75">
            <v>2755</v>
          </cell>
          <cell r="AJ75">
            <v>227634</v>
          </cell>
          <cell r="AK75">
            <v>1122</v>
          </cell>
          <cell r="AL75">
            <v>5214</v>
          </cell>
          <cell r="AM75">
            <v>103204</v>
          </cell>
          <cell r="AN75">
            <v>1129064</v>
          </cell>
          <cell r="AO75">
            <v>269190</v>
          </cell>
          <cell r="AP75">
            <v>13362</v>
          </cell>
          <cell r="AQ75">
            <v>5627</v>
          </cell>
          <cell r="AR75">
            <v>26358</v>
          </cell>
          <cell r="AS75">
            <v>75269</v>
          </cell>
          <cell r="AT75">
            <v>8539</v>
          </cell>
          <cell r="AU75">
            <v>8871</v>
          </cell>
          <cell r="AV75">
            <v>134387</v>
          </cell>
          <cell r="AW75">
            <v>6363</v>
          </cell>
          <cell r="AX75">
            <v>16171</v>
          </cell>
          <cell r="AY75">
            <v>28235</v>
          </cell>
          <cell r="AZ75">
            <v>47784</v>
          </cell>
          <cell r="BA75">
            <v>7010</v>
          </cell>
          <cell r="BB75">
            <v>17636</v>
          </cell>
          <cell r="BC75">
            <v>23603</v>
          </cell>
          <cell r="BD75">
            <v>6324</v>
          </cell>
          <cell r="BE75">
            <v>51814</v>
          </cell>
          <cell r="BF75">
            <v>10288</v>
          </cell>
          <cell r="BG75">
            <v>12258</v>
          </cell>
          <cell r="BH75">
            <v>48202</v>
          </cell>
          <cell r="BI75">
            <v>10032</v>
          </cell>
          <cell r="BJ75">
            <v>3191</v>
          </cell>
          <cell r="BK75">
            <v>32847</v>
          </cell>
          <cell r="BL75">
            <v>266615</v>
          </cell>
          <cell r="BM75">
            <v>32443</v>
          </cell>
          <cell r="BN75">
            <v>4048</v>
          </cell>
          <cell r="BO75">
            <v>5738</v>
          </cell>
          <cell r="BP75">
            <v>2735</v>
          </cell>
          <cell r="BQ75">
            <v>14613</v>
          </cell>
          <cell r="BR75">
            <v>49236</v>
          </cell>
          <cell r="BS75">
            <v>6165</v>
          </cell>
          <cell r="BT75">
            <v>668625</v>
          </cell>
          <cell r="BU75">
            <v>99022</v>
          </cell>
          <cell r="BV75">
            <v>9691</v>
          </cell>
          <cell r="BW75">
            <v>45484</v>
          </cell>
          <cell r="BX75">
            <v>21155</v>
          </cell>
          <cell r="BY75">
            <v>3314</v>
          </cell>
          <cell r="BZ75">
            <v>3740</v>
          </cell>
          <cell r="CA75">
            <v>20382</v>
          </cell>
          <cell r="CB75">
            <v>33174</v>
          </cell>
          <cell r="CC75">
            <v>13863</v>
          </cell>
        </row>
        <row r="76">
          <cell r="I76">
            <v>1.5522804569634603E-2</v>
          </cell>
          <cell r="J76">
            <v>-5.6122448979591837E-2</v>
          </cell>
          <cell r="K76">
            <v>3.5870566559189312E-2</v>
          </cell>
          <cell r="L76">
            <v>0.12778858254204326</v>
          </cell>
          <cell r="M76">
            <v>0.10751637742788185</v>
          </cell>
          <cell r="N76">
            <v>0.17285882580486348</v>
          </cell>
          <cell r="O76">
            <v>0.14091554681525184</v>
          </cell>
          <cell r="P76">
            <v>3.3667233211586448E-2</v>
          </cell>
          <cell r="Q76">
            <v>0.15035144865420882</v>
          </cell>
          <cell r="R76">
            <v>-7.3551263001485886E-2</v>
          </cell>
          <cell r="S76">
            <v>0.21370456072254981</v>
          </cell>
          <cell r="T76">
            <v>0.2254840724547158</v>
          </cell>
          <cell r="U76">
            <v>0.11887362369677482</v>
          </cell>
          <cell r="V76">
            <v>0.14959565632513142</v>
          </cell>
          <cell r="W76">
            <v>3.1703453913754343E-2</v>
          </cell>
          <cell r="X76">
            <v>4.7314079774022307E-2</v>
          </cell>
          <cell r="Y76">
            <v>6.8069306930693074E-2</v>
          </cell>
          <cell r="Z76">
            <v>-7.218045112781955E-3</v>
          </cell>
          <cell r="AA76">
            <v>6.231764793895414E-2</v>
          </cell>
          <cell r="AB76">
            <v>9.1956509979985931E-2</v>
          </cell>
          <cell r="AC76">
            <v>-2.3765513599155005E-2</v>
          </cell>
          <cell r="AD76">
            <v>2.8894911697849274E-2</v>
          </cell>
          <cell r="AE76">
            <v>0.18129111383654811</v>
          </cell>
          <cell r="AF76">
            <v>0.18300210269280337</v>
          </cell>
          <cell r="AG76">
            <v>5.5340095465393792E-2</v>
          </cell>
          <cell r="AH76">
            <v>0.17065069425537707</v>
          </cell>
          <cell r="AI76">
            <v>1.1615245009074409E-2</v>
          </cell>
          <cell r="AJ76">
            <v>4.8951386875422831E-2</v>
          </cell>
          <cell r="AK76">
            <v>8.7344028520499106E-2</v>
          </cell>
          <cell r="AL76">
            <v>5.811277330264672E-2</v>
          </cell>
          <cell r="AM76">
            <v>0.41450912755319563</v>
          </cell>
          <cell r="AN76">
            <v>8.0962638078975149E-2</v>
          </cell>
          <cell r="AO76">
            <v>0.16914447044838218</v>
          </cell>
          <cell r="AP76">
            <v>0.14810657087262386</v>
          </cell>
          <cell r="AQ76">
            <v>-1.0662875422072152E-2</v>
          </cell>
          <cell r="AR76">
            <v>2.8074967751726233E-2</v>
          </cell>
          <cell r="AS76">
            <v>0.1959638098021762</v>
          </cell>
          <cell r="AT76">
            <v>0.15306241948705937</v>
          </cell>
          <cell r="AU76">
            <v>0.10077781535339872</v>
          </cell>
          <cell r="AV76">
            <v>0.12300296903718366</v>
          </cell>
          <cell r="AW76">
            <v>0.10215307245010215</v>
          </cell>
          <cell r="AX76">
            <v>1.107043472883557</v>
          </cell>
          <cell r="AY76">
            <v>0.22635027448202585</v>
          </cell>
          <cell r="AZ76">
            <v>7.1760421898543439E-2</v>
          </cell>
          <cell r="BA76">
            <v>0.23238231098430814</v>
          </cell>
          <cell r="BB76">
            <v>9.6733953277387166E-2</v>
          </cell>
          <cell r="BC76">
            <v>1.5675973393212726E-2</v>
          </cell>
          <cell r="BD76">
            <v>-4.0955091714104996E-2</v>
          </cell>
          <cell r="BE76">
            <v>0.25049214498012118</v>
          </cell>
          <cell r="BF76">
            <v>0.11858475894245724</v>
          </cell>
          <cell r="BG76">
            <v>7.8397781040952852E-2</v>
          </cell>
          <cell r="BH76">
            <v>0.11964233849217874</v>
          </cell>
          <cell r="BI76">
            <v>6.8979266347687404E-2</v>
          </cell>
          <cell r="BJ76">
            <v>8.5239736759636475E-2</v>
          </cell>
          <cell r="BK76">
            <v>9.1271653423448104E-2</v>
          </cell>
          <cell r="BL76">
            <v>0.30006938844401104</v>
          </cell>
          <cell r="BM76">
            <v>2.8480720032056223E-2</v>
          </cell>
          <cell r="BN76">
            <v>4.3725296442687744E-2</v>
          </cell>
          <cell r="BO76">
            <v>2.1087486929243639E-2</v>
          </cell>
          <cell r="BP76">
            <v>1.1700182815356491E-2</v>
          </cell>
          <cell r="BQ76">
            <v>8.4376924656128102E-2</v>
          </cell>
          <cell r="BR76">
            <v>1.9376066292956372E-2</v>
          </cell>
          <cell r="BS76">
            <v>0.11240875912408758</v>
          </cell>
          <cell r="BT76">
            <v>9.8636754533557677E-2</v>
          </cell>
          <cell r="BU76">
            <v>0.17440568762497222</v>
          </cell>
          <cell r="BV76">
            <v>0.32246414198741102</v>
          </cell>
          <cell r="BW76">
            <v>0.19088030955940549</v>
          </cell>
          <cell r="BX76">
            <v>5.554242495863862E-2</v>
          </cell>
          <cell r="BY76">
            <v>0.11496680748340374</v>
          </cell>
          <cell r="BZ76">
            <v>5.8823529411764705E-3</v>
          </cell>
          <cell r="CA76">
            <v>0.11495437150426847</v>
          </cell>
          <cell r="CB76">
            <v>0.24193645626092722</v>
          </cell>
          <cell r="CC76">
            <v>0.12053668037221381</v>
          </cell>
        </row>
      </sheetData>
      <sheetData sheetId="7"/>
      <sheetData sheetId="8"/>
      <sheetData sheetId="9"/>
      <sheetData sheetId="10">
        <row r="42">
          <cell r="B42" t="str">
            <v>Algoma Power Inc.</v>
          </cell>
          <cell r="C42" t="str">
            <v>Atikokan Hydro Inc.</v>
          </cell>
          <cell r="D42" t="str">
            <v>Bluewater Power Distribution Corporation</v>
          </cell>
          <cell r="E42" t="str">
            <v>Brant County Power Inc.</v>
          </cell>
          <cell r="F42" t="str">
            <v>Brantford Power Inc.</v>
          </cell>
          <cell r="G42" t="str">
            <v>Burlington Hydro Inc.</v>
          </cell>
          <cell r="H42" t="str">
            <v>Cambridge and North Dumfries Hydro Inc.</v>
          </cell>
          <cell r="I42" t="str">
            <v>Canadian Niagara Power Inc.</v>
          </cell>
          <cell r="J42" t="str">
            <v>Centre Wellington Hydro Ltd.</v>
          </cell>
          <cell r="K42" t="str">
            <v>Chapleau Public Utilities Corporation</v>
          </cell>
          <cell r="L42" t="str">
            <v>COLLUS PowerStream Corp.</v>
          </cell>
          <cell r="M42" t="str">
            <v>Cooperative Hydro Embrun Inc.</v>
          </cell>
          <cell r="N42" t="str">
            <v>E.L.K. Energy Inc.</v>
          </cell>
          <cell r="O42" t="str">
            <v>Enersource Hydro Mississauga Inc.</v>
          </cell>
          <cell r="P42" t="str">
            <v>Entegrus Powerlines Inc.</v>
          </cell>
          <cell r="Q42" t="str">
            <v>ENWIN Utilities Ltd.</v>
          </cell>
          <cell r="R42" t="str">
            <v>Erie Thames Powerlines Corporation</v>
          </cell>
          <cell r="S42" t="str">
            <v>Espanola Regional Hydro Distribution Corporation</v>
          </cell>
          <cell r="T42" t="str">
            <v>Essex Powerlines Corporation</v>
          </cell>
          <cell r="U42" t="str">
            <v>Festival Hydro Inc.</v>
          </cell>
          <cell r="V42" t="str">
            <v>Fort Frances Power Corporation</v>
          </cell>
          <cell r="W42" t="str">
            <v>Greater Sudbury Hydro Inc.</v>
          </cell>
          <cell r="X42" t="str">
            <v>Grimsby Power Incorporated</v>
          </cell>
          <cell r="Y42" t="str">
            <v>Guelph Hydro Electric Systems Inc.</v>
          </cell>
          <cell r="Z42" t="str">
            <v>Haldimand County Hydro Inc.</v>
          </cell>
          <cell r="AA42" t="str">
            <v>Halton Hills Hydro Inc.</v>
          </cell>
          <cell r="AB42" t="str">
            <v>Hearst Power Distribution Company Limited</v>
          </cell>
          <cell r="AC42" t="str">
            <v>Horizon Utilities Corporation</v>
          </cell>
          <cell r="AD42" t="str">
            <v>Hydro 2000 Inc.</v>
          </cell>
          <cell r="AE42" t="str">
            <v>Hydro Hawkesbury Inc.</v>
          </cell>
          <cell r="AF42" t="str">
            <v>Hydro One Brampton Networks Inc.</v>
          </cell>
          <cell r="AG42" t="str">
            <v>Hydro One Networks Inc.</v>
          </cell>
          <cell r="AH42" t="str">
            <v>Hydro Ottawa Limited</v>
          </cell>
          <cell r="AI42" t="str">
            <v>Innisfil Hydro Distribution Systems Limited</v>
          </cell>
          <cell r="AJ42" t="str">
            <v>Kenora Hydro Electric Corporation Ltd.</v>
          </cell>
          <cell r="AK42" t="str">
            <v>Kingston Hydro Corporation</v>
          </cell>
          <cell r="AL42" t="str">
            <v>Kitchener-Wilmot Hydro Inc.</v>
          </cell>
          <cell r="AM42" t="str">
            <v>Lakefront Utilities Inc.</v>
          </cell>
          <cell r="AN42" t="str">
            <v>Lakeland Power Distribution Ltd.</v>
          </cell>
          <cell r="AO42" t="str">
            <v>London Hydro Inc.</v>
          </cell>
          <cell r="AP42" t="str">
            <v>Midland Power Utility Corporation</v>
          </cell>
          <cell r="AQ42" t="str">
            <v>Milton Hydro Distribution Inc.</v>
          </cell>
          <cell r="AR42" t="str">
            <v>Newmarket-Tay Power Distribution Ltd.</v>
          </cell>
          <cell r="AS42" t="str">
            <v>Niagara Peninsula Energy Inc.</v>
          </cell>
          <cell r="AT42" t="str">
            <v>Niagara-on-the-Lake Hydro Inc.</v>
          </cell>
          <cell r="AU42" t="str">
            <v>Norfolk Power Distribution Inc.</v>
          </cell>
          <cell r="AV42" t="str">
            <v>North Bay Hydro Distribution Limited</v>
          </cell>
          <cell r="AW42" t="str">
            <v>Northern Ontario Wires Inc.</v>
          </cell>
          <cell r="AX42" t="str">
            <v>Oakville Hydro Electricity Distribution Inc.</v>
          </cell>
          <cell r="AY42" t="str">
            <v>Orangeville Hydro Limited</v>
          </cell>
          <cell r="AZ42" t="str">
            <v>Orillia Power Distribution Corporation</v>
          </cell>
          <cell r="BA42" t="str">
            <v>Oshawa PUC Networks Inc.</v>
          </cell>
          <cell r="BB42" t="str">
            <v>Ottawa River Power Corporation</v>
          </cell>
          <cell r="BC42" t="str">
            <v>Parry Sound Power Corporation</v>
          </cell>
          <cell r="BD42" t="str">
            <v>Peterborough Distribution Incorporated</v>
          </cell>
          <cell r="BE42" t="str">
            <v>PowerStream Inc.</v>
          </cell>
          <cell r="BF42" t="str">
            <v>PUC Distribution Inc.</v>
          </cell>
          <cell r="BG42" t="str">
            <v>Renfrew Hydro Inc.</v>
          </cell>
          <cell r="BH42" t="str">
            <v>Rideau St. Lawrence Distribution Inc.</v>
          </cell>
          <cell r="BI42" t="str">
            <v>Sioux Lookout Hydro Inc.</v>
          </cell>
          <cell r="BJ42" t="str">
            <v>St. Thomas Energy Inc.</v>
          </cell>
          <cell r="BK42" t="str">
            <v>Thunder Bay Hydro Electricity Distribution Inc.</v>
          </cell>
          <cell r="BL42" t="str">
            <v>Tillsonburg Hydro Inc.</v>
          </cell>
          <cell r="BM42" t="str">
            <v>Toronto Hydro-Electric System Limited</v>
          </cell>
          <cell r="BN42" t="str">
            <v>Veridian Connections Inc.</v>
          </cell>
          <cell r="BO42" t="str">
            <v>Wasaga Distribution Inc.</v>
          </cell>
          <cell r="BP42" t="str">
            <v>Waterloo North Hydro Inc.</v>
          </cell>
          <cell r="BQ42" t="str">
            <v>Welland Hydro-Electric System Corp.</v>
          </cell>
          <cell r="BR42" t="str">
            <v>Wellington North Power Inc.</v>
          </cell>
          <cell r="BS42" t="str">
            <v>West Coast Huron Energy Inc.</v>
          </cell>
          <cell r="BT42" t="str">
            <v>Westario Power Inc.</v>
          </cell>
          <cell r="BU42" t="str">
            <v>Whitby Hydro Electric Corporation</v>
          </cell>
          <cell r="BV42" t="str">
            <v>Woodstock Hydro Services Inc.</v>
          </cell>
        </row>
        <row r="43">
          <cell r="B43">
            <v>14200</v>
          </cell>
          <cell r="C43">
            <v>380</v>
          </cell>
          <cell r="D43">
            <v>201</v>
          </cell>
          <cell r="E43">
            <v>256</v>
          </cell>
          <cell r="F43">
            <v>74</v>
          </cell>
          <cell r="G43">
            <v>188</v>
          </cell>
          <cell r="H43">
            <v>306</v>
          </cell>
          <cell r="I43">
            <v>357</v>
          </cell>
          <cell r="J43">
            <v>10</v>
          </cell>
          <cell r="K43">
            <v>2</v>
          </cell>
          <cell r="L43">
            <v>45</v>
          </cell>
          <cell r="M43">
            <v>5</v>
          </cell>
          <cell r="N43">
            <v>22</v>
          </cell>
          <cell r="O43">
            <v>292</v>
          </cell>
          <cell r="P43">
            <v>96</v>
          </cell>
          <cell r="Q43">
            <v>120</v>
          </cell>
          <cell r="R43">
            <v>1887</v>
          </cell>
          <cell r="S43">
            <v>99</v>
          </cell>
          <cell r="T43">
            <v>104</v>
          </cell>
          <cell r="U43">
            <v>45</v>
          </cell>
          <cell r="V43">
            <v>26</v>
          </cell>
          <cell r="W43">
            <v>410</v>
          </cell>
          <cell r="X43">
            <v>69</v>
          </cell>
          <cell r="Y43">
            <v>93</v>
          </cell>
          <cell r="Z43">
            <v>1252</v>
          </cell>
          <cell r="AA43">
            <v>280</v>
          </cell>
          <cell r="AB43">
            <v>93</v>
          </cell>
          <cell r="AC43">
            <v>426</v>
          </cell>
          <cell r="AD43">
            <v>9</v>
          </cell>
          <cell r="AE43">
            <v>8</v>
          </cell>
          <cell r="AF43">
            <v>269</v>
          </cell>
          <cell r="AG43">
            <v>650000</v>
          </cell>
          <cell r="AH43">
            <v>1104</v>
          </cell>
          <cell r="AI43">
            <v>292</v>
          </cell>
          <cell r="AJ43">
            <v>24</v>
          </cell>
          <cell r="AK43">
            <v>32</v>
          </cell>
          <cell r="AL43">
            <v>409</v>
          </cell>
          <cell r="AM43">
            <v>27</v>
          </cell>
          <cell r="AN43">
            <v>144</v>
          </cell>
          <cell r="AO43">
            <v>421</v>
          </cell>
          <cell r="AP43">
            <v>20</v>
          </cell>
          <cell r="AQ43">
            <v>371</v>
          </cell>
          <cell r="AR43">
            <v>74</v>
          </cell>
          <cell r="AS43">
            <v>827</v>
          </cell>
          <cell r="AT43">
            <v>133</v>
          </cell>
          <cell r="AU43">
            <v>693</v>
          </cell>
          <cell r="AV43">
            <v>330</v>
          </cell>
          <cell r="AW43">
            <v>28</v>
          </cell>
          <cell r="AX43">
            <v>143</v>
          </cell>
          <cell r="AY43">
            <v>17</v>
          </cell>
          <cell r="AZ43">
            <v>27</v>
          </cell>
          <cell r="BA43">
            <v>149</v>
          </cell>
          <cell r="BB43">
            <v>35</v>
          </cell>
          <cell r="BC43">
            <v>15</v>
          </cell>
          <cell r="BD43">
            <v>64</v>
          </cell>
          <cell r="BE43">
            <v>806</v>
          </cell>
          <cell r="BF43">
            <v>342</v>
          </cell>
          <cell r="BG43">
            <v>13</v>
          </cell>
          <cell r="BH43">
            <v>18</v>
          </cell>
          <cell r="BI43">
            <v>536</v>
          </cell>
          <cell r="BJ43">
            <v>33</v>
          </cell>
          <cell r="BK43">
            <v>381</v>
          </cell>
          <cell r="BL43">
            <v>24</v>
          </cell>
          <cell r="BM43">
            <v>630</v>
          </cell>
          <cell r="BN43">
            <v>639</v>
          </cell>
          <cell r="BO43">
            <v>61</v>
          </cell>
          <cell r="BP43">
            <v>672</v>
          </cell>
          <cell r="BQ43">
            <v>81</v>
          </cell>
          <cell r="BR43">
            <v>14</v>
          </cell>
          <cell r="BS43">
            <v>8</v>
          </cell>
          <cell r="BT43">
            <v>64</v>
          </cell>
          <cell r="BU43">
            <v>148</v>
          </cell>
          <cell r="BV43">
            <v>29</v>
          </cell>
        </row>
        <row r="44">
          <cell r="B44">
            <v>3</v>
          </cell>
          <cell r="C44">
            <v>380</v>
          </cell>
          <cell r="D44">
            <v>54</v>
          </cell>
          <cell r="E44">
            <v>14</v>
          </cell>
          <cell r="F44">
            <v>74</v>
          </cell>
          <cell r="G44">
            <v>98</v>
          </cell>
          <cell r="H44">
            <v>90</v>
          </cell>
          <cell r="I44">
            <v>73</v>
          </cell>
          <cell r="J44">
            <v>10</v>
          </cell>
          <cell r="K44">
            <v>2</v>
          </cell>
          <cell r="L44">
            <v>45</v>
          </cell>
          <cell r="M44">
            <v>5</v>
          </cell>
          <cell r="N44">
            <v>22</v>
          </cell>
          <cell r="O44">
            <v>292</v>
          </cell>
          <cell r="P44">
            <v>96</v>
          </cell>
          <cell r="Q44">
            <v>120</v>
          </cell>
          <cell r="R44">
            <v>57</v>
          </cell>
          <cell r="S44">
            <v>26</v>
          </cell>
          <cell r="T44">
            <v>66</v>
          </cell>
          <cell r="U44">
            <v>45</v>
          </cell>
          <cell r="V44">
            <v>26</v>
          </cell>
          <cell r="W44">
            <v>290</v>
          </cell>
          <cell r="X44">
            <v>19</v>
          </cell>
          <cell r="Y44">
            <v>93</v>
          </cell>
          <cell r="Z44">
            <v>36</v>
          </cell>
          <cell r="AA44">
            <v>25</v>
          </cell>
          <cell r="AB44">
            <v>93</v>
          </cell>
          <cell r="AC44">
            <v>338</v>
          </cell>
          <cell r="AD44">
            <v>9</v>
          </cell>
          <cell r="AE44">
            <v>8</v>
          </cell>
          <cell r="AF44">
            <v>269</v>
          </cell>
          <cell r="AG44">
            <v>0</v>
          </cell>
          <cell r="AH44">
            <v>454</v>
          </cell>
          <cell r="AI44">
            <v>71</v>
          </cell>
          <cell r="AJ44">
            <v>24</v>
          </cell>
          <cell r="AK44">
            <v>32</v>
          </cell>
          <cell r="AL44">
            <v>125</v>
          </cell>
          <cell r="AM44">
            <v>27</v>
          </cell>
          <cell r="AN44">
            <v>16</v>
          </cell>
          <cell r="AO44">
            <v>163</v>
          </cell>
          <cell r="AP44">
            <v>20</v>
          </cell>
          <cell r="AQ44">
            <v>56</v>
          </cell>
          <cell r="AR44">
            <v>71</v>
          </cell>
          <cell r="AS44">
            <v>68</v>
          </cell>
          <cell r="AT44">
            <v>14</v>
          </cell>
          <cell r="AU44">
            <v>144</v>
          </cell>
          <cell r="AV44">
            <v>51</v>
          </cell>
          <cell r="AW44">
            <v>28</v>
          </cell>
          <cell r="AX44">
            <v>106</v>
          </cell>
          <cell r="AY44">
            <v>17</v>
          </cell>
          <cell r="AZ44">
            <v>27</v>
          </cell>
          <cell r="BA44">
            <v>71</v>
          </cell>
          <cell r="BB44">
            <v>35</v>
          </cell>
          <cell r="BC44">
            <v>15</v>
          </cell>
          <cell r="BD44">
            <v>64</v>
          </cell>
          <cell r="BE44">
            <v>503</v>
          </cell>
          <cell r="BF44">
            <v>58</v>
          </cell>
          <cell r="BG44">
            <v>13</v>
          </cell>
          <cell r="BH44">
            <v>11</v>
          </cell>
          <cell r="BI44">
            <v>6</v>
          </cell>
          <cell r="BJ44">
            <v>25</v>
          </cell>
          <cell r="BK44">
            <v>122</v>
          </cell>
          <cell r="BL44">
            <v>22</v>
          </cell>
          <cell r="BM44">
            <v>630</v>
          </cell>
          <cell r="BN44">
            <v>253</v>
          </cell>
          <cell r="BO44">
            <v>53</v>
          </cell>
          <cell r="BP44">
            <v>65</v>
          </cell>
          <cell r="BQ44">
            <v>81</v>
          </cell>
          <cell r="BR44">
            <v>14</v>
          </cell>
          <cell r="BS44">
            <v>8</v>
          </cell>
          <cell r="BT44">
            <v>64</v>
          </cell>
          <cell r="BU44">
            <v>67</v>
          </cell>
          <cell r="BV44">
            <v>29</v>
          </cell>
        </row>
        <row r="45">
          <cell r="B45">
            <v>14197</v>
          </cell>
          <cell r="C45">
            <v>0</v>
          </cell>
          <cell r="D45">
            <v>147</v>
          </cell>
          <cell r="E45">
            <v>242</v>
          </cell>
          <cell r="F45">
            <v>0</v>
          </cell>
          <cell r="G45">
            <v>90</v>
          </cell>
          <cell r="H45">
            <v>216</v>
          </cell>
          <cell r="I45">
            <v>284</v>
          </cell>
          <cell r="J45">
            <v>0</v>
          </cell>
          <cell r="K45">
            <v>0</v>
          </cell>
          <cell r="L45">
            <v>0</v>
          </cell>
          <cell r="M45">
            <v>0</v>
          </cell>
          <cell r="N45">
            <v>0</v>
          </cell>
          <cell r="O45">
            <v>0</v>
          </cell>
          <cell r="P45">
            <v>0</v>
          </cell>
          <cell r="Q45">
            <v>0</v>
          </cell>
          <cell r="R45">
            <v>1830</v>
          </cell>
          <cell r="S45">
            <v>73</v>
          </cell>
          <cell r="T45">
            <v>38</v>
          </cell>
          <cell r="U45">
            <v>0</v>
          </cell>
          <cell r="V45">
            <v>0</v>
          </cell>
          <cell r="W45">
            <v>120</v>
          </cell>
          <cell r="X45">
            <v>50</v>
          </cell>
          <cell r="Y45">
            <v>0</v>
          </cell>
          <cell r="Z45">
            <v>1216</v>
          </cell>
          <cell r="AA45">
            <v>255</v>
          </cell>
          <cell r="AB45">
            <v>0</v>
          </cell>
          <cell r="AC45">
            <v>88</v>
          </cell>
          <cell r="AD45">
            <v>0</v>
          </cell>
          <cell r="AE45">
            <v>0</v>
          </cell>
          <cell r="AF45">
            <v>0</v>
          </cell>
          <cell r="AG45">
            <v>650000</v>
          </cell>
          <cell r="AH45">
            <v>650</v>
          </cell>
          <cell r="AI45">
            <v>221</v>
          </cell>
          <cell r="AJ45">
            <v>0</v>
          </cell>
          <cell r="AK45">
            <v>0</v>
          </cell>
          <cell r="AL45">
            <v>284</v>
          </cell>
          <cell r="AM45">
            <v>0</v>
          </cell>
          <cell r="AN45">
            <v>128</v>
          </cell>
          <cell r="AO45">
            <v>258</v>
          </cell>
          <cell r="AP45">
            <v>0</v>
          </cell>
          <cell r="AQ45">
            <v>315</v>
          </cell>
          <cell r="AR45">
            <v>3</v>
          </cell>
          <cell r="AS45">
            <v>759</v>
          </cell>
          <cell r="AT45">
            <v>119</v>
          </cell>
          <cell r="AU45">
            <v>549</v>
          </cell>
          <cell r="AV45">
            <v>279</v>
          </cell>
          <cell r="AW45">
            <v>0</v>
          </cell>
          <cell r="AX45">
            <v>37</v>
          </cell>
          <cell r="AY45">
            <v>0</v>
          </cell>
          <cell r="AZ45">
            <v>0</v>
          </cell>
          <cell r="BA45">
            <v>78</v>
          </cell>
          <cell r="BB45">
            <v>0</v>
          </cell>
          <cell r="BC45">
            <v>0</v>
          </cell>
          <cell r="BD45">
            <v>0</v>
          </cell>
          <cell r="BE45">
            <v>303</v>
          </cell>
          <cell r="BF45">
            <v>284</v>
          </cell>
          <cell r="BG45">
            <v>0</v>
          </cell>
          <cell r="BH45">
            <v>7</v>
          </cell>
          <cell r="BI45">
            <v>530</v>
          </cell>
          <cell r="BJ45">
            <v>8</v>
          </cell>
          <cell r="BK45">
            <v>259</v>
          </cell>
          <cell r="BL45">
            <v>2</v>
          </cell>
          <cell r="BM45">
            <v>0</v>
          </cell>
          <cell r="BN45">
            <v>386</v>
          </cell>
          <cell r="BO45">
            <v>8</v>
          </cell>
          <cell r="BP45">
            <v>607</v>
          </cell>
          <cell r="BQ45">
            <v>0</v>
          </cell>
          <cell r="BR45">
            <v>0</v>
          </cell>
          <cell r="BS45">
            <v>0</v>
          </cell>
          <cell r="BT45">
            <v>0</v>
          </cell>
          <cell r="BU45">
            <v>81</v>
          </cell>
          <cell r="BV45">
            <v>0</v>
          </cell>
        </row>
        <row r="46">
          <cell r="B46">
            <v>43003</v>
          </cell>
          <cell r="C46">
            <v>3439</v>
          </cell>
          <cell r="D46">
            <v>137990</v>
          </cell>
          <cell r="E46">
            <v>49023</v>
          </cell>
          <cell r="F46">
            <v>153286</v>
          </cell>
          <cell r="G46">
            <v>267867</v>
          </cell>
          <cell r="H46">
            <v>237151</v>
          </cell>
          <cell r="I46">
            <v>93106</v>
          </cell>
          <cell r="J46">
            <v>26279</v>
          </cell>
          <cell r="K46">
            <v>7119</v>
          </cell>
          <cell r="L46">
            <v>54496</v>
          </cell>
          <cell r="M46">
            <v>6684</v>
          </cell>
          <cell r="N46">
            <v>42696</v>
          </cell>
          <cell r="O46">
            <v>1147734</v>
          </cell>
          <cell r="P46">
            <v>142550</v>
          </cell>
          <cell r="Q46">
            <v>373200</v>
          </cell>
          <cell r="R46">
            <v>98051</v>
          </cell>
          <cell r="S46">
            <v>13956</v>
          </cell>
          <cell r="T46">
            <v>82181</v>
          </cell>
          <cell r="U46">
            <v>95784</v>
          </cell>
          <cell r="V46">
            <v>17165</v>
          </cell>
          <cell r="W46">
            <v>195749</v>
          </cell>
          <cell r="X46">
            <v>31057</v>
          </cell>
          <cell r="Y46">
            <v>266570</v>
          </cell>
          <cell r="Z46">
            <v>86047</v>
          </cell>
          <cell r="AA46">
            <v>89743</v>
          </cell>
          <cell r="AB46">
            <v>17327</v>
          </cell>
          <cell r="AC46">
            <v>850815</v>
          </cell>
          <cell r="AD46">
            <v>6201</v>
          </cell>
          <cell r="AE46">
            <v>33</v>
          </cell>
          <cell r="AF46">
            <v>621219</v>
          </cell>
          <cell r="AG46">
            <v>6367000</v>
          </cell>
          <cell r="AH46">
            <v>1283182</v>
          </cell>
          <cell r="AI46">
            <v>58025</v>
          </cell>
          <cell r="AJ46">
            <v>21269</v>
          </cell>
          <cell r="AK46">
            <v>133035</v>
          </cell>
          <cell r="AL46">
            <v>310283</v>
          </cell>
          <cell r="AM46">
            <v>44104</v>
          </cell>
          <cell r="AN46">
            <v>42958</v>
          </cell>
          <cell r="AO46">
            <v>547301</v>
          </cell>
          <cell r="AP46">
            <v>33307</v>
          </cell>
          <cell r="AQ46">
            <v>131240</v>
          </cell>
          <cell r="AR46">
            <v>116165</v>
          </cell>
          <cell r="AS46">
            <v>193763</v>
          </cell>
          <cell r="AT46">
            <v>29045</v>
          </cell>
          <cell r="AU46">
            <v>64375</v>
          </cell>
          <cell r="AV46">
            <v>110029</v>
          </cell>
          <cell r="AW46">
            <v>24398</v>
          </cell>
          <cell r="AX46">
            <v>250158</v>
          </cell>
          <cell r="AY46">
            <v>41684</v>
          </cell>
          <cell r="AZ46">
            <v>57759</v>
          </cell>
          <cell r="BA46">
            <v>199808</v>
          </cell>
          <cell r="BB46">
            <v>47940</v>
          </cell>
          <cell r="BC46">
            <v>18179</v>
          </cell>
          <cell r="BD46">
            <v>147403</v>
          </cell>
          <cell r="BE46">
            <v>1373297</v>
          </cell>
          <cell r="BF46">
            <v>139361</v>
          </cell>
          <cell r="BG46">
            <v>17150</v>
          </cell>
          <cell r="BH46">
            <v>38183</v>
          </cell>
          <cell r="BI46">
            <v>20657</v>
          </cell>
          <cell r="BJ46">
            <v>48741</v>
          </cell>
          <cell r="BK46">
            <v>181192</v>
          </cell>
          <cell r="BL46">
            <v>31120</v>
          </cell>
          <cell r="BM46">
            <v>3981613</v>
          </cell>
          <cell r="BN46">
            <v>437777</v>
          </cell>
          <cell r="BO46">
            <v>25657</v>
          </cell>
          <cell r="BP46">
            <v>242504</v>
          </cell>
          <cell r="BQ46">
            <v>76288</v>
          </cell>
          <cell r="BR46">
            <v>17714</v>
          </cell>
          <cell r="BS46">
            <v>25491</v>
          </cell>
          <cell r="BT46">
            <v>84001</v>
          </cell>
          <cell r="BU46">
            <v>150501</v>
          </cell>
          <cell r="BV46">
            <v>79037</v>
          </cell>
        </row>
        <row r="47">
          <cell r="B47">
            <v>43003</v>
          </cell>
          <cell r="C47">
            <v>3439</v>
          </cell>
          <cell r="D47">
            <v>134959</v>
          </cell>
          <cell r="E47">
            <v>48073</v>
          </cell>
          <cell r="F47">
            <v>147328</v>
          </cell>
          <cell r="G47">
            <v>0</v>
          </cell>
          <cell r="H47">
            <v>237151</v>
          </cell>
          <cell r="I47">
            <v>90593</v>
          </cell>
          <cell r="J47">
            <v>28656</v>
          </cell>
          <cell r="K47">
            <v>7119</v>
          </cell>
          <cell r="L47">
            <v>54145</v>
          </cell>
          <cell r="M47">
            <v>6684</v>
          </cell>
          <cell r="N47">
            <v>0</v>
          </cell>
          <cell r="O47">
            <v>1144456</v>
          </cell>
          <cell r="P47">
            <v>146360</v>
          </cell>
          <cell r="Q47">
            <v>375384</v>
          </cell>
          <cell r="R47">
            <v>80296</v>
          </cell>
          <cell r="S47">
            <v>0</v>
          </cell>
          <cell r="T47">
            <v>75800</v>
          </cell>
          <cell r="U47">
            <v>96782</v>
          </cell>
          <cell r="V47">
            <v>17143</v>
          </cell>
          <cell r="W47">
            <v>189103</v>
          </cell>
          <cell r="X47">
            <v>31057</v>
          </cell>
          <cell r="Y47">
            <v>268032</v>
          </cell>
          <cell r="Z47">
            <v>72347</v>
          </cell>
          <cell r="AA47">
            <v>89743</v>
          </cell>
          <cell r="AB47">
            <v>17327</v>
          </cell>
          <cell r="AC47">
            <v>853467</v>
          </cell>
          <cell r="AD47">
            <v>6201</v>
          </cell>
          <cell r="AE47">
            <v>32</v>
          </cell>
          <cell r="AF47">
            <v>621219</v>
          </cell>
          <cell r="AG47">
            <v>3657000</v>
          </cell>
          <cell r="AH47">
            <v>1267024</v>
          </cell>
          <cell r="AI47">
            <v>57349</v>
          </cell>
          <cell r="AJ47">
            <v>21281</v>
          </cell>
          <cell r="AK47">
            <v>133035</v>
          </cell>
          <cell r="AL47">
            <v>305848</v>
          </cell>
          <cell r="AM47">
            <v>0</v>
          </cell>
          <cell r="AN47">
            <v>39576</v>
          </cell>
          <cell r="AO47">
            <v>574006</v>
          </cell>
          <cell r="AP47">
            <v>33307</v>
          </cell>
          <cell r="AQ47">
            <v>0</v>
          </cell>
          <cell r="AR47">
            <v>115765</v>
          </cell>
          <cell r="AS47">
            <v>192528</v>
          </cell>
          <cell r="AT47">
            <v>29248</v>
          </cell>
          <cell r="AU47">
            <v>0</v>
          </cell>
          <cell r="AV47">
            <v>0</v>
          </cell>
          <cell r="AW47">
            <v>0</v>
          </cell>
          <cell r="AX47">
            <v>250158</v>
          </cell>
          <cell r="AY47">
            <v>0</v>
          </cell>
          <cell r="AZ47">
            <v>57759</v>
          </cell>
          <cell r="BA47">
            <v>199808</v>
          </cell>
          <cell r="BB47">
            <v>36856</v>
          </cell>
          <cell r="BC47">
            <v>18179</v>
          </cell>
          <cell r="BD47">
            <v>138642</v>
          </cell>
          <cell r="BE47">
            <v>1373297</v>
          </cell>
          <cell r="BF47">
            <v>139248</v>
          </cell>
          <cell r="BG47">
            <v>17150</v>
          </cell>
          <cell r="BH47">
            <v>38167</v>
          </cell>
          <cell r="BI47">
            <v>20657</v>
          </cell>
          <cell r="BJ47">
            <v>48313</v>
          </cell>
          <cell r="BK47">
            <v>178809</v>
          </cell>
          <cell r="BL47">
            <v>31120</v>
          </cell>
          <cell r="BM47">
            <v>3980821</v>
          </cell>
          <cell r="BN47">
            <v>437304</v>
          </cell>
          <cell r="BO47">
            <v>25657</v>
          </cell>
          <cell r="BP47">
            <v>239675</v>
          </cell>
          <cell r="BQ47">
            <v>76288</v>
          </cell>
          <cell r="BR47">
            <v>17714</v>
          </cell>
          <cell r="BS47">
            <v>25491</v>
          </cell>
          <cell r="BT47">
            <v>83336</v>
          </cell>
          <cell r="BU47">
            <v>150501</v>
          </cell>
          <cell r="BV47">
            <v>78737</v>
          </cell>
        </row>
        <row r="48">
          <cell r="B48">
            <v>28428</v>
          </cell>
          <cell r="C48">
            <v>3626</v>
          </cell>
          <cell r="D48">
            <v>176331</v>
          </cell>
          <cell r="E48">
            <v>60448</v>
          </cell>
          <cell r="F48">
            <v>197591</v>
          </cell>
          <cell r="G48">
            <v>376298</v>
          </cell>
          <cell r="H48">
            <v>292235</v>
          </cell>
          <cell r="I48">
            <v>107389</v>
          </cell>
          <cell r="J48">
            <v>28656</v>
          </cell>
          <cell r="K48">
            <v>4923</v>
          </cell>
          <cell r="L48">
            <v>51293</v>
          </cell>
          <cell r="M48">
            <v>6365</v>
          </cell>
          <cell r="N48">
            <v>57592</v>
          </cell>
          <cell r="O48">
            <v>1540527</v>
          </cell>
          <cell r="P48">
            <v>193033</v>
          </cell>
          <cell r="Q48">
            <v>491100</v>
          </cell>
          <cell r="R48">
            <v>108683</v>
          </cell>
          <cell r="S48">
            <v>9304</v>
          </cell>
          <cell r="T48">
            <v>133124</v>
          </cell>
          <cell r="U48">
            <v>105361</v>
          </cell>
          <cell r="V48">
            <v>13154</v>
          </cell>
          <cell r="W48">
            <v>154498</v>
          </cell>
          <cell r="X48">
            <v>43983</v>
          </cell>
          <cell r="Y48">
            <v>298913</v>
          </cell>
          <cell r="Z48">
            <v>102682</v>
          </cell>
          <cell r="AA48">
            <v>111279</v>
          </cell>
          <cell r="AB48">
            <v>17541</v>
          </cell>
          <cell r="AC48">
            <v>1093152</v>
          </cell>
          <cell r="AD48">
            <v>4029</v>
          </cell>
          <cell r="AE48">
            <v>26</v>
          </cell>
          <cell r="AF48">
            <v>831796</v>
          </cell>
          <cell r="AG48">
            <v>6036000</v>
          </cell>
          <cell r="AH48">
            <v>1430303</v>
          </cell>
          <cell r="AI48">
            <v>53226</v>
          </cell>
          <cell r="AJ48">
            <v>18360</v>
          </cell>
          <cell r="AK48">
            <v>131466</v>
          </cell>
          <cell r="AL48">
            <v>379777</v>
          </cell>
          <cell r="AM48">
            <v>45202</v>
          </cell>
          <cell r="AN48">
            <v>35432</v>
          </cell>
          <cell r="AO48">
            <v>713073</v>
          </cell>
          <cell r="AP48">
            <v>36227</v>
          </cell>
          <cell r="AQ48">
            <v>173828</v>
          </cell>
          <cell r="AR48">
            <v>152711</v>
          </cell>
          <cell r="AS48">
            <v>268583</v>
          </cell>
          <cell r="AT48">
            <v>44925</v>
          </cell>
          <cell r="AU48">
            <v>77138</v>
          </cell>
          <cell r="AV48">
            <v>91507</v>
          </cell>
          <cell r="AW48">
            <v>20765</v>
          </cell>
          <cell r="AX48">
            <v>365537</v>
          </cell>
          <cell r="AY48">
            <v>47081</v>
          </cell>
          <cell r="AZ48">
            <v>58786</v>
          </cell>
          <cell r="BA48">
            <v>227923</v>
          </cell>
          <cell r="BB48">
            <v>39572</v>
          </cell>
          <cell r="BC48">
            <v>13516</v>
          </cell>
          <cell r="BD48">
            <v>158060</v>
          </cell>
          <cell r="BE48">
            <v>1971765</v>
          </cell>
          <cell r="BF48">
            <v>105070</v>
          </cell>
          <cell r="BG48">
            <v>16800</v>
          </cell>
          <cell r="BH48">
            <v>36992</v>
          </cell>
          <cell r="BI48">
            <v>14659</v>
          </cell>
          <cell r="BJ48">
            <v>60526</v>
          </cell>
          <cell r="BK48">
            <v>162647</v>
          </cell>
          <cell r="BL48">
            <v>39113</v>
          </cell>
          <cell r="BM48">
            <v>4914898</v>
          </cell>
          <cell r="BN48">
            <v>516710</v>
          </cell>
          <cell r="BO48">
            <v>28783</v>
          </cell>
          <cell r="BP48">
            <v>295130</v>
          </cell>
          <cell r="BQ48">
            <v>93583</v>
          </cell>
          <cell r="BR48">
            <v>16920</v>
          </cell>
          <cell r="BS48">
            <v>27606</v>
          </cell>
          <cell r="BT48">
            <v>73231</v>
          </cell>
          <cell r="BU48">
            <v>198176</v>
          </cell>
          <cell r="BV48">
            <v>87431</v>
          </cell>
        </row>
        <row r="49">
          <cell r="B49">
            <v>28236</v>
          </cell>
          <cell r="C49">
            <v>3626</v>
          </cell>
          <cell r="D49">
            <v>164439</v>
          </cell>
          <cell r="E49">
            <v>59498</v>
          </cell>
          <cell r="F49">
            <v>191251</v>
          </cell>
          <cell r="G49">
            <v>0</v>
          </cell>
          <cell r="H49">
            <v>292235</v>
          </cell>
          <cell r="I49">
            <v>105955</v>
          </cell>
          <cell r="J49">
            <v>28929</v>
          </cell>
          <cell r="K49">
            <v>4923</v>
          </cell>
          <cell r="L49">
            <v>50942</v>
          </cell>
          <cell r="M49">
            <v>6365</v>
          </cell>
          <cell r="N49">
            <v>0</v>
          </cell>
          <cell r="O49">
            <v>1534871</v>
          </cell>
          <cell r="P49">
            <v>197482</v>
          </cell>
          <cell r="Q49">
            <v>492859</v>
          </cell>
          <cell r="R49">
            <v>88129</v>
          </cell>
          <cell r="S49">
            <v>0</v>
          </cell>
          <cell r="T49">
            <v>105156</v>
          </cell>
          <cell r="U49">
            <v>106359</v>
          </cell>
          <cell r="V49">
            <v>13101</v>
          </cell>
          <cell r="W49">
            <v>149526</v>
          </cell>
          <cell r="X49">
            <v>43917</v>
          </cell>
          <cell r="Y49">
            <v>303240</v>
          </cell>
          <cell r="Z49">
            <v>80884</v>
          </cell>
          <cell r="AA49">
            <v>112085</v>
          </cell>
          <cell r="AB49">
            <v>17541</v>
          </cell>
          <cell r="AC49">
            <v>1104450</v>
          </cell>
          <cell r="AD49">
            <v>4029</v>
          </cell>
          <cell r="AE49">
            <v>26</v>
          </cell>
          <cell r="AF49">
            <v>835951</v>
          </cell>
          <cell r="AG49">
            <v>3137000</v>
          </cell>
          <cell r="AH49">
            <v>1409332</v>
          </cell>
          <cell r="AI49">
            <v>52444</v>
          </cell>
          <cell r="AJ49">
            <v>18677</v>
          </cell>
          <cell r="AK49">
            <v>131466</v>
          </cell>
          <cell r="AL49">
            <v>375697</v>
          </cell>
          <cell r="AM49">
            <v>0</v>
          </cell>
          <cell r="AN49">
            <v>34276</v>
          </cell>
          <cell r="AO49">
            <v>733719</v>
          </cell>
          <cell r="AP49">
            <v>35822</v>
          </cell>
          <cell r="AQ49">
            <v>0</v>
          </cell>
          <cell r="AR49">
            <v>152286</v>
          </cell>
          <cell r="AS49">
            <v>265841</v>
          </cell>
          <cell r="AT49">
            <v>49058</v>
          </cell>
          <cell r="AU49">
            <v>0</v>
          </cell>
          <cell r="AV49">
            <v>0</v>
          </cell>
          <cell r="AW49">
            <v>0</v>
          </cell>
          <cell r="AX49">
            <v>365433</v>
          </cell>
          <cell r="AY49">
            <v>0</v>
          </cell>
          <cell r="AZ49">
            <v>58318</v>
          </cell>
          <cell r="BA49">
            <v>230304</v>
          </cell>
          <cell r="BB49">
            <v>29294</v>
          </cell>
          <cell r="BC49">
            <v>13516</v>
          </cell>
          <cell r="BD49">
            <v>156810</v>
          </cell>
          <cell r="BE49">
            <v>1967220</v>
          </cell>
          <cell r="BF49">
            <v>99919</v>
          </cell>
          <cell r="BG49">
            <v>16800</v>
          </cell>
          <cell r="BH49">
            <v>36958</v>
          </cell>
          <cell r="BI49">
            <v>14659</v>
          </cell>
          <cell r="BJ49">
            <v>59995</v>
          </cell>
          <cell r="BK49">
            <v>148328</v>
          </cell>
          <cell r="BL49">
            <v>39030</v>
          </cell>
          <cell r="BM49">
            <v>4906710</v>
          </cell>
          <cell r="BN49">
            <v>515316</v>
          </cell>
          <cell r="BO49">
            <v>28783</v>
          </cell>
          <cell r="BP49">
            <v>292501</v>
          </cell>
          <cell r="BQ49">
            <v>93583</v>
          </cell>
          <cell r="BR49">
            <v>16920</v>
          </cell>
          <cell r="BS49">
            <v>27606</v>
          </cell>
          <cell r="BT49">
            <v>72566</v>
          </cell>
          <cell r="BU49">
            <v>198605</v>
          </cell>
          <cell r="BV49">
            <v>87131</v>
          </cell>
        </row>
        <row r="50">
          <cell r="B50">
            <v>32987</v>
          </cell>
          <cell r="C50">
            <v>3902</v>
          </cell>
          <cell r="D50">
            <v>105009</v>
          </cell>
          <cell r="E50">
            <v>45223</v>
          </cell>
          <cell r="F50">
            <v>157636</v>
          </cell>
          <cell r="G50">
            <v>286495</v>
          </cell>
          <cell r="H50">
            <v>249011</v>
          </cell>
          <cell r="I50">
            <v>86915</v>
          </cell>
          <cell r="J50">
            <v>25415</v>
          </cell>
          <cell r="K50">
            <v>4603</v>
          </cell>
          <cell r="L50">
            <v>52895</v>
          </cell>
          <cell r="M50">
            <v>5668</v>
          </cell>
          <cell r="N50">
            <v>43150</v>
          </cell>
          <cell r="O50">
            <v>1225007</v>
          </cell>
          <cell r="P50">
            <v>148337</v>
          </cell>
          <cell r="Q50">
            <v>397325</v>
          </cell>
          <cell r="R50">
            <v>96092</v>
          </cell>
          <cell r="S50">
            <v>10273</v>
          </cell>
          <cell r="T50">
            <v>96572</v>
          </cell>
          <cell r="U50">
            <v>94253</v>
          </cell>
          <cell r="V50">
            <v>13154</v>
          </cell>
          <cell r="W50">
            <v>152280</v>
          </cell>
          <cell r="X50">
            <v>32860</v>
          </cell>
          <cell r="Y50">
            <v>264985</v>
          </cell>
          <cell r="Z50">
            <v>83846</v>
          </cell>
          <cell r="AA50">
            <v>89485</v>
          </cell>
          <cell r="AB50">
            <v>14298</v>
          </cell>
          <cell r="AC50">
            <v>866362</v>
          </cell>
          <cell r="AD50">
            <v>4201</v>
          </cell>
          <cell r="AE50">
            <v>25</v>
          </cell>
          <cell r="AF50">
            <v>654934</v>
          </cell>
          <cell r="AG50">
            <v>5481000</v>
          </cell>
          <cell r="AH50">
            <v>1179886</v>
          </cell>
          <cell r="AI50">
            <v>48196</v>
          </cell>
          <cell r="AJ50">
            <v>17513</v>
          </cell>
          <cell r="AK50">
            <v>113682</v>
          </cell>
          <cell r="AL50">
            <v>310552</v>
          </cell>
          <cell r="AM50">
            <v>44652</v>
          </cell>
          <cell r="AN50">
            <v>35156</v>
          </cell>
          <cell r="AO50">
            <v>541794</v>
          </cell>
          <cell r="AP50">
            <v>32032</v>
          </cell>
          <cell r="AQ50">
            <v>134098</v>
          </cell>
          <cell r="AR50">
            <v>119185</v>
          </cell>
          <cell r="AS50">
            <v>204345</v>
          </cell>
          <cell r="AT50">
            <v>31549</v>
          </cell>
          <cell r="AU50">
            <v>56261</v>
          </cell>
          <cell r="AV50">
            <v>87524</v>
          </cell>
          <cell r="AW50">
            <v>21329</v>
          </cell>
          <cell r="AX50">
            <v>277594</v>
          </cell>
          <cell r="AY50">
            <v>40856</v>
          </cell>
          <cell r="AZ50">
            <v>52028</v>
          </cell>
          <cell r="BA50">
            <v>128581</v>
          </cell>
          <cell r="BB50">
            <v>43756</v>
          </cell>
          <cell r="BC50">
            <v>13775</v>
          </cell>
          <cell r="BD50">
            <v>135317</v>
          </cell>
          <cell r="BE50">
            <v>1480625</v>
          </cell>
          <cell r="BF50">
            <v>112035</v>
          </cell>
          <cell r="BG50">
            <v>14998</v>
          </cell>
          <cell r="BH50">
            <v>24971</v>
          </cell>
          <cell r="BI50">
            <v>14192</v>
          </cell>
          <cell r="BJ50">
            <v>48301</v>
          </cell>
          <cell r="BK50">
            <v>133626</v>
          </cell>
          <cell r="BL50">
            <v>32120</v>
          </cell>
          <cell r="BM50">
            <v>4134646</v>
          </cell>
          <cell r="BN50">
            <v>423540</v>
          </cell>
          <cell r="BO50">
            <v>23333</v>
          </cell>
          <cell r="BP50">
            <v>243029</v>
          </cell>
          <cell r="BQ50">
            <v>74718</v>
          </cell>
          <cell r="BR50">
            <v>16027</v>
          </cell>
          <cell r="BS50">
            <v>24957</v>
          </cell>
          <cell r="BT50">
            <v>72778</v>
          </cell>
          <cell r="BU50">
            <v>151986</v>
          </cell>
          <cell r="BV50">
            <v>69769</v>
          </cell>
        </row>
        <row r="51">
          <cell r="B51">
            <v>32878</v>
          </cell>
          <cell r="C51">
            <v>3902</v>
          </cell>
          <cell r="D51">
            <v>88893</v>
          </cell>
          <cell r="E51">
            <v>45160</v>
          </cell>
          <cell r="F51">
            <v>153752</v>
          </cell>
          <cell r="G51">
            <v>0</v>
          </cell>
          <cell r="H51">
            <v>249011</v>
          </cell>
          <cell r="I51">
            <v>84697</v>
          </cell>
          <cell r="J51">
            <v>25630</v>
          </cell>
          <cell r="K51">
            <v>4603</v>
          </cell>
          <cell r="L51">
            <v>52544</v>
          </cell>
          <cell r="M51">
            <v>5668</v>
          </cell>
          <cell r="N51">
            <v>0</v>
          </cell>
          <cell r="O51">
            <v>1220757</v>
          </cell>
          <cell r="P51">
            <v>152459</v>
          </cell>
          <cell r="Q51">
            <v>398995</v>
          </cell>
          <cell r="R51">
            <v>76218</v>
          </cell>
          <cell r="S51">
            <v>0</v>
          </cell>
          <cell r="T51">
            <v>78397</v>
          </cell>
          <cell r="U51">
            <v>95250</v>
          </cell>
          <cell r="V51">
            <v>13119</v>
          </cell>
          <cell r="W51">
            <v>150535</v>
          </cell>
          <cell r="X51">
            <v>32827</v>
          </cell>
          <cell r="Y51">
            <v>266953</v>
          </cell>
          <cell r="Z51">
            <v>68012</v>
          </cell>
          <cell r="AA51">
            <v>89754</v>
          </cell>
          <cell r="AB51">
            <v>14298</v>
          </cell>
          <cell r="AC51">
            <v>876467</v>
          </cell>
          <cell r="AD51">
            <v>4201</v>
          </cell>
          <cell r="AE51">
            <v>25</v>
          </cell>
          <cell r="AF51">
            <v>659280</v>
          </cell>
          <cell r="AG51">
            <v>2888000</v>
          </cell>
          <cell r="AH51">
            <v>1163482</v>
          </cell>
          <cell r="AI51">
            <v>47425</v>
          </cell>
          <cell r="AJ51">
            <v>17678</v>
          </cell>
          <cell r="AK51">
            <v>113682</v>
          </cell>
          <cell r="AL51">
            <v>306175</v>
          </cell>
          <cell r="AM51">
            <v>0</v>
          </cell>
          <cell r="AN51">
            <v>31076</v>
          </cell>
          <cell r="AO51">
            <v>548265</v>
          </cell>
          <cell r="AP51">
            <v>31927</v>
          </cell>
          <cell r="AQ51">
            <v>0</v>
          </cell>
          <cell r="AR51">
            <v>119000</v>
          </cell>
          <cell r="AS51">
            <v>202617</v>
          </cell>
          <cell r="AT51">
            <v>34073</v>
          </cell>
          <cell r="AU51">
            <v>0</v>
          </cell>
          <cell r="AV51">
            <v>0</v>
          </cell>
          <cell r="AW51">
            <v>0</v>
          </cell>
          <cell r="AX51">
            <v>277546</v>
          </cell>
          <cell r="AY51">
            <v>0</v>
          </cell>
          <cell r="AZ51">
            <v>51837</v>
          </cell>
          <cell r="BA51">
            <v>128581</v>
          </cell>
          <cell r="BB51">
            <v>26575</v>
          </cell>
          <cell r="BC51">
            <v>13775</v>
          </cell>
          <cell r="BD51">
            <v>128480</v>
          </cell>
          <cell r="BE51">
            <v>1477171</v>
          </cell>
          <cell r="BF51">
            <v>110360</v>
          </cell>
          <cell r="BG51">
            <v>14136</v>
          </cell>
          <cell r="BH51">
            <v>24939</v>
          </cell>
          <cell r="BI51">
            <v>14192</v>
          </cell>
          <cell r="BJ51">
            <v>48301</v>
          </cell>
          <cell r="BK51">
            <v>128283</v>
          </cell>
          <cell r="BL51">
            <v>32060</v>
          </cell>
          <cell r="BM51">
            <v>4128352</v>
          </cell>
          <cell r="BN51">
            <v>422075</v>
          </cell>
          <cell r="BO51">
            <v>23333</v>
          </cell>
          <cell r="BP51">
            <v>241632</v>
          </cell>
          <cell r="BQ51">
            <v>74718</v>
          </cell>
          <cell r="BR51">
            <v>16027</v>
          </cell>
          <cell r="BS51">
            <v>24957</v>
          </cell>
          <cell r="BT51">
            <v>72112</v>
          </cell>
          <cell r="BU51">
            <v>152200</v>
          </cell>
          <cell r="BV51">
            <v>69469</v>
          </cell>
        </row>
        <row r="52">
          <cell r="B52">
            <v>53</v>
          </cell>
          <cell r="C52">
            <v>72</v>
          </cell>
          <cell r="D52">
            <v>59</v>
          </cell>
          <cell r="E52">
            <v>0</v>
          </cell>
          <cell r="F52">
            <v>69</v>
          </cell>
          <cell r="G52">
            <v>68</v>
          </cell>
          <cell r="H52">
            <v>71</v>
          </cell>
          <cell r="I52">
            <v>54</v>
          </cell>
          <cell r="J52">
            <v>69</v>
          </cell>
          <cell r="K52">
            <v>73</v>
          </cell>
          <cell r="L52">
            <v>48421</v>
          </cell>
          <cell r="M52">
            <v>62</v>
          </cell>
          <cell r="N52">
            <v>0</v>
          </cell>
          <cell r="O52">
            <v>73</v>
          </cell>
          <cell r="P52">
            <v>74</v>
          </cell>
          <cell r="Q52">
            <v>59</v>
          </cell>
          <cell r="R52">
            <v>44</v>
          </cell>
          <cell r="S52">
            <v>71</v>
          </cell>
          <cell r="T52">
            <v>63</v>
          </cell>
          <cell r="U52">
            <v>89</v>
          </cell>
          <cell r="V52">
            <v>71</v>
          </cell>
          <cell r="W52">
            <v>73</v>
          </cell>
          <cell r="X52">
            <v>66</v>
          </cell>
          <cell r="Y52">
            <v>76</v>
          </cell>
          <cell r="Z52">
            <v>65</v>
          </cell>
          <cell r="AA52">
            <v>66</v>
          </cell>
          <cell r="AB52">
            <v>67</v>
          </cell>
          <cell r="AC52">
            <v>71</v>
          </cell>
          <cell r="AD52">
            <v>68</v>
          </cell>
          <cell r="AE52">
            <v>78</v>
          </cell>
          <cell r="AF52">
            <v>71</v>
          </cell>
          <cell r="AG52">
            <v>82</v>
          </cell>
          <cell r="AH52">
            <v>73</v>
          </cell>
          <cell r="AI52">
            <v>50</v>
          </cell>
          <cell r="AJ52">
            <v>68</v>
          </cell>
          <cell r="AK52">
            <v>85</v>
          </cell>
          <cell r="AL52">
            <v>69</v>
          </cell>
          <cell r="AM52">
            <v>40396</v>
          </cell>
          <cell r="AN52">
            <v>72</v>
          </cell>
          <cell r="AO52">
            <v>71</v>
          </cell>
          <cell r="AP52">
            <v>70</v>
          </cell>
          <cell r="AQ52">
            <v>53</v>
          </cell>
          <cell r="AR52">
            <v>66</v>
          </cell>
          <cell r="AS52">
            <v>0</v>
          </cell>
          <cell r="AT52">
            <v>70</v>
          </cell>
          <cell r="AU52">
            <v>73</v>
          </cell>
          <cell r="AV52">
            <v>73</v>
          </cell>
          <cell r="AW52">
            <v>70</v>
          </cell>
          <cell r="AX52">
            <v>67</v>
          </cell>
          <cell r="AY52">
            <v>69</v>
          </cell>
          <cell r="AZ52">
            <v>68</v>
          </cell>
          <cell r="BA52">
            <v>56</v>
          </cell>
          <cell r="BB52">
            <v>54</v>
          </cell>
          <cell r="BC52">
            <v>68</v>
          </cell>
          <cell r="BD52">
            <v>70</v>
          </cell>
          <cell r="BE52">
            <v>68</v>
          </cell>
          <cell r="BF52">
            <v>73</v>
          </cell>
          <cell r="BG52">
            <v>69</v>
          </cell>
          <cell r="BH52">
            <v>0</v>
          </cell>
          <cell r="BI52">
            <v>8</v>
          </cell>
          <cell r="BJ52">
            <v>54</v>
          </cell>
          <cell r="BK52">
            <v>86</v>
          </cell>
          <cell r="BL52">
            <v>70</v>
          </cell>
          <cell r="BM52">
            <v>73</v>
          </cell>
          <cell r="BN52">
            <v>71</v>
          </cell>
          <cell r="BO52">
            <v>66</v>
          </cell>
          <cell r="BP52">
            <v>71</v>
          </cell>
          <cell r="BQ52">
            <v>63</v>
          </cell>
          <cell r="BR52">
            <v>78</v>
          </cell>
          <cell r="BS52">
            <v>63</v>
          </cell>
          <cell r="BT52">
            <v>71</v>
          </cell>
          <cell r="BU52">
            <v>68</v>
          </cell>
          <cell r="BV52">
            <v>65</v>
          </cell>
        </row>
        <row r="53">
          <cell r="B53">
            <v>53</v>
          </cell>
          <cell r="C53">
            <v>72</v>
          </cell>
          <cell r="D53">
            <v>54</v>
          </cell>
          <cell r="E53">
            <v>0</v>
          </cell>
          <cell r="F53">
            <v>69</v>
          </cell>
          <cell r="G53">
            <v>0</v>
          </cell>
          <cell r="H53">
            <v>71</v>
          </cell>
          <cell r="I53">
            <v>54</v>
          </cell>
          <cell r="J53">
            <v>0</v>
          </cell>
          <cell r="K53">
            <v>73</v>
          </cell>
          <cell r="L53">
            <v>48070</v>
          </cell>
          <cell r="M53">
            <v>62</v>
          </cell>
          <cell r="N53">
            <v>0</v>
          </cell>
          <cell r="O53">
            <v>73</v>
          </cell>
          <cell r="P53">
            <v>72</v>
          </cell>
          <cell r="Q53">
            <v>59</v>
          </cell>
          <cell r="R53">
            <v>70</v>
          </cell>
          <cell r="S53">
            <v>0</v>
          </cell>
          <cell r="T53">
            <v>0</v>
          </cell>
          <cell r="U53">
            <v>90</v>
          </cell>
          <cell r="V53">
            <v>71</v>
          </cell>
          <cell r="W53">
            <v>73</v>
          </cell>
          <cell r="X53">
            <v>66</v>
          </cell>
          <cell r="Y53">
            <v>76</v>
          </cell>
          <cell r="Z53">
            <v>69</v>
          </cell>
          <cell r="AA53">
            <v>0</v>
          </cell>
          <cell r="AB53">
            <v>67</v>
          </cell>
          <cell r="AC53">
            <v>70</v>
          </cell>
          <cell r="AD53">
            <v>68</v>
          </cell>
          <cell r="AE53">
            <v>78</v>
          </cell>
          <cell r="AF53">
            <v>71</v>
          </cell>
          <cell r="AG53">
            <v>79</v>
          </cell>
          <cell r="AH53">
            <v>74</v>
          </cell>
          <cell r="AI53">
            <v>50</v>
          </cell>
          <cell r="AJ53">
            <v>69</v>
          </cell>
          <cell r="AK53">
            <v>85</v>
          </cell>
          <cell r="AL53">
            <v>69</v>
          </cell>
          <cell r="AM53">
            <v>0</v>
          </cell>
          <cell r="AN53">
            <v>62</v>
          </cell>
          <cell r="AO53">
            <v>71</v>
          </cell>
          <cell r="AP53">
            <v>69</v>
          </cell>
          <cell r="AQ53">
            <v>0</v>
          </cell>
          <cell r="AR53">
            <v>66</v>
          </cell>
          <cell r="AS53">
            <v>0</v>
          </cell>
          <cell r="AT53">
            <v>69</v>
          </cell>
          <cell r="AU53">
            <v>0</v>
          </cell>
          <cell r="AV53">
            <v>0</v>
          </cell>
          <cell r="AW53">
            <v>0</v>
          </cell>
          <cell r="AX53">
            <v>67</v>
          </cell>
          <cell r="AY53">
            <v>0</v>
          </cell>
          <cell r="AZ53">
            <v>68</v>
          </cell>
          <cell r="BA53">
            <v>56</v>
          </cell>
          <cell r="BB53">
            <v>80</v>
          </cell>
          <cell r="BC53">
            <v>68</v>
          </cell>
          <cell r="BD53">
            <v>68</v>
          </cell>
          <cell r="BE53">
            <v>68</v>
          </cell>
          <cell r="BF53">
            <v>68</v>
          </cell>
          <cell r="BG53">
            <v>66</v>
          </cell>
          <cell r="BH53">
            <v>0</v>
          </cell>
          <cell r="BI53">
            <v>8</v>
          </cell>
          <cell r="BJ53">
            <v>54</v>
          </cell>
          <cell r="BK53">
            <v>85</v>
          </cell>
          <cell r="BL53">
            <v>71</v>
          </cell>
          <cell r="BM53">
            <v>73</v>
          </cell>
          <cell r="BN53">
            <v>71</v>
          </cell>
          <cell r="BO53">
            <v>66</v>
          </cell>
          <cell r="BP53">
            <v>71</v>
          </cell>
          <cell r="BQ53">
            <v>63</v>
          </cell>
          <cell r="BR53">
            <v>78</v>
          </cell>
          <cell r="BS53">
            <v>63</v>
          </cell>
          <cell r="BT53">
            <v>71</v>
          </cell>
          <cell r="BU53">
            <v>68</v>
          </cell>
          <cell r="BV53">
            <v>65</v>
          </cell>
        </row>
        <row r="54">
          <cell r="B54">
            <v>1848</v>
          </cell>
          <cell r="C54">
            <v>92</v>
          </cell>
          <cell r="D54">
            <v>801</v>
          </cell>
          <cell r="E54">
            <v>517</v>
          </cell>
          <cell r="F54">
            <v>496</v>
          </cell>
          <cell r="G54">
            <v>1518</v>
          </cell>
          <cell r="H54">
            <v>1135</v>
          </cell>
          <cell r="I54">
            <v>1023</v>
          </cell>
          <cell r="J54">
            <v>151</v>
          </cell>
          <cell r="K54">
            <v>27</v>
          </cell>
          <cell r="L54">
            <v>341</v>
          </cell>
          <cell r="M54">
            <v>28</v>
          </cell>
          <cell r="N54">
            <v>155</v>
          </cell>
          <cell r="O54">
            <v>5174</v>
          </cell>
          <cell r="P54">
            <v>957</v>
          </cell>
          <cell r="Q54">
            <v>1157</v>
          </cell>
          <cell r="R54">
            <v>337</v>
          </cell>
          <cell r="S54">
            <v>138</v>
          </cell>
          <cell r="T54">
            <v>467</v>
          </cell>
          <cell r="U54">
            <v>256</v>
          </cell>
          <cell r="V54">
            <v>76</v>
          </cell>
          <cell r="W54">
            <v>980</v>
          </cell>
          <cell r="X54">
            <v>240</v>
          </cell>
          <cell r="Y54">
            <v>1099</v>
          </cell>
          <cell r="Z54">
            <v>1740</v>
          </cell>
          <cell r="AA54">
            <v>1527</v>
          </cell>
          <cell r="AB54">
            <v>68</v>
          </cell>
          <cell r="AC54">
            <v>3401</v>
          </cell>
          <cell r="AD54">
            <v>21</v>
          </cell>
          <cell r="AE54">
            <v>68</v>
          </cell>
          <cell r="AF54">
            <v>3103</v>
          </cell>
          <cell r="AG54">
            <v>119516</v>
          </cell>
          <cell r="AH54">
            <v>5484</v>
          </cell>
          <cell r="AI54">
            <v>793</v>
          </cell>
          <cell r="AJ54">
            <v>98</v>
          </cell>
          <cell r="AK54">
            <v>362</v>
          </cell>
          <cell r="AL54">
            <v>1901</v>
          </cell>
          <cell r="AM54">
            <v>115</v>
          </cell>
          <cell r="AN54">
            <v>299</v>
          </cell>
          <cell r="AO54">
            <v>2881</v>
          </cell>
          <cell r="AP54">
            <v>135</v>
          </cell>
          <cell r="AQ54">
            <v>994</v>
          </cell>
          <cell r="AR54">
            <v>844</v>
          </cell>
          <cell r="AS54">
            <v>1977</v>
          </cell>
          <cell r="AT54">
            <v>326</v>
          </cell>
          <cell r="AU54">
            <v>788</v>
          </cell>
          <cell r="AV54">
            <v>583</v>
          </cell>
          <cell r="AW54">
            <v>370</v>
          </cell>
          <cell r="AX54">
            <v>1793</v>
          </cell>
          <cell r="AY54">
            <v>204</v>
          </cell>
          <cell r="AZ54">
            <v>242</v>
          </cell>
          <cell r="BA54">
            <v>1007</v>
          </cell>
          <cell r="BB54">
            <v>167</v>
          </cell>
          <cell r="BC54">
            <v>129</v>
          </cell>
          <cell r="BD54">
            <v>564</v>
          </cell>
          <cell r="BE54">
            <v>7569</v>
          </cell>
          <cell r="BF54">
            <v>741</v>
          </cell>
          <cell r="BG54">
            <v>60</v>
          </cell>
          <cell r="BH54">
            <v>104</v>
          </cell>
          <cell r="BI54">
            <v>283</v>
          </cell>
          <cell r="BJ54">
            <v>253</v>
          </cell>
          <cell r="BK54">
            <v>1145</v>
          </cell>
          <cell r="BL54">
            <v>154</v>
          </cell>
          <cell r="BM54">
            <v>10160</v>
          </cell>
          <cell r="BN54">
            <v>2589</v>
          </cell>
          <cell r="BO54">
            <v>258</v>
          </cell>
          <cell r="BP54">
            <v>1574</v>
          </cell>
          <cell r="BQ54">
            <v>448</v>
          </cell>
          <cell r="BR54">
            <v>76</v>
          </cell>
          <cell r="BS54">
            <v>61</v>
          </cell>
          <cell r="BT54">
            <v>516</v>
          </cell>
          <cell r="BU54">
            <v>1067</v>
          </cell>
          <cell r="BV54">
            <v>237</v>
          </cell>
        </row>
        <row r="55">
          <cell r="B55">
            <v>1834</v>
          </cell>
          <cell r="C55">
            <v>92</v>
          </cell>
          <cell r="D55">
            <v>586</v>
          </cell>
          <cell r="E55">
            <v>478</v>
          </cell>
          <cell r="F55">
            <v>269</v>
          </cell>
          <cell r="G55">
            <v>857</v>
          </cell>
          <cell r="H55">
            <v>721</v>
          </cell>
          <cell r="I55">
            <v>951</v>
          </cell>
          <cell r="J55">
            <v>79</v>
          </cell>
          <cell r="K55">
            <v>26</v>
          </cell>
          <cell r="L55">
            <v>207</v>
          </cell>
          <cell r="M55">
            <v>16</v>
          </cell>
          <cell r="N55">
            <v>89</v>
          </cell>
          <cell r="O55">
            <v>1798</v>
          </cell>
          <cell r="P55">
            <v>683</v>
          </cell>
          <cell r="Q55">
            <v>688</v>
          </cell>
          <cell r="R55">
            <v>245</v>
          </cell>
          <cell r="S55">
            <v>127</v>
          </cell>
          <cell r="T55">
            <v>195</v>
          </cell>
          <cell r="U55">
            <v>162</v>
          </cell>
          <cell r="V55">
            <v>66</v>
          </cell>
          <cell r="W55">
            <v>749</v>
          </cell>
          <cell r="X55">
            <v>167</v>
          </cell>
          <cell r="Y55">
            <v>427</v>
          </cell>
          <cell r="Z55">
            <v>1647</v>
          </cell>
          <cell r="AA55">
            <v>891</v>
          </cell>
          <cell r="AB55">
            <v>57</v>
          </cell>
          <cell r="AC55">
            <v>1502</v>
          </cell>
          <cell r="AD55">
            <v>18</v>
          </cell>
          <cell r="AE55">
            <v>57</v>
          </cell>
          <cell r="AF55">
            <v>778</v>
          </cell>
          <cell r="AG55">
            <v>110967</v>
          </cell>
          <cell r="AH55">
            <v>2703</v>
          </cell>
          <cell r="AI55">
            <v>630</v>
          </cell>
          <cell r="AJ55">
            <v>88</v>
          </cell>
          <cell r="AK55">
            <v>233</v>
          </cell>
          <cell r="AL55">
            <v>1029</v>
          </cell>
          <cell r="AM55">
            <v>95</v>
          </cell>
          <cell r="AN55">
            <v>221</v>
          </cell>
          <cell r="AO55">
            <v>1374</v>
          </cell>
          <cell r="AP55">
            <v>83</v>
          </cell>
          <cell r="AQ55">
            <v>582</v>
          </cell>
          <cell r="AR55">
            <v>360</v>
          </cell>
          <cell r="AS55">
            <v>1458</v>
          </cell>
          <cell r="AT55">
            <v>235</v>
          </cell>
          <cell r="AU55">
            <v>662</v>
          </cell>
          <cell r="AV55">
            <v>510</v>
          </cell>
          <cell r="AW55">
            <v>367</v>
          </cell>
          <cell r="AX55">
            <v>480</v>
          </cell>
          <cell r="AY55">
            <v>80</v>
          </cell>
          <cell r="AZ55">
            <v>177</v>
          </cell>
          <cell r="BA55">
            <v>578</v>
          </cell>
          <cell r="BB55">
            <v>143</v>
          </cell>
          <cell r="BC55">
            <v>118</v>
          </cell>
          <cell r="BD55">
            <v>387</v>
          </cell>
          <cell r="BE55">
            <v>2535</v>
          </cell>
          <cell r="BF55">
            <v>620</v>
          </cell>
          <cell r="BG55">
            <v>56</v>
          </cell>
          <cell r="BH55">
            <v>93</v>
          </cell>
          <cell r="BI55">
            <v>277</v>
          </cell>
          <cell r="BJ55">
            <v>149</v>
          </cell>
          <cell r="BK55">
            <v>906</v>
          </cell>
          <cell r="BL55">
            <v>75</v>
          </cell>
          <cell r="BM55">
            <v>4141</v>
          </cell>
          <cell r="BN55">
            <v>1475</v>
          </cell>
          <cell r="BO55">
            <v>140</v>
          </cell>
          <cell r="BP55">
            <v>1071</v>
          </cell>
          <cell r="BQ55">
            <v>331</v>
          </cell>
          <cell r="BR55">
            <v>66</v>
          </cell>
          <cell r="BS55">
            <v>47</v>
          </cell>
          <cell r="BT55">
            <v>372</v>
          </cell>
          <cell r="BU55">
            <v>499</v>
          </cell>
          <cell r="BV55">
            <v>137</v>
          </cell>
        </row>
        <row r="56">
          <cell r="B56">
            <v>14</v>
          </cell>
          <cell r="C56">
            <v>0</v>
          </cell>
          <cell r="D56">
            <v>215</v>
          </cell>
          <cell r="E56">
            <v>39</v>
          </cell>
          <cell r="F56">
            <v>227</v>
          </cell>
          <cell r="G56">
            <v>661</v>
          </cell>
          <cell r="H56">
            <v>414</v>
          </cell>
          <cell r="I56">
            <v>72</v>
          </cell>
          <cell r="J56">
            <v>72</v>
          </cell>
          <cell r="K56">
            <v>1</v>
          </cell>
          <cell r="L56">
            <v>134</v>
          </cell>
          <cell r="M56">
            <v>12</v>
          </cell>
          <cell r="N56">
            <v>66</v>
          </cell>
          <cell r="O56">
            <v>3376</v>
          </cell>
          <cell r="P56">
            <v>274</v>
          </cell>
          <cell r="Q56">
            <v>469</v>
          </cell>
          <cell r="R56">
            <v>92</v>
          </cell>
          <cell r="S56">
            <v>11</v>
          </cell>
          <cell r="T56">
            <v>272</v>
          </cell>
          <cell r="U56">
            <v>94</v>
          </cell>
          <cell r="V56">
            <v>10</v>
          </cell>
          <cell r="W56">
            <v>231</v>
          </cell>
          <cell r="X56">
            <v>73</v>
          </cell>
          <cell r="Y56">
            <v>672</v>
          </cell>
          <cell r="Z56">
            <v>93</v>
          </cell>
          <cell r="AA56">
            <v>636</v>
          </cell>
          <cell r="AB56">
            <v>11</v>
          </cell>
          <cell r="AC56">
            <v>1899</v>
          </cell>
          <cell r="AD56">
            <v>3</v>
          </cell>
          <cell r="AE56">
            <v>11</v>
          </cell>
          <cell r="AF56">
            <v>2325</v>
          </cell>
          <cell r="AG56">
            <v>8549</v>
          </cell>
          <cell r="AH56">
            <v>2781</v>
          </cell>
          <cell r="AI56">
            <v>163</v>
          </cell>
          <cell r="AJ56">
            <v>10</v>
          </cell>
          <cell r="AK56">
            <v>129</v>
          </cell>
          <cell r="AL56">
            <v>872</v>
          </cell>
          <cell r="AM56">
            <v>20</v>
          </cell>
          <cell r="AN56">
            <v>78</v>
          </cell>
          <cell r="AO56">
            <v>1507</v>
          </cell>
          <cell r="AP56">
            <v>52</v>
          </cell>
          <cell r="AQ56">
            <v>412</v>
          </cell>
          <cell r="AR56">
            <v>484</v>
          </cell>
          <cell r="AS56">
            <v>519</v>
          </cell>
          <cell r="AT56">
            <v>91</v>
          </cell>
          <cell r="AU56">
            <v>126</v>
          </cell>
          <cell r="AV56">
            <v>73</v>
          </cell>
          <cell r="AW56">
            <v>3</v>
          </cell>
          <cell r="AX56">
            <v>1313</v>
          </cell>
          <cell r="AY56">
            <v>124</v>
          </cell>
          <cell r="AZ56">
            <v>65</v>
          </cell>
          <cell r="BA56">
            <v>429</v>
          </cell>
          <cell r="BB56">
            <v>24</v>
          </cell>
          <cell r="BC56">
            <v>11</v>
          </cell>
          <cell r="BD56">
            <v>177</v>
          </cell>
          <cell r="BE56">
            <v>5034</v>
          </cell>
          <cell r="BF56">
            <v>121</v>
          </cell>
          <cell r="BG56">
            <v>4</v>
          </cell>
          <cell r="BH56">
            <v>11</v>
          </cell>
          <cell r="BI56">
            <v>6</v>
          </cell>
          <cell r="BJ56">
            <v>104</v>
          </cell>
          <cell r="BK56">
            <v>239</v>
          </cell>
          <cell r="BL56">
            <v>79</v>
          </cell>
          <cell r="BM56">
            <v>6019</v>
          </cell>
          <cell r="BN56">
            <v>1114</v>
          </cell>
          <cell r="BO56">
            <v>118</v>
          </cell>
          <cell r="BP56">
            <v>503</v>
          </cell>
          <cell r="BQ56">
            <v>117</v>
          </cell>
          <cell r="BR56">
            <v>10</v>
          </cell>
          <cell r="BS56">
            <v>14</v>
          </cell>
          <cell r="BT56">
            <v>144</v>
          </cell>
          <cell r="BU56">
            <v>568</v>
          </cell>
          <cell r="BV56">
            <v>100</v>
          </cell>
        </row>
        <row r="57">
          <cell r="B57">
            <v>436</v>
          </cell>
          <cell r="C57">
            <v>47</v>
          </cell>
          <cell r="D57">
            <v>434</v>
          </cell>
          <cell r="E57">
            <v>374</v>
          </cell>
          <cell r="F57">
            <v>236</v>
          </cell>
          <cell r="G57">
            <v>735</v>
          </cell>
          <cell r="H57">
            <v>447</v>
          </cell>
          <cell r="I57">
            <v>612</v>
          </cell>
          <cell r="J57">
            <v>73</v>
          </cell>
          <cell r="K57">
            <v>16</v>
          </cell>
          <cell r="L57">
            <v>164</v>
          </cell>
          <cell r="M57">
            <v>13</v>
          </cell>
          <cell r="N57">
            <v>74</v>
          </cell>
          <cell r="O57">
            <v>3068</v>
          </cell>
          <cell r="P57">
            <v>592</v>
          </cell>
          <cell r="Q57">
            <v>547</v>
          </cell>
          <cell r="R57">
            <v>176</v>
          </cell>
          <cell r="S57">
            <v>32</v>
          </cell>
          <cell r="T57">
            <v>143</v>
          </cell>
          <cell r="U57">
            <v>127</v>
          </cell>
          <cell r="V57">
            <v>52</v>
          </cell>
          <cell r="W57">
            <v>569</v>
          </cell>
          <cell r="X57">
            <v>100</v>
          </cell>
          <cell r="Y57">
            <v>497</v>
          </cell>
          <cell r="Z57">
            <v>619</v>
          </cell>
          <cell r="AA57">
            <v>419</v>
          </cell>
          <cell r="AB57">
            <v>27</v>
          </cell>
          <cell r="AC57">
            <v>1758</v>
          </cell>
          <cell r="AD57">
            <v>10</v>
          </cell>
          <cell r="AE57">
            <v>43</v>
          </cell>
          <cell r="AF57">
            <v>1328</v>
          </cell>
          <cell r="AG57">
            <v>44756</v>
          </cell>
          <cell r="AH57">
            <v>3023</v>
          </cell>
          <cell r="AI57">
            <v>382</v>
          </cell>
          <cell r="AJ57">
            <v>61</v>
          </cell>
          <cell r="AK57">
            <v>259</v>
          </cell>
          <cell r="AL57">
            <v>807</v>
          </cell>
          <cell r="AM57">
            <v>76</v>
          </cell>
          <cell r="AN57">
            <v>115</v>
          </cell>
          <cell r="AO57">
            <v>1341</v>
          </cell>
          <cell r="AP57">
            <v>87</v>
          </cell>
          <cell r="AQ57">
            <v>482</v>
          </cell>
          <cell r="AR57">
            <v>326</v>
          </cell>
          <cell r="AS57">
            <v>889</v>
          </cell>
          <cell r="AT57">
            <v>168</v>
          </cell>
          <cell r="AU57">
            <v>350</v>
          </cell>
          <cell r="AV57">
            <v>386</v>
          </cell>
          <cell r="AW57">
            <v>200</v>
          </cell>
          <cell r="AX57">
            <v>496</v>
          </cell>
          <cell r="AY57">
            <v>92</v>
          </cell>
          <cell r="AZ57">
            <v>151</v>
          </cell>
          <cell r="BA57">
            <v>426</v>
          </cell>
          <cell r="BB57">
            <v>108</v>
          </cell>
          <cell r="BC57">
            <v>84</v>
          </cell>
          <cell r="BD57">
            <v>351</v>
          </cell>
          <cell r="BE57">
            <v>3522</v>
          </cell>
          <cell r="BF57">
            <v>465</v>
          </cell>
          <cell r="BG57">
            <v>37</v>
          </cell>
          <cell r="BH57">
            <v>45</v>
          </cell>
          <cell r="BI57">
            <v>79</v>
          </cell>
          <cell r="BJ57">
            <v>130</v>
          </cell>
          <cell r="BK57">
            <v>596</v>
          </cell>
          <cell r="BL57">
            <v>84</v>
          </cell>
          <cell r="BM57">
            <v>6149</v>
          </cell>
          <cell r="BN57">
            <v>1191</v>
          </cell>
          <cell r="BO57">
            <v>104</v>
          </cell>
          <cell r="BP57">
            <v>730</v>
          </cell>
          <cell r="BQ57">
            <v>256</v>
          </cell>
          <cell r="BR57">
            <v>47</v>
          </cell>
          <cell r="BS57">
            <v>41</v>
          </cell>
          <cell r="BT57">
            <v>308</v>
          </cell>
          <cell r="BU57">
            <v>483</v>
          </cell>
          <cell r="BV57">
            <v>147</v>
          </cell>
        </row>
        <row r="58">
          <cell r="B58">
            <v>30</v>
          </cell>
          <cell r="C58">
            <v>0</v>
          </cell>
          <cell r="D58">
            <v>6</v>
          </cell>
          <cell r="E58">
            <v>0</v>
          </cell>
          <cell r="F58">
            <v>0</v>
          </cell>
          <cell r="G58">
            <v>0</v>
          </cell>
          <cell r="H58">
            <v>0</v>
          </cell>
          <cell r="I58">
            <v>95</v>
          </cell>
          <cell r="J58">
            <v>0</v>
          </cell>
          <cell r="K58">
            <v>2</v>
          </cell>
          <cell r="L58">
            <v>4</v>
          </cell>
          <cell r="M58">
            <v>1</v>
          </cell>
          <cell r="N58">
            <v>3</v>
          </cell>
          <cell r="O58">
            <v>97</v>
          </cell>
          <cell r="P58">
            <v>0</v>
          </cell>
          <cell r="Q58">
            <v>2</v>
          </cell>
          <cell r="R58">
            <v>0</v>
          </cell>
          <cell r="S58">
            <v>1</v>
          </cell>
          <cell r="T58">
            <v>0</v>
          </cell>
          <cell r="U58">
            <v>6</v>
          </cell>
          <cell r="V58">
            <v>1</v>
          </cell>
          <cell r="W58">
            <v>0</v>
          </cell>
          <cell r="X58">
            <v>1</v>
          </cell>
          <cell r="Y58">
            <v>0</v>
          </cell>
          <cell r="Z58">
            <v>30</v>
          </cell>
          <cell r="AA58">
            <v>0</v>
          </cell>
          <cell r="AB58">
            <v>0</v>
          </cell>
          <cell r="AC58">
            <v>20</v>
          </cell>
          <cell r="AD58">
            <v>2</v>
          </cell>
          <cell r="AE58">
            <v>0</v>
          </cell>
          <cell r="AF58">
            <v>21</v>
          </cell>
          <cell r="AG58">
            <v>2373</v>
          </cell>
          <cell r="AH58">
            <v>167</v>
          </cell>
          <cell r="AI58">
            <v>0</v>
          </cell>
          <cell r="AJ58">
            <v>0</v>
          </cell>
          <cell r="AK58">
            <v>0</v>
          </cell>
          <cell r="AL58">
            <v>0</v>
          </cell>
          <cell r="AM58">
            <v>0</v>
          </cell>
          <cell r="AN58">
            <v>5</v>
          </cell>
          <cell r="AO58">
            <v>0</v>
          </cell>
          <cell r="AP58">
            <v>0</v>
          </cell>
          <cell r="AQ58">
            <v>23</v>
          </cell>
          <cell r="AR58">
            <v>0</v>
          </cell>
          <cell r="AS58">
            <v>3</v>
          </cell>
          <cell r="AT58">
            <v>2</v>
          </cell>
          <cell r="AU58">
            <v>0</v>
          </cell>
          <cell r="AV58">
            <v>4</v>
          </cell>
          <cell r="AW58">
            <v>0</v>
          </cell>
          <cell r="AX58">
            <v>0</v>
          </cell>
          <cell r="AY58">
            <v>0</v>
          </cell>
          <cell r="AZ58">
            <v>4</v>
          </cell>
          <cell r="BA58">
            <v>0</v>
          </cell>
          <cell r="BB58">
            <v>1</v>
          </cell>
          <cell r="BC58">
            <v>0</v>
          </cell>
          <cell r="BD58">
            <v>7</v>
          </cell>
          <cell r="BE58">
            <v>129</v>
          </cell>
          <cell r="BF58">
            <v>10</v>
          </cell>
          <cell r="BG58">
            <v>0</v>
          </cell>
          <cell r="BH58">
            <v>0</v>
          </cell>
          <cell r="BI58">
            <v>0</v>
          </cell>
          <cell r="BJ58">
            <v>7</v>
          </cell>
          <cell r="BK58">
            <v>3</v>
          </cell>
          <cell r="BL58">
            <v>0</v>
          </cell>
          <cell r="BM58">
            <v>52</v>
          </cell>
          <cell r="BN58">
            <v>19</v>
          </cell>
          <cell r="BO58">
            <v>7</v>
          </cell>
          <cell r="BP58">
            <v>0</v>
          </cell>
          <cell r="BQ58">
            <v>0</v>
          </cell>
          <cell r="BR58">
            <v>0</v>
          </cell>
          <cell r="BS58">
            <v>0</v>
          </cell>
          <cell r="BT58">
            <v>1</v>
          </cell>
          <cell r="BU58">
            <v>13</v>
          </cell>
          <cell r="BV58">
            <v>4</v>
          </cell>
        </row>
        <row r="59">
          <cell r="B59">
            <v>1382</v>
          </cell>
          <cell r="C59">
            <v>45</v>
          </cell>
          <cell r="D59">
            <v>361</v>
          </cell>
          <cell r="E59">
            <v>143</v>
          </cell>
          <cell r="F59">
            <v>260</v>
          </cell>
          <cell r="G59">
            <v>783</v>
          </cell>
          <cell r="H59">
            <v>688</v>
          </cell>
          <cell r="I59">
            <v>316</v>
          </cell>
          <cell r="J59">
            <v>78</v>
          </cell>
          <cell r="K59">
            <v>9</v>
          </cell>
          <cell r="L59">
            <v>173</v>
          </cell>
          <cell r="M59">
            <v>14</v>
          </cell>
          <cell r="N59">
            <v>78</v>
          </cell>
          <cell r="O59">
            <v>2009</v>
          </cell>
          <cell r="P59">
            <v>365</v>
          </cell>
          <cell r="Q59">
            <v>608</v>
          </cell>
          <cell r="R59">
            <v>161</v>
          </cell>
          <cell r="S59">
            <v>105</v>
          </cell>
          <cell r="T59">
            <v>324</v>
          </cell>
          <cell r="U59">
            <v>123</v>
          </cell>
          <cell r="V59">
            <v>23</v>
          </cell>
          <cell r="W59">
            <v>411</v>
          </cell>
          <cell r="X59">
            <v>139</v>
          </cell>
          <cell r="Y59">
            <v>602</v>
          </cell>
          <cell r="Z59">
            <v>1091</v>
          </cell>
          <cell r="AA59">
            <v>1108</v>
          </cell>
          <cell r="AB59">
            <v>41</v>
          </cell>
          <cell r="AC59">
            <v>1623</v>
          </cell>
          <cell r="AD59">
            <v>9</v>
          </cell>
          <cell r="AE59">
            <v>25</v>
          </cell>
          <cell r="AF59">
            <v>1754</v>
          </cell>
          <cell r="AG59">
            <v>72387</v>
          </cell>
          <cell r="AH59">
            <v>2294</v>
          </cell>
          <cell r="AI59">
            <v>411</v>
          </cell>
          <cell r="AJ59">
            <v>37</v>
          </cell>
          <cell r="AK59">
            <v>103</v>
          </cell>
          <cell r="AL59">
            <v>1094</v>
          </cell>
          <cell r="AM59">
            <v>39</v>
          </cell>
          <cell r="AN59">
            <v>179</v>
          </cell>
          <cell r="AO59">
            <v>1540</v>
          </cell>
          <cell r="AP59">
            <v>48</v>
          </cell>
          <cell r="AQ59">
            <v>489</v>
          </cell>
          <cell r="AR59">
            <v>518</v>
          </cell>
          <cell r="AS59">
            <v>1085</v>
          </cell>
          <cell r="AT59">
            <v>156</v>
          </cell>
          <cell r="AU59">
            <v>438</v>
          </cell>
          <cell r="AV59">
            <v>193</v>
          </cell>
          <cell r="AW59">
            <v>170</v>
          </cell>
          <cell r="AX59">
            <v>1297</v>
          </cell>
          <cell r="AY59">
            <v>112</v>
          </cell>
          <cell r="AZ59">
            <v>87</v>
          </cell>
          <cell r="BA59">
            <v>581</v>
          </cell>
          <cell r="BB59">
            <v>58</v>
          </cell>
          <cell r="BC59">
            <v>45</v>
          </cell>
          <cell r="BD59">
            <v>206</v>
          </cell>
          <cell r="BE59">
            <v>3918</v>
          </cell>
          <cell r="BF59">
            <v>266</v>
          </cell>
          <cell r="BG59">
            <v>23</v>
          </cell>
          <cell r="BH59">
            <v>59</v>
          </cell>
          <cell r="BI59">
            <v>204</v>
          </cell>
          <cell r="BJ59">
            <v>116</v>
          </cell>
          <cell r="BK59">
            <v>546</v>
          </cell>
          <cell r="BL59">
            <v>70</v>
          </cell>
          <cell r="BM59">
            <v>3959</v>
          </cell>
          <cell r="BN59">
            <v>1379</v>
          </cell>
          <cell r="BO59">
            <v>147</v>
          </cell>
          <cell r="BP59">
            <v>844</v>
          </cell>
          <cell r="BQ59">
            <v>192</v>
          </cell>
          <cell r="BR59">
            <v>29</v>
          </cell>
          <cell r="BS59">
            <v>20</v>
          </cell>
          <cell r="BT59">
            <v>207</v>
          </cell>
          <cell r="BU59">
            <v>571</v>
          </cell>
          <cell r="BV59">
            <v>86</v>
          </cell>
        </row>
        <row r="60">
          <cell r="B60">
            <v>7</v>
          </cell>
          <cell r="C60">
            <v>4</v>
          </cell>
          <cell r="D60">
            <v>18</v>
          </cell>
          <cell r="E60">
            <v>6</v>
          </cell>
          <cell r="F60">
            <v>1</v>
          </cell>
          <cell r="G60">
            <v>32</v>
          </cell>
          <cell r="H60">
            <v>1</v>
          </cell>
          <cell r="I60">
            <v>16</v>
          </cell>
          <cell r="J60">
            <v>6</v>
          </cell>
          <cell r="K60">
            <v>1</v>
          </cell>
          <cell r="L60">
            <v>14</v>
          </cell>
          <cell r="M60">
            <v>1</v>
          </cell>
          <cell r="N60">
            <v>1</v>
          </cell>
          <cell r="O60">
            <v>66</v>
          </cell>
          <cell r="P60">
            <v>15</v>
          </cell>
          <cell r="Q60">
            <v>6</v>
          </cell>
          <cell r="R60">
            <v>9</v>
          </cell>
          <cell r="S60">
            <v>3</v>
          </cell>
          <cell r="T60">
            <v>1</v>
          </cell>
          <cell r="U60">
            <v>5</v>
          </cell>
          <cell r="V60">
            <v>1</v>
          </cell>
          <cell r="W60">
            <v>31</v>
          </cell>
          <cell r="X60">
            <v>2</v>
          </cell>
          <cell r="Y60">
            <v>3</v>
          </cell>
          <cell r="Z60">
            <v>5</v>
          </cell>
          <cell r="AA60">
            <v>12</v>
          </cell>
          <cell r="AB60">
            <v>0</v>
          </cell>
          <cell r="AC60">
            <v>28</v>
          </cell>
          <cell r="AD60">
            <v>0</v>
          </cell>
          <cell r="AE60">
            <v>2</v>
          </cell>
          <cell r="AF60">
            <v>13</v>
          </cell>
          <cell r="AG60">
            <v>1290</v>
          </cell>
          <cell r="AH60">
            <v>84</v>
          </cell>
          <cell r="AI60">
            <v>9</v>
          </cell>
          <cell r="AJ60">
            <v>1</v>
          </cell>
          <cell r="AK60">
            <v>17</v>
          </cell>
          <cell r="AL60">
            <v>15</v>
          </cell>
          <cell r="AM60">
            <v>7</v>
          </cell>
          <cell r="AN60">
            <v>7</v>
          </cell>
          <cell r="AO60">
            <v>43</v>
          </cell>
          <cell r="AP60">
            <v>6</v>
          </cell>
          <cell r="AQ60">
            <v>4</v>
          </cell>
          <cell r="AR60">
            <v>11</v>
          </cell>
          <cell r="AS60">
            <v>24</v>
          </cell>
          <cell r="AT60">
            <v>3</v>
          </cell>
          <cell r="AU60">
            <v>12</v>
          </cell>
          <cell r="AV60">
            <v>16</v>
          </cell>
          <cell r="AW60">
            <v>6</v>
          </cell>
          <cell r="AX60">
            <v>20</v>
          </cell>
          <cell r="AY60">
            <v>4</v>
          </cell>
          <cell r="AZ60">
            <v>10</v>
          </cell>
          <cell r="BA60">
            <v>8</v>
          </cell>
          <cell r="BB60">
            <v>11</v>
          </cell>
          <cell r="BC60">
            <v>5</v>
          </cell>
          <cell r="BD60">
            <v>16</v>
          </cell>
          <cell r="BE60">
            <v>62</v>
          </cell>
          <cell r="BF60">
            <v>16</v>
          </cell>
          <cell r="BG60">
            <v>5</v>
          </cell>
          <cell r="BH60">
            <v>9</v>
          </cell>
          <cell r="BI60">
            <v>0</v>
          </cell>
          <cell r="BJ60">
            <v>6</v>
          </cell>
          <cell r="BK60">
            <v>15</v>
          </cell>
          <cell r="BL60">
            <v>2</v>
          </cell>
          <cell r="BM60">
            <v>199</v>
          </cell>
          <cell r="BN60">
            <v>52</v>
          </cell>
          <cell r="BO60">
            <v>5</v>
          </cell>
          <cell r="BP60">
            <v>16</v>
          </cell>
          <cell r="BQ60">
            <v>13</v>
          </cell>
          <cell r="BR60">
            <v>6</v>
          </cell>
          <cell r="BS60">
            <v>4</v>
          </cell>
          <cell r="BT60">
            <v>27</v>
          </cell>
          <cell r="BU60">
            <v>13</v>
          </cell>
          <cell r="BV60">
            <v>6</v>
          </cell>
        </row>
        <row r="61">
          <cell r="B61">
            <v>0</v>
          </cell>
          <cell r="C61">
            <v>0</v>
          </cell>
          <cell r="D61">
            <v>0</v>
          </cell>
          <cell r="E61">
            <v>6</v>
          </cell>
          <cell r="F61">
            <v>1</v>
          </cell>
          <cell r="G61">
            <v>0</v>
          </cell>
          <cell r="H61">
            <v>0</v>
          </cell>
          <cell r="I61">
            <v>0</v>
          </cell>
          <cell r="J61">
            <v>0</v>
          </cell>
          <cell r="K61">
            <v>1</v>
          </cell>
          <cell r="L61">
            <v>14</v>
          </cell>
          <cell r="M61">
            <v>0</v>
          </cell>
          <cell r="N61">
            <v>0</v>
          </cell>
          <cell r="O61">
            <v>0</v>
          </cell>
          <cell r="P61">
            <v>0</v>
          </cell>
          <cell r="Q61">
            <v>5</v>
          </cell>
          <cell r="R61">
            <v>0</v>
          </cell>
          <cell r="S61">
            <v>0</v>
          </cell>
          <cell r="T61">
            <v>0</v>
          </cell>
          <cell r="U61">
            <v>1</v>
          </cell>
          <cell r="V61">
            <v>1</v>
          </cell>
          <cell r="W61">
            <v>0</v>
          </cell>
          <cell r="X61">
            <v>0</v>
          </cell>
          <cell r="Y61">
            <v>1</v>
          </cell>
          <cell r="Z61">
            <v>0</v>
          </cell>
          <cell r="AA61">
            <v>0</v>
          </cell>
          <cell r="AB61">
            <v>0</v>
          </cell>
          <cell r="AC61">
            <v>0</v>
          </cell>
          <cell r="AD61">
            <v>0</v>
          </cell>
          <cell r="AE61">
            <v>1</v>
          </cell>
          <cell r="AF61">
            <v>1</v>
          </cell>
          <cell r="AG61">
            <v>373</v>
          </cell>
          <cell r="AH61">
            <v>15</v>
          </cell>
          <cell r="AI61">
            <v>0</v>
          </cell>
          <cell r="AJ61">
            <v>1</v>
          </cell>
          <cell r="AK61">
            <v>0</v>
          </cell>
          <cell r="AL61">
            <v>8</v>
          </cell>
          <cell r="AM61">
            <v>0</v>
          </cell>
          <cell r="AN61">
            <v>0</v>
          </cell>
          <cell r="AO61">
            <v>0</v>
          </cell>
          <cell r="AP61">
            <v>0</v>
          </cell>
          <cell r="AQ61">
            <v>0</v>
          </cell>
          <cell r="AR61">
            <v>0</v>
          </cell>
          <cell r="AS61">
            <v>6</v>
          </cell>
          <cell r="AT61">
            <v>0</v>
          </cell>
          <cell r="AU61">
            <v>1</v>
          </cell>
          <cell r="AV61">
            <v>0</v>
          </cell>
          <cell r="AW61">
            <v>6</v>
          </cell>
          <cell r="AX61">
            <v>1</v>
          </cell>
          <cell r="AY61">
            <v>0</v>
          </cell>
          <cell r="AZ61">
            <v>0</v>
          </cell>
          <cell r="BA61">
            <v>0</v>
          </cell>
          <cell r="BB61">
            <v>0</v>
          </cell>
          <cell r="BC61">
            <v>0</v>
          </cell>
          <cell r="BD61">
            <v>0</v>
          </cell>
          <cell r="BE61">
            <v>8</v>
          </cell>
          <cell r="BF61">
            <v>2</v>
          </cell>
          <cell r="BG61">
            <v>0</v>
          </cell>
          <cell r="BH61">
            <v>0</v>
          </cell>
          <cell r="BI61">
            <v>0</v>
          </cell>
          <cell r="BJ61">
            <v>0</v>
          </cell>
          <cell r="BK61">
            <v>0</v>
          </cell>
          <cell r="BL61">
            <v>0</v>
          </cell>
          <cell r="BM61">
            <v>35</v>
          </cell>
          <cell r="BN61">
            <v>0</v>
          </cell>
          <cell r="BO61">
            <v>0</v>
          </cell>
          <cell r="BP61">
            <v>3</v>
          </cell>
          <cell r="BQ61">
            <v>0</v>
          </cell>
          <cell r="BR61">
            <v>0</v>
          </cell>
          <cell r="BS61">
            <v>0</v>
          </cell>
          <cell r="BT61">
            <v>0</v>
          </cell>
          <cell r="BU61">
            <v>0</v>
          </cell>
          <cell r="BV61">
            <v>0</v>
          </cell>
        </row>
        <row r="62">
          <cell r="B62">
            <v>7</v>
          </cell>
          <cell r="C62">
            <v>4</v>
          </cell>
          <cell r="D62">
            <v>18</v>
          </cell>
          <cell r="E62">
            <v>0</v>
          </cell>
          <cell r="F62">
            <v>0</v>
          </cell>
          <cell r="G62">
            <v>32</v>
          </cell>
          <cell r="H62">
            <v>1</v>
          </cell>
          <cell r="I62">
            <v>16</v>
          </cell>
          <cell r="J62">
            <v>6</v>
          </cell>
          <cell r="K62">
            <v>0</v>
          </cell>
          <cell r="L62">
            <v>0</v>
          </cell>
          <cell r="M62">
            <v>1</v>
          </cell>
          <cell r="N62">
            <v>1</v>
          </cell>
          <cell r="O62">
            <v>66</v>
          </cell>
          <cell r="P62">
            <v>15</v>
          </cell>
          <cell r="Q62">
            <v>1</v>
          </cell>
          <cell r="R62">
            <v>9</v>
          </cell>
          <cell r="S62">
            <v>3</v>
          </cell>
          <cell r="T62">
            <v>1</v>
          </cell>
          <cell r="U62">
            <v>4</v>
          </cell>
          <cell r="V62">
            <v>0</v>
          </cell>
          <cell r="W62">
            <v>31</v>
          </cell>
          <cell r="X62">
            <v>2</v>
          </cell>
          <cell r="Y62">
            <v>2</v>
          </cell>
          <cell r="Z62">
            <v>5</v>
          </cell>
          <cell r="AA62">
            <v>12</v>
          </cell>
          <cell r="AB62">
            <v>0</v>
          </cell>
          <cell r="AC62">
            <v>28</v>
          </cell>
          <cell r="AD62">
            <v>0</v>
          </cell>
          <cell r="AE62">
            <v>1</v>
          </cell>
          <cell r="AF62">
            <v>12</v>
          </cell>
          <cell r="AG62">
            <v>917</v>
          </cell>
          <cell r="AH62">
            <v>69</v>
          </cell>
          <cell r="AI62">
            <v>9</v>
          </cell>
          <cell r="AJ62">
            <v>0</v>
          </cell>
          <cell r="AK62">
            <v>17</v>
          </cell>
          <cell r="AL62">
            <v>7</v>
          </cell>
          <cell r="AM62">
            <v>7</v>
          </cell>
          <cell r="AN62">
            <v>7</v>
          </cell>
          <cell r="AO62">
            <v>43</v>
          </cell>
          <cell r="AP62">
            <v>6</v>
          </cell>
          <cell r="AQ62">
            <v>4</v>
          </cell>
          <cell r="AR62">
            <v>11</v>
          </cell>
          <cell r="AS62">
            <v>18</v>
          </cell>
          <cell r="AT62">
            <v>3</v>
          </cell>
          <cell r="AU62">
            <v>11</v>
          </cell>
          <cell r="AV62">
            <v>16</v>
          </cell>
          <cell r="AW62">
            <v>0</v>
          </cell>
          <cell r="AX62">
            <v>19</v>
          </cell>
          <cell r="AY62">
            <v>4</v>
          </cell>
          <cell r="AZ62">
            <v>10</v>
          </cell>
          <cell r="BA62">
            <v>8</v>
          </cell>
          <cell r="BB62">
            <v>11</v>
          </cell>
          <cell r="BC62">
            <v>5</v>
          </cell>
          <cell r="BD62">
            <v>16</v>
          </cell>
          <cell r="BE62">
            <v>54</v>
          </cell>
          <cell r="BF62">
            <v>14</v>
          </cell>
          <cell r="BG62">
            <v>5</v>
          </cell>
          <cell r="BH62">
            <v>9</v>
          </cell>
          <cell r="BI62">
            <v>0</v>
          </cell>
          <cell r="BJ62">
            <v>6</v>
          </cell>
          <cell r="BK62">
            <v>15</v>
          </cell>
          <cell r="BL62">
            <v>2</v>
          </cell>
          <cell r="BM62">
            <v>164</v>
          </cell>
          <cell r="BN62">
            <v>52</v>
          </cell>
          <cell r="BO62">
            <v>5</v>
          </cell>
          <cell r="BP62">
            <v>13</v>
          </cell>
          <cell r="BQ62">
            <v>13</v>
          </cell>
          <cell r="BR62">
            <v>6</v>
          </cell>
          <cell r="BS62">
            <v>4</v>
          </cell>
          <cell r="BT62">
            <v>27</v>
          </cell>
          <cell r="BU62">
            <v>13</v>
          </cell>
          <cell r="BV62">
            <v>6</v>
          </cell>
        </row>
        <row r="63">
          <cell r="B63">
            <v>0</v>
          </cell>
          <cell r="C63">
            <v>0</v>
          </cell>
          <cell r="D63">
            <v>0</v>
          </cell>
          <cell r="E63">
            <v>9</v>
          </cell>
          <cell r="F63">
            <v>2</v>
          </cell>
          <cell r="G63">
            <v>0</v>
          </cell>
          <cell r="H63">
            <v>0</v>
          </cell>
          <cell r="I63">
            <v>0</v>
          </cell>
          <cell r="J63">
            <v>6</v>
          </cell>
          <cell r="K63">
            <v>2</v>
          </cell>
          <cell r="L63">
            <v>1728</v>
          </cell>
          <cell r="M63">
            <v>0</v>
          </cell>
          <cell r="N63">
            <v>1576</v>
          </cell>
          <cell r="O63">
            <v>0</v>
          </cell>
          <cell r="P63">
            <v>0</v>
          </cell>
          <cell r="Q63">
            <v>10</v>
          </cell>
          <cell r="R63">
            <v>0</v>
          </cell>
          <cell r="S63">
            <v>0</v>
          </cell>
          <cell r="T63">
            <v>0</v>
          </cell>
          <cell r="U63">
            <v>2</v>
          </cell>
          <cell r="V63">
            <v>2</v>
          </cell>
          <cell r="W63">
            <v>0</v>
          </cell>
          <cell r="X63">
            <v>0</v>
          </cell>
          <cell r="Y63">
            <v>2</v>
          </cell>
          <cell r="Z63">
            <v>0</v>
          </cell>
          <cell r="AA63">
            <v>0</v>
          </cell>
          <cell r="AB63">
            <v>0</v>
          </cell>
          <cell r="AC63">
            <v>0</v>
          </cell>
          <cell r="AD63">
            <v>0</v>
          </cell>
          <cell r="AE63">
            <v>2</v>
          </cell>
          <cell r="AF63">
            <v>3</v>
          </cell>
          <cell r="AG63">
            <v>853</v>
          </cell>
          <cell r="AH63">
            <v>30</v>
          </cell>
          <cell r="AI63">
            <v>0</v>
          </cell>
          <cell r="AJ63">
            <v>3</v>
          </cell>
          <cell r="AK63">
            <v>0</v>
          </cell>
          <cell r="AL63">
            <v>19</v>
          </cell>
          <cell r="AM63">
            <v>0</v>
          </cell>
          <cell r="AN63">
            <v>0</v>
          </cell>
          <cell r="AO63">
            <v>0</v>
          </cell>
          <cell r="AP63">
            <v>0</v>
          </cell>
          <cell r="AQ63">
            <v>0</v>
          </cell>
          <cell r="AR63">
            <v>0</v>
          </cell>
          <cell r="AS63">
            <v>12</v>
          </cell>
          <cell r="AT63">
            <v>0</v>
          </cell>
          <cell r="AU63">
            <v>2</v>
          </cell>
          <cell r="AV63">
            <v>0</v>
          </cell>
          <cell r="AW63">
            <v>0</v>
          </cell>
          <cell r="AX63">
            <v>2</v>
          </cell>
          <cell r="AY63">
            <v>0</v>
          </cell>
          <cell r="AZ63">
            <v>0</v>
          </cell>
          <cell r="BA63">
            <v>0</v>
          </cell>
          <cell r="BB63">
            <v>14</v>
          </cell>
          <cell r="BC63">
            <v>0</v>
          </cell>
          <cell r="BD63">
            <v>0</v>
          </cell>
          <cell r="BE63">
            <v>22</v>
          </cell>
          <cell r="BF63">
            <v>6167</v>
          </cell>
          <cell r="BG63">
            <v>0</v>
          </cell>
          <cell r="BH63">
            <v>0</v>
          </cell>
          <cell r="BI63">
            <v>0</v>
          </cell>
          <cell r="BJ63">
            <v>0</v>
          </cell>
          <cell r="BK63">
            <v>0</v>
          </cell>
          <cell r="BL63">
            <v>2</v>
          </cell>
          <cell r="BM63">
            <v>271</v>
          </cell>
          <cell r="BN63">
            <v>0</v>
          </cell>
          <cell r="BO63">
            <v>1531</v>
          </cell>
          <cell r="BP63">
            <v>12</v>
          </cell>
          <cell r="BQ63">
            <v>0</v>
          </cell>
          <cell r="BR63">
            <v>0</v>
          </cell>
          <cell r="BS63">
            <v>0</v>
          </cell>
          <cell r="BT63">
            <v>27</v>
          </cell>
          <cell r="BU63">
            <v>0</v>
          </cell>
          <cell r="BV63">
            <v>0</v>
          </cell>
        </row>
        <row r="64">
          <cell r="B64">
            <v>0</v>
          </cell>
          <cell r="C64">
            <v>0</v>
          </cell>
          <cell r="D64">
            <v>0</v>
          </cell>
          <cell r="E64">
            <v>9</v>
          </cell>
          <cell r="F64">
            <v>2</v>
          </cell>
          <cell r="G64">
            <v>0</v>
          </cell>
          <cell r="H64">
            <v>0</v>
          </cell>
          <cell r="I64">
            <v>0</v>
          </cell>
          <cell r="J64">
            <v>0</v>
          </cell>
          <cell r="K64">
            <v>2</v>
          </cell>
          <cell r="L64">
            <v>1728</v>
          </cell>
          <cell r="M64">
            <v>0</v>
          </cell>
          <cell r="N64">
            <v>0</v>
          </cell>
          <cell r="O64">
            <v>0</v>
          </cell>
          <cell r="P64">
            <v>0</v>
          </cell>
          <cell r="Q64">
            <v>10</v>
          </cell>
          <cell r="R64">
            <v>0</v>
          </cell>
          <cell r="S64">
            <v>0</v>
          </cell>
          <cell r="T64">
            <v>0</v>
          </cell>
          <cell r="U64">
            <v>2</v>
          </cell>
          <cell r="V64">
            <v>2</v>
          </cell>
          <cell r="W64">
            <v>0</v>
          </cell>
          <cell r="X64">
            <v>0</v>
          </cell>
          <cell r="Y64">
            <v>2</v>
          </cell>
          <cell r="Z64">
            <v>0</v>
          </cell>
          <cell r="AA64">
            <v>0</v>
          </cell>
          <cell r="AB64">
            <v>0</v>
          </cell>
          <cell r="AC64">
            <v>0</v>
          </cell>
          <cell r="AD64">
            <v>0</v>
          </cell>
          <cell r="AE64">
            <v>2</v>
          </cell>
          <cell r="AF64">
            <v>3</v>
          </cell>
          <cell r="AG64">
            <v>853</v>
          </cell>
          <cell r="AH64">
            <v>28</v>
          </cell>
          <cell r="AI64">
            <v>0</v>
          </cell>
          <cell r="AJ64">
            <v>3</v>
          </cell>
          <cell r="AK64">
            <v>0</v>
          </cell>
          <cell r="AL64">
            <v>18</v>
          </cell>
          <cell r="AM64">
            <v>0</v>
          </cell>
          <cell r="AN64">
            <v>0</v>
          </cell>
          <cell r="AO64">
            <v>0</v>
          </cell>
          <cell r="AP64">
            <v>0</v>
          </cell>
          <cell r="AQ64">
            <v>0</v>
          </cell>
          <cell r="AR64">
            <v>0</v>
          </cell>
          <cell r="AS64">
            <v>12</v>
          </cell>
          <cell r="AT64">
            <v>0</v>
          </cell>
          <cell r="AU64">
            <v>2</v>
          </cell>
          <cell r="AV64">
            <v>0</v>
          </cell>
          <cell r="AW64">
            <v>0</v>
          </cell>
          <cell r="AX64">
            <v>2</v>
          </cell>
          <cell r="AY64">
            <v>0</v>
          </cell>
          <cell r="AZ64">
            <v>0</v>
          </cell>
          <cell r="BA64">
            <v>0</v>
          </cell>
          <cell r="BB64">
            <v>0</v>
          </cell>
          <cell r="BC64">
            <v>0</v>
          </cell>
          <cell r="BD64">
            <v>0</v>
          </cell>
          <cell r="BE64">
            <v>22</v>
          </cell>
          <cell r="BF64">
            <v>8</v>
          </cell>
          <cell r="BG64">
            <v>0</v>
          </cell>
          <cell r="BH64">
            <v>0</v>
          </cell>
          <cell r="BI64">
            <v>0</v>
          </cell>
          <cell r="BJ64">
            <v>0</v>
          </cell>
          <cell r="BK64">
            <v>0</v>
          </cell>
          <cell r="BL64">
            <v>0</v>
          </cell>
          <cell r="BM64">
            <v>2</v>
          </cell>
          <cell r="BN64">
            <v>0</v>
          </cell>
          <cell r="BO64">
            <v>0</v>
          </cell>
          <cell r="BP64">
            <v>8</v>
          </cell>
          <cell r="BQ64">
            <v>0</v>
          </cell>
          <cell r="BR64">
            <v>0</v>
          </cell>
          <cell r="BS64">
            <v>0</v>
          </cell>
          <cell r="BT64">
            <v>0</v>
          </cell>
          <cell r="BU64">
            <v>0</v>
          </cell>
          <cell r="BV64">
            <v>0</v>
          </cell>
        </row>
        <row r="65">
          <cell r="B65">
            <v>0</v>
          </cell>
          <cell r="C65">
            <v>0</v>
          </cell>
          <cell r="D65">
            <v>0</v>
          </cell>
          <cell r="E65">
            <v>0</v>
          </cell>
          <cell r="F65">
            <v>0</v>
          </cell>
          <cell r="G65">
            <v>0</v>
          </cell>
          <cell r="H65">
            <v>0</v>
          </cell>
          <cell r="I65">
            <v>0</v>
          </cell>
          <cell r="J65">
            <v>6</v>
          </cell>
          <cell r="K65">
            <v>0</v>
          </cell>
          <cell r="L65">
            <v>0</v>
          </cell>
          <cell r="M65">
            <v>0</v>
          </cell>
          <cell r="N65">
            <v>1576</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2</v>
          </cell>
          <cell r="AI65">
            <v>0</v>
          </cell>
          <cell r="AJ65">
            <v>0</v>
          </cell>
          <cell r="AK65">
            <v>0</v>
          </cell>
          <cell r="AL65">
            <v>1</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14</v>
          </cell>
          <cell r="BC65">
            <v>0</v>
          </cell>
          <cell r="BD65">
            <v>0</v>
          </cell>
          <cell r="BE65">
            <v>0</v>
          </cell>
          <cell r="BF65">
            <v>6159</v>
          </cell>
          <cell r="BG65">
            <v>0</v>
          </cell>
          <cell r="BH65">
            <v>0</v>
          </cell>
          <cell r="BI65">
            <v>0</v>
          </cell>
          <cell r="BJ65">
            <v>0</v>
          </cell>
          <cell r="BK65">
            <v>0</v>
          </cell>
          <cell r="BL65">
            <v>2</v>
          </cell>
          <cell r="BM65">
            <v>269</v>
          </cell>
          <cell r="BN65">
            <v>0</v>
          </cell>
          <cell r="BO65">
            <v>1531</v>
          </cell>
          <cell r="BP65">
            <v>4</v>
          </cell>
          <cell r="BQ65">
            <v>0</v>
          </cell>
          <cell r="BR65">
            <v>0</v>
          </cell>
          <cell r="BS65">
            <v>0</v>
          </cell>
          <cell r="BT65">
            <v>27</v>
          </cell>
          <cell r="BU65">
            <v>0</v>
          </cell>
          <cell r="BV65">
            <v>0</v>
          </cell>
        </row>
        <row r="66">
          <cell r="B66">
            <v>14</v>
          </cell>
          <cell r="C66">
            <v>0</v>
          </cell>
          <cell r="D66">
            <v>24</v>
          </cell>
          <cell r="E66">
            <v>0</v>
          </cell>
          <cell r="F66">
            <v>3298</v>
          </cell>
          <cell r="G66">
            <v>8090</v>
          </cell>
          <cell r="H66">
            <v>2</v>
          </cell>
          <cell r="I66">
            <v>25</v>
          </cell>
          <cell r="J66">
            <v>6</v>
          </cell>
          <cell r="K66">
            <v>0</v>
          </cell>
          <cell r="L66">
            <v>487</v>
          </cell>
          <cell r="M66">
            <v>0</v>
          </cell>
          <cell r="N66">
            <v>0</v>
          </cell>
          <cell r="O66">
            <v>25261</v>
          </cell>
          <cell r="P66">
            <v>19</v>
          </cell>
          <cell r="Q66">
            <v>2</v>
          </cell>
          <cell r="R66">
            <v>0</v>
          </cell>
          <cell r="S66">
            <v>5</v>
          </cell>
          <cell r="T66">
            <v>1</v>
          </cell>
          <cell r="U66">
            <v>4</v>
          </cell>
          <cell r="V66">
            <v>0</v>
          </cell>
          <cell r="W66">
            <v>0</v>
          </cell>
          <cell r="X66">
            <v>2</v>
          </cell>
          <cell r="Y66">
            <v>2</v>
          </cell>
          <cell r="Z66">
            <v>5</v>
          </cell>
          <cell r="AA66">
            <v>12</v>
          </cell>
          <cell r="AB66">
            <v>0</v>
          </cell>
          <cell r="AC66">
            <v>58</v>
          </cell>
          <cell r="AD66">
            <v>0</v>
          </cell>
          <cell r="AE66">
            <v>1</v>
          </cell>
          <cell r="AF66">
            <v>18</v>
          </cell>
          <cell r="AG66">
            <v>1083</v>
          </cell>
          <cell r="AH66">
            <v>139</v>
          </cell>
          <cell r="AI66">
            <v>10</v>
          </cell>
          <cell r="AJ66">
            <v>0</v>
          </cell>
          <cell r="AK66">
            <v>36</v>
          </cell>
          <cell r="AL66">
            <v>7</v>
          </cell>
          <cell r="AM66">
            <v>7</v>
          </cell>
          <cell r="AN66">
            <v>7</v>
          </cell>
          <cell r="AO66">
            <v>56</v>
          </cell>
          <cell r="AP66">
            <v>6</v>
          </cell>
          <cell r="AQ66">
            <v>5</v>
          </cell>
          <cell r="AR66">
            <v>16</v>
          </cell>
          <cell r="AS66">
            <v>18</v>
          </cell>
          <cell r="AT66">
            <v>4</v>
          </cell>
          <cell r="AU66">
            <v>11</v>
          </cell>
          <cell r="AV66">
            <v>20</v>
          </cell>
          <cell r="AW66">
            <v>0</v>
          </cell>
          <cell r="AX66">
            <v>22</v>
          </cell>
          <cell r="AY66">
            <v>4</v>
          </cell>
          <cell r="AZ66">
            <v>11</v>
          </cell>
          <cell r="BA66">
            <v>17</v>
          </cell>
          <cell r="BB66">
            <v>1592</v>
          </cell>
          <cell r="BC66">
            <v>0</v>
          </cell>
          <cell r="BD66">
            <v>36</v>
          </cell>
          <cell r="BE66">
            <v>61</v>
          </cell>
          <cell r="BF66">
            <v>6167</v>
          </cell>
          <cell r="BG66">
            <v>5</v>
          </cell>
          <cell r="BH66">
            <v>9</v>
          </cell>
          <cell r="BI66">
            <v>0</v>
          </cell>
          <cell r="BJ66">
            <v>1437</v>
          </cell>
          <cell r="BK66">
            <v>23</v>
          </cell>
          <cell r="BL66">
            <v>2</v>
          </cell>
          <cell r="BM66">
            <v>60564</v>
          </cell>
          <cell r="BN66">
            <v>66</v>
          </cell>
          <cell r="BO66">
            <v>1536</v>
          </cell>
          <cell r="BP66">
            <v>15</v>
          </cell>
          <cell r="BQ66">
            <v>14</v>
          </cell>
          <cell r="BR66">
            <v>6</v>
          </cell>
          <cell r="BS66">
            <v>4</v>
          </cell>
          <cell r="BT66">
            <v>27</v>
          </cell>
          <cell r="BU66">
            <v>29</v>
          </cell>
          <cell r="BV66">
            <v>6</v>
          </cell>
        </row>
        <row r="67">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8</v>
          </cell>
          <cell r="BG67">
            <v>0</v>
          </cell>
          <cell r="BH67">
            <v>0</v>
          </cell>
          <cell r="BI67">
            <v>0</v>
          </cell>
          <cell r="BJ67">
            <v>0</v>
          </cell>
          <cell r="BK67">
            <v>0</v>
          </cell>
          <cell r="BL67">
            <v>0</v>
          </cell>
          <cell r="BM67">
            <v>2</v>
          </cell>
          <cell r="BN67">
            <v>0</v>
          </cell>
          <cell r="BO67">
            <v>0</v>
          </cell>
          <cell r="BP67">
            <v>0</v>
          </cell>
          <cell r="BQ67">
            <v>0</v>
          </cell>
          <cell r="BR67">
            <v>0</v>
          </cell>
          <cell r="BS67">
            <v>0</v>
          </cell>
          <cell r="BT67">
            <v>0</v>
          </cell>
          <cell r="BU67">
            <v>0</v>
          </cell>
          <cell r="BV67">
            <v>0</v>
          </cell>
        </row>
        <row r="68">
          <cell r="B68">
            <v>14</v>
          </cell>
          <cell r="C68">
            <v>0</v>
          </cell>
          <cell r="D68">
            <v>24</v>
          </cell>
          <cell r="E68">
            <v>0</v>
          </cell>
          <cell r="F68">
            <v>3298</v>
          </cell>
          <cell r="G68">
            <v>8090</v>
          </cell>
          <cell r="H68">
            <v>2</v>
          </cell>
          <cell r="I68">
            <v>25</v>
          </cell>
          <cell r="J68">
            <v>6</v>
          </cell>
          <cell r="K68">
            <v>0</v>
          </cell>
          <cell r="L68">
            <v>487</v>
          </cell>
          <cell r="M68">
            <v>0</v>
          </cell>
          <cell r="N68">
            <v>0</v>
          </cell>
          <cell r="O68">
            <v>25261</v>
          </cell>
          <cell r="P68">
            <v>19</v>
          </cell>
          <cell r="Q68">
            <v>2</v>
          </cell>
          <cell r="R68">
            <v>0</v>
          </cell>
          <cell r="S68">
            <v>5</v>
          </cell>
          <cell r="T68">
            <v>1</v>
          </cell>
          <cell r="U68">
            <v>4</v>
          </cell>
          <cell r="V68">
            <v>0</v>
          </cell>
          <cell r="W68">
            <v>0</v>
          </cell>
          <cell r="X68">
            <v>2</v>
          </cell>
          <cell r="Y68">
            <v>2</v>
          </cell>
          <cell r="Z68">
            <v>5</v>
          </cell>
          <cell r="AA68">
            <v>12</v>
          </cell>
          <cell r="AB68">
            <v>0</v>
          </cell>
          <cell r="AC68">
            <v>58</v>
          </cell>
          <cell r="AD68">
            <v>0</v>
          </cell>
          <cell r="AE68">
            <v>1</v>
          </cell>
          <cell r="AF68">
            <v>18</v>
          </cell>
          <cell r="AG68">
            <v>1083</v>
          </cell>
          <cell r="AH68">
            <v>139</v>
          </cell>
          <cell r="AI68">
            <v>10</v>
          </cell>
          <cell r="AJ68">
            <v>0</v>
          </cell>
          <cell r="AK68">
            <v>36</v>
          </cell>
          <cell r="AL68">
            <v>7</v>
          </cell>
          <cell r="AM68">
            <v>7</v>
          </cell>
          <cell r="AN68">
            <v>7</v>
          </cell>
          <cell r="AO68">
            <v>56</v>
          </cell>
          <cell r="AP68">
            <v>6</v>
          </cell>
          <cell r="AQ68">
            <v>5</v>
          </cell>
          <cell r="AR68">
            <v>16</v>
          </cell>
          <cell r="AS68">
            <v>18</v>
          </cell>
          <cell r="AT68">
            <v>4</v>
          </cell>
          <cell r="AU68">
            <v>11</v>
          </cell>
          <cell r="AV68">
            <v>20</v>
          </cell>
          <cell r="AW68">
            <v>0</v>
          </cell>
          <cell r="AX68">
            <v>22</v>
          </cell>
          <cell r="AY68">
            <v>4</v>
          </cell>
          <cell r="AZ68">
            <v>11</v>
          </cell>
          <cell r="BA68">
            <v>17</v>
          </cell>
          <cell r="BB68">
            <v>1592</v>
          </cell>
          <cell r="BC68">
            <v>0</v>
          </cell>
          <cell r="BD68">
            <v>36</v>
          </cell>
          <cell r="BE68">
            <v>61</v>
          </cell>
          <cell r="BF68">
            <v>6159</v>
          </cell>
          <cell r="BG68">
            <v>5</v>
          </cell>
          <cell r="BH68">
            <v>9</v>
          </cell>
          <cell r="BI68">
            <v>0</v>
          </cell>
          <cell r="BJ68">
            <v>1437</v>
          </cell>
          <cell r="BK68">
            <v>23</v>
          </cell>
          <cell r="BL68">
            <v>2</v>
          </cell>
          <cell r="BM68">
            <v>60562</v>
          </cell>
          <cell r="BN68">
            <v>66</v>
          </cell>
          <cell r="BO68">
            <v>1536</v>
          </cell>
          <cell r="BP68">
            <v>15</v>
          </cell>
          <cell r="BQ68">
            <v>14</v>
          </cell>
          <cell r="BR68">
            <v>6</v>
          </cell>
          <cell r="BS68">
            <v>4</v>
          </cell>
          <cell r="BT68">
            <v>27</v>
          </cell>
          <cell r="BU68">
            <v>29</v>
          </cell>
          <cell r="BV68">
            <v>6</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B Database"/>
      <sheetName val="Industry Amortisation"/>
      <sheetName val="Non-exempt Amortisation"/>
      <sheetName val="LCI"/>
      <sheetName val="PPI &amp; Opex Price"/>
      <sheetName val="CGPI"/>
    </sheetNames>
    <sheetDataSet>
      <sheetData sheetId="0">
        <row r="13">
          <cell r="F13">
            <v>28697</v>
          </cell>
        </row>
        <row r="14">
          <cell r="F14">
            <v>29163</v>
          </cell>
          <cell r="G14">
            <v>4394607</v>
          </cell>
          <cell r="K14">
            <v>110793</v>
          </cell>
          <cell r="N14">
            <v>3815.5</v>
          </cell>
          <cell r="P14">
            <v>519.5</v>
          </cell>
        </row>
        <row r="15">
          <cell r="F15">
            <v>29367</v>
          </cell>
          <cell r="G15">
            <v>6982770</v>
          </cell>
          <cell r="K15">
            <v>112778</v>
          </cell>
          <cell r="N15">
            <v>3840</v>
          </cell>
          <cell r="P15">
            <v>552</v>
          </cell>
        </row>
        <row r="16">
          <cell r="F16">
            <v>29849</v>
          </cell>
          <cell r="G16">
            <v>7020745</v>
          </cell>
          <cell r="K16">
            <v>129298</v>
          </cell>
          <cell r="N16">
            <v>4016.15</v>
          </cell>
          <cell r="P16">
            <v>592.43899999999996</v>
          </cell>
        </row>
        <row r="17">
          <cell r="F17">
            <v>30267</v>
          </cell>
          <cell r="G17">
            <v>7534174.7351719616</v>
          </cell>
          <cell r="K17">
            <v>130000</v>
          </cell>
          <cell r="N17">
            <v>4060</v>
          </cell>
          <cell r="P17">
            <v>618</v>
          </cell>
        </row>
        <row r="18">
          <cell r="F18">
            <v>30615</v>
          </cell>
          <cell r="G18">
            <v>9446130.9984752182</v>
          </cell>
          <cell r="K18">
            <v>123000</v>
          </cell>
          <cell r="N18">
            <v>4106</v>
          </cell>
          <cell r="P18">
            <v>651</v>
          </cell>
        </row>
        <row r="19">
          <cell r="F19">
            <v>30826</v>
          </cell>
          <cell r="G19">
            <v>11070356.988466064</v>
          </cell>
          <cell r="K19">
            <v>121918</v>
          </cell>
          <cell r="N19">
            <v>4120</v>
          </cell>
          <cell r="P19">
            <v>666</v>
          </cell>
        </row>
        <row r="20">
          <cell r="F20">
            <v>31018</v>
          </cell>
          <cell r="G20">
            <v>11533971.601764882</v>
          </cell>
          <cell r="K20">
            <v>118390</v>
          </cell>
          <cell r="N20">
            <v>4152</v>
          </cell>
          <cell r="P20">
            <v>690</v>
          </cell>
        </row>
        <row r="21">
          <cell r="G21">
            <v>11293888.989256438</v>
          </cell>
        </row>
        <row r="22">
          <cell r="G22">
            <v>14020888.130132122</v>
          </cell>
        </row>
        <row r="36">
          <cell r="F36">
            <v>75117</v>
          </cell>
        </row>
        <row r="37">
          <cell r="F37">
            <v>76400</v>
          </cell>
          <cell r="G37">
            <v>13198192</v>
          </cell>
          <cell r="K37">
            <v>268976</v>
          </cell>
          <cell r="N37">
            <v>5252</v>
          </cell>
          <cell r="P37">
            <v>1327</v>
          </cell>
        </row>
        <row r="38">
          <cell r="F38">
            <v>77712</v>
          </cell>
          <cell r="G38">
            <v>14074630.24</v>
          </cell>
          <cell r="K38">
            <v>275525</v>
          </cell>
          <cell r="N38">
            <v>5356</v>
          </cell>
          <cell r="P38">
            <v>1445</v>
          </cell>
        </row>
        <row r="39">
          <cell r="F39">
            <v>79811</v>
          </cell>
          <cell r="G39">
            <v>16599803.189999998</v>
          </cell>
          <cell r="K39">
            <v>283185</v>
          </cell>
          <cell r="N39">
            <v>5453.3</v>
          </cell>
          <cell r="P39">
            <v>1591.2</v>
          </cell>
        </row>
        <row r="40">
          <cell r="F40">
            <v>80686</v>
          </cell>
          <cell r="G40">
            <v>18119928.338952091</v>
          </cell>
          <cell r="K40">
            <v>274826</v>
          </cell>
          <cell r="N40">
            <v>5544.4</v>
          </cell>
          <cell r="P40">
            <v>1643.7</v>
          </cell>
        </row>
        <row r="41">
          <cell r="F41">
            <v>81573</v>
          </cell>
          <cell r="G41">
            <v>18293604.693913545</v>
          </cell>
          <cell r="K41">
            <v>285092</v>
          </cell>
          <cell r="N41">
            <v>5600</v>
          </cell>
          <cell r="P41">
            <v>1708.5</v>
          </cell>
        </row>
        <row r="42">
          <cell r="F42">
            <v>82368</v>
          </cell>
          <cell r="G42">
            <v>17372205.926539097</v>
          </cell>
          <cell r="K42">
            <v>274085</v>
          </cell>
          <cell r="N42">
            <v>5621.3</v>
          </cell>
          <cell r="P42">
            <v>1730.1</v>
          </cell>
        </row>
        <row r="43">
          <cell r="F43">
            <v>82908</v>
          </cell>
          <cell r="G43">
            <v>18305487.812937222</v>
          </cell>
          <cell r="K43">
            <v>289677.43900000001</v>
          </cell>
          <cell r="N43">
            <v>5677</v>
          </cell>
          <cell r="P43">
            <v>1778</v>
          </cell>
        </row>
        <row r="44">
          <cell r="G44">
            <v>17039478.593876097</v>
          </cell>
        </row>
        <row r="45">
          <cell r="G45">
            <v>20399659.019340854</v>
          </cell>
        </row>
        <row r="105">
          <cell r="F105">
            <v>33931</v>
          </cell>
        </row>
        <row r="106">
          <cell r="F106">
            <v>34813</v>
          </cell>
          <cell r="G106">
            <v>6592209.8479999993</v>
          </cell>
          <cell r="K106">
            <v>87098</v>
          </cell>
          <cell r="N106">
            <v>3260.46</v>
          </cell>
          <cell r="P106">
            <v>473.39</v>
          </cell>
        </row>
        <row r="107">
          <cell r="F107">
            <v>35545</v>
          </cell>
          <cell r="G107">
            <v>6831536</v>
          </cell>
          <cell r="K107">
            <v>91506</v>
          </cell>
          <cell r="N107">
            <v>2962.92</v>
          </cell>
          <cell r="P107">
            <v>511.26</v>
          </cell>
        </row>
        <row r="108">
          <cell r="F108">
            <v>35613</v>
          </cell>
          <cell r="G108">
            <v>8443054.6925612167</v>
          </cell>
          <cell r="K108">
            <v>92428</v>
          </cell>
          <cell r="N108">
            <v>2975.0801585443901</v>
          </cell>
          <cell r="P108">
            <v>545.19990992742498</v>
          </cell>
        </row>
        <row r="109">
          <cell r="F109">
            <v>35970</v>
          </cell>
          <cell r="G109">
            <v>8925149.7371889148</v>
          </cell>
          <cell r="K109">
            <v>94090</v>
          </cell>
          <cell r="N109">
            <v>3009.0077421952601</v>
          </cell>
          <cell r="P109">
            <v>562.75280167665596</v>
          </cell>
        </row>
        <row r="110">
          <cell r="F110">
            <v>36447</v>
          </cell>
          <cell r="G110">
            <v>8765729.9634737987</v>
          </cell>
          <cell r="K110">
            <v>96198</v>
          </cell>
          <cell r="N110">
            <v>3022.4918404226701</v>
          </cell>
          <cell r="P110">
            <v>584.17918377596595</v>
          </cell>
        </row>
        <row r="111">
          <cell r="F111">
            <v>36859</v>
          </cell>
          <cell r="G111">
            <v>8987237.7353606634</v>
          </cell>
          <cell r="K111">
            <v>98868</v>
          </cell>
          <cell r="N111">
            <v>3032.8179436202499</v>
          </cell>
          <cell r="P111">
            <v>613.26694362024898</v>
          </cell>
        </row>
        <row r="112">
          <cell r="F112">
            <v>37222</v>
          </cell>
          <cell r="G112">
            <v>8886436.9572700318</v>
          </cell>
          <cell r="K112">
            <v>97628</v>
          </cell>
          <cell r="N112">
            <v>3054.9488799999999</v>
          </cell>
          <cell r="P112">
            <v>643.00612000000001</v>
          </cell>
        </row>
        <row r="113">
          <cell r="G113">
            <v>8595776.2030300405</v>
          </cell>
        </row>
        <row r="114">
          <cell r="G114">
            <v>9708554.1847089231</v>
          </cell>
        </row>
        <row r="128">
          <cell r="F128">
            <v>24856</v>
          </cell>
        </row>
        <row r="129">
          <cell r="F129">
            <v>24864</v>
          </cell>
          <cell r="G129">
            <v>4286844.08</v>
          </cell>
          <cell r="K129">
            <v>55894</v>
          </cell>
          <cell r="N129">
            <v>3666.64</v>
          </cell>
          <cell r="P129">
            <v>331.58</v>
          </cell>
        </row>
        <row r="130">
          <cell r="F130">
            <v>24962</v>
          </cell>
          <cell r="G130">
            <v>5085846.75</v>
          </cell>
          <cell r="K130">
            <v>59212</v>
          </cell>
          <cell r="N130">
            <v>3647.25</v>
          </cell>
          <cell r="P130">
            <v>341.18</v>
          </cell>
        </row>
        <row r="131">
          <cell r="F131">
            <v>25196</v>
          </cell>
          <cell r="G131">
            <v>4900761</v>
          </cell>
          <cell r="K131">
            <v>57900</v>
          </cell>
          <cell r="N131">
            <v>3653</v>
          </cell>
          <cell r="P131">
            <v>359.3</v>
          </cell>
        </row>
        <row r="132">
          <cell r="F132">
            <v>25300</v>
          </cell>
          <cell r="G132">
            <v>6109122.9482706618</v>
          </cell>
          <cell r="K132">
            <v>55950</v>
          </cell>
          <cell r="N132">
            <v>3664.21</v>
          </cell>
          <cell r="P132">
            <v>377.71</v>
          </cell>
        </row>
        <row r="133">
          <cell r="F133">
            <v>25432</v>
          </cell>
          <cell r="G133">
            <v>5831480.9375433037</v>
          </cell>
          <cell r="K133">
            <v>56686</v>
          </cell>
          <cell r="N133">
            <v>3661.7159999999999</v>
          </cell>
          <cell r="P133">
            <v>382.00400000000002</v>
          </cell>
        </row>
        <row r="134">
          <cell r="F134">
            <v>25514</v>
          </cell>
          <cell r="G134">
            <v>5816500.2535112519</v>
          </cell>
          <cell r="K134">
            <v>56404</v>
          </cell>
          <cell r="N134">
            <v>3653.630236</v>
          </cell>
          <cell r="P134">
            <v>381.11623600000001</v>
          </cell>
        </row>
        <row r="135">
          <cell r="F135">
            <v>25567</v>
          </cell>
          <cell r="G135">
            <v>6027632.0219853753</v>
          </cell>
          <cell r="K135">
            <v>56868</v>
          </cell>
          <cell r="N135">
            <v>3645.8049999999998</v>
          </cell>
          <cell r="P135">
            <v>384.80500000000001</v>
          </cell>
        </row>
        <row r="136">
          <cell r="G136">
            <v>7435612.0344036454</v>
          </cell>
        </row>
        <row r="137">
          <cell r="G137">
            <v>7799817.1314158607</v>
          </cell>
        </row>
        <row r="151">
          <cell r="F151">
            <v>39906</v>
          </cell>
        </row>
        <row r="152">
          <cell r="F152">
            <v>40458</v>
          </cell>
          <cell r="G152">
            <v>4756437</v>
          </cell>
          <cell r="K152">
            <v>91930</v>
          </cell>
          <cell r="N152">
            <v>2179</v>
          </cell>
          <cell r="P152">
            <v>629</v>
          </cell>
        </row>
        <row r="153">
          <cell r="F153">
            <v>40860</v>
          </cell>
          <cell r="G153">
            <v>5753084</v>
          </cell>
          <cell r="K153">
            <v>98000</v>
          </cell>
          <cell r="N153">
            <v>2188</v>
          </cell>
          <cell r="P153">
            <v>639</v>
          </cell>
        </row>
        <row r="154">
          <cell r="F154">
            <v>41512</v>
          </cell>
          <cell r="G154">
            <v>6505472</v>
          </cell>
          <cell r="K154">
            <v>95000</v>
          </cell>
          <cell r="N154">
            <v>2558</v>
          </cell>
          <cell r="P154">
            <v>947</v>
          </cell>
        </row>
        <row r="155">
          <cell r="F155">
            <v>41761</v>
          </cell>
          <cell r="G155">
            <v>7856388.8433479639</v>
          </cell>
          <cell r="K155">
            <v>95000</v>
          </cell>
          <cell r="N155">
            <v>2561</v>
          </cell>
          <cell r="P155">
            <v>947.7</v>
          </cell>
        </row>
        <row r="156">
          <cell r="F156">
            <v>42204</v>
          </cell>
          <cell r="G156">
            <v>8131101.52504919</v>
          </cell>
          <cell r="K156">
            <v>94450</v>
          </cell>
          <cell r="N156">
            <v>2576.6999999999998</v>
          </cell>
          <cell r="P156">
            <v>957.8</v>
          </cell>
        </row>
        <row r="157">
          <cell r="F157">
            <v>42483</v>
          </cell>
          <cell r="G157">
            <v>7658477.5565309525</v>
          </cell>
          <cell r="K157">
            <v>94330</v>
          </cell>
          <cell r="N157">
            <v>2580.46</v>
          </cell>
          <cell r="P157">
            <v>952.7</v>
          </cell>
        </row>
        <row r="158">
          <cell r="F158">
            <v>42595</v>
          </cell>
          <cell r="G158">
            <v>9468233.5026487075</v>
          </cell>
          <cell r="K158">
            <v>103600</v>
          </cell>
          <cell r="N158">
            <v>2583.46</v>
          </cell>
          <cell r="P158">
            <v>952.7</v>
          </cell>
        </row>
        <row r="159">
          <cell r="G159">
            <v>8382183.0083245067</v>
          </cell>
        </row>
        <row r="160">
          <cell r="G160">
            <v>10034397.63160285</v>
          </cell>
        </row>
        <row r="220">
          <cell r="F220">
            <v>23572</v>
          </cell>
        </row>
        <row r="221">
          <cell r="F221">
            <v>23887</v>
          </cell>
          <cell r="G221">
            <v>4640221</v>
          </cell>
          <cell r="K221">
            <v>94074</v>
          </cell>
          <cell r="N221">
            <v>2403</v>
          </cell>
          <cell r="P221">
            <v>451</v>
          </cell>
        </row>
        <row r="222">
          <cell r="F222">
            <v>23972</v>
          </cell>
          <cell r="G222">
            <v>5899652</v>
          </cell>
          <cell r="K222">
            <v>94147</v>
          </cell>
          <cell r="N222">
            <v>2408</v>
          </cell>
          <cell r="P222">
            <v>442</v>
          </cell>
        </row>
        <row r="223">
          <cell r="F223">
            <v>24220</v>
          </cell>
          <cell r="G223">
            <v>8572933.7100000009</v>
          </cell>
          <cell r="K223">
            <v>96052.319999999992</v>
          </cell>
          <cell r="N223">
            <v>2342.4</v>
          </cell>
          <cell r="P223">
            <v>424.4</v>
          </cell>
        </row>
        <row r="224">
          <cell r="F224">
            <v>24254.064461325499</v>
          </cell>
          <cell r="G224">
            <v>9295540.230095759</v>
          </cell>
          <cell r="K224">
            <v>84780.4</v>
          </cell>
          <cell r="N224">
            <v>2341.4</v>
          </cell>
          <cell r="P224">
            <v>433.1</v>
          </cell>
        </row>
        <row r="225">
          <cell r="F225">
            <v>24504</v>
          </cell>
          <cell r="G225">
            <v>9113243.7633022629</v>
          </cell>
          <cell r="K225">
            <v>88068.44</v>
          </cell>
          <cell r="N225">
            <v>2359.1</v>
          </cell>
          <cell r="P225">
            <v>438.1</v>
          </cell>
        </row>
        <row r="226">
          <cell r="F226">
            <v>24593</v>
          </cell>
          <cell r="G226">
            <v>9068745.7960580513</v>
          </cell>
          <cell r="K226">
            <v>90000</v>
          </cell>
          <cell r="N226">
            <v>2363.8130000000001</v>
          </cell>
          <cell r="P226">
            <v>444.95100000000002</v>
          </cell>
        </row>
        <row r="227">
          <cell r="F227">
            <v>24636</v>
          </cell>
          <cell r="G227">
            <v>9200740.1223155297</v>
          </cell>
          <cell r="K227">
            <v>92823.14</v>
          </cell>
          <cell r="N227">
            <v>2369.7049999999999</v>
          </cell>
          <cell r="P227">
            <v>450.94499999999999</v>
          </cell>
        </row>
        <row r="228">
          <cell r="G228">
            <v>9281453.7458524629</v>
          </cell>
        </row>
        <row r="229">
          <cell r="G229">
            <v>10261936.921596045</v>
          </cell>
        </row>
        <row r="243">
          <cell r="F243">
            <v>30283</v>
          </cell>
        </row>
        <row r="244">
          <cell r="F244">
            <v>30671</v>
          </cell>
          <cell r="G244">
            <v>5739892</v>
          </cell>
          <cell r="K244">
            <v>79567</v>
          </cell>
          <cell r="N244">
            <v>4420</v>
          </cell>
          <cell r="P244">
            <v>756</v>
          </cell>
        </row>
        <row r="245">
          <cell r="F245">
            <v>31666</v>
          </cell>
          <cell r="G245">
            <v>7114785</v>
          </cell>
          <cell r="K245">
            <v>84740</v>
          </cell>
          <cell r="N245">
            <v>4477</v>
          </cell>
          <cell r="P245">
            <v>785</v>
          </cell>
        </row>
        <row r="246">
          <cell r="F246">
            <v>32545</v>
          </cell>
          <cell r="G246">
            <v>7009856.5539999995</v>
          </cell>
          <cell r="K246">
            <v>86000</v>
          </cell>
          <cell r="N246">
            <v>4325.7079999999996</v>
          </cell>
          <cell r="P246">
            <v>629.70799999999997</v>
          </cell>
        </row>
        <row r="247">
          <cell r="F247">
            <v>33248</v>
          </cell>
          <cell r="G247">
            <v>8836410.2135752533</v>
          </cell>
          <cell r="K247">
            <v>89000</v>
          </cell>
          <cell r="N247">
            <v>4403</v>
          </cell>
          <cell r="P247">
            <v>663</v>
          </cell>
        </row>
        <row r="248">
          <cell r="F248">
            <v>33793</v>
          </cell>
          <cell r="G248">
            <v>8762320.6925000008</v>
          </cell>
          <cell r="K248">
            <v>89000</v>
          </cell>
          <cell r="N248">
            <v>4518</v>
          </cell>
          <cell r="P248">
            <v>707</v>
          </cell>
        </row>
        <row r="249">
          <cell r="F249">
            <v>34247</v>
          </cell>
          <cell r="G249">
            <v>9986279.580663193</v>
          </cell>
          <cell r="K249">
            <v>92000</v>
          </cell>
          <cell r="N249">
            <v>4583</v>
          </cell>
          <cell r="P249">
            <v>747</v>
          </cell>
        </row>
        <row r="250">
          <cell r="F250">
            <v>34746</v>
          </cell>
          <cell r="G250">
            <v>9660285.6879320759</v>
          </cell>
          <cell r="K250">
            <v>100000</v>
          </cell>
          <cell r="N250">
            <v>4660</v>
          </cell>
          <cell r="P250">
            <v>801</v>
          </cell>
        </row>
        <row r="251">
          <cell r="G251">
            <v>10555145.838500958</v>
          </cell>
        </row>
        <row r="252">
          <cell r="G252">
            <v>11786161.012651356</v>
          </cell>
        </row>
        <row r="266">
          <cell r="F266">
            <v>22547</v>
          </cell>
        </row>
        <row r="267">
          <cell r="F267">
            <v>22932</v>
          </cell>
          <cell r="G267">
            <v>7249725</v>
          </cell>
          <cell r="K267">
            <v>58226</v>
          </cell>
          <cell r="N267">
            <v>3213</v>
          </cell>
          <cell r="P267">
            <v>339</v>
          </cell>
        </row>
        <row r="268">
          <cell r="F268">
            <v>23135</v>
          </cell>
          <cell r="G268">
            <v>8044094</v>
          </cell>
          <cell r="K268">
            <v>63186</v>
          </cell>
          <cell r="N268">
            <v>3264</v>
          </cell>
          <cell r="P268">
            <v>373</v>
          </cell>
        </row>
        <row r="269">
          <cell r="F269">
            <v>23584</v>
          </cell>
          <cell r="G269">
            <v>8318471.5641713273</v>
          </cell>
          <cell r="K269">
            <v>70000</v>
          </cell>
          <cell r="N269">
            <v>3463.654</v>
          </cell>
          <cell r="P269">
            <v>459.9</v>
          </cell>
        </row>
        <row r="270">
          <cell r="F270">
            <v>23870</v>
          </cell>
          <cell r="G270">
            <v>8554999.073725123</v>
          </cell>
          <cell r="K270">
            <v>70000</v>
          </cell>
          <cell r="N270">
            <v>3320</v>
          </cell>
          <cell r="P270">
            <v>439</v>
          </cell>
        </row>
        <row r="271">
          <cell r="F271">
            <v>24073</v>
          </cell>
          <cell r="G271">
            <v>9545584.9543287419</v>
          </cell>
          <cell r="K271">
            <v>72000</v>
          </cell>
          <cell r="N271">
            <v>3334</v>
          </cell>
          <cell r="P271">
            <v>454</v>
          </cell>
        </row>
        <row r="272">
          <cell r="F272">
            <v>24270</v>
          </cell>
          <cell r="G272">
            <v>10169638.143494733</v>
          </cell>
          <cell r="K272">
            <v>70247</v>
          </cell>
          <cell r="N272">
            <v>3349</v>
          </cell>
          <cell r="P272">
            <v>472</v>
          </cell>
        </row>
        <row r="273">
          <cell r="F273">
            <v>24359</v>
          </cell>
          <cell r="G273">
            <v>8301994.5094994316</v>
          </cell>
          <cell r="K273">
            <v>73000</v>
          </cell>
          <cell r="N273">
            <v>3369</v>
          </cell>
          <cell r="P273">
            <v>495</v>
          </cell>
        </row>
        <row r="274">
          <cell r="G274">
            <v>7063164.1026864471</v>
          </cell>
        </row>
        <row r="275">
          <cell r="G275">
            <v>7584327.2393457033</v>
          </cell>
        </row>
        <row r="312">
          <cell r="F312">
            <v>33830</v>
          </cell>
        </row>
        <row r="313">
          <cell r="F313">
            <v>34400</v>
          </cell>
          <cell r="G313">
            <v>5990737.7199999997</v>
          </cell>
          <cell r="K313">
            <v>138746</v>
          </cell>
          <cell r="N313">
            <v>3265.09</v>
          </cell>
          <cell r="P313">
            <v>664.59</v>
          </cell>
        </row>
        <row r="314">
          <cell r="F314">
            <v>34910</v>
          </cell>
          <cell r="G314">
            <v>6249194.6499999994</v>
          </cell>
          <cell r="K314">
            <v>140017</v>
          </cell>
          <cell r="N314">
            <v>3299.45</v>
          </cell>
          <cell r="P314">
            <v>712.71</v>
          </cell>
        </row>
        <row r="315">
          <cell r="F315">
            <v>35416</v>
          </cell>
          <cell r="G315">
            <v>6559738.2000000002</v>
          </cell>
          <cell r="K315">
            <v>147952</v>
          </cell>
          <cell r="N315">
            <v>3312.2</v>
          </cell>
          <cell r="P315">
            <v>739.6</v>
          </cell>
        </row>
        <row r="316">
          <cell r="F316">
            <v>35829</v>
          </cell>
          <cell r="G316">
            <v>8489178.535639951</v>
          </cell>
          <cell r="K316">
            <v>148400</v>
          </cell>
          <cell r="N316">
            <v>3330.1</v>
          </cell>
          <cell r="P316">
            <v>762</v>
          </cell>
        </row>
        <row r="317">
          <cell r="F317">
            <v>36219</v>
          </cell>
          <cell r="G317">
            <v>7447423.8256526003</v>
          </cell>
          <cell r="K317">
            <v>146197</v>
          </cell>
          <cell r="N317">
            <v>3347.72</v>
          </cell>
          <cell r="P317">
            <v>784.52</v>
          </cell>
        </row>
        <row r="318">
          <cell r="F318">
            <v>36679</v>
          </cell>
          <cell r="G318">
            <v>8021962.2849904317</v>
          </cell>
          <cell r="K318">
            <v>146075.94</v>
          </cell>
          <cell r="N318">
            <v>3356</v>
          </cell>
          <cell r="P318">
            <v>807</v>
          </cell>
        </row>
        <row r="319">
          <cell r="F319">
            <v>37089</v>
          </cell>
          <cell r="G319">
            <v>8578855.820422098</v>
          </cell>
          <cell r="K319">
            <v>153261</v>
          </cell>
          <cell r="N319">
            <v>3367.2</v>
          </cell>
          <cell r="P319">
            <v>818.3</v>
          </cell>
        </row>
        <row r="320">
          <cell r="G320">
            <v>8449271.590433985</v>
          </cell>
        </row>
        <row r="321">
          <cell r="G321">
            <v>8563545.7583435196</v>
          </cell>
        </row>
        <row r="358">
          <cell r="F358">
            <v>49820</v>
          </cell>
        </row>
        <row r="359">
          <cell r="F359">
            <v>50753</v>
          </cell>
          <cell r="G359">
            <v>10294688</v>
          </cell>
          <cell r="K359">
            <v>143800</v>
          </cell>
          <cell r="N359">
            <v>5586</v>
          </cell>
          <cell r="P359">
            <v>640</v>
          </cell>
        </row>
        <row r="360">
          <cell r="F360">
            <v>51669</v>
          </cell>
          <cell r="G360">
            <v>11620809</v>
          </cell>
          <cell r="K360">
            <v>144014</v>
          </cell>
          <cell r="N360">
            <v>5646</v>
          </cell>
          <cell r="P360">
            <v>751</v>
          </cell>
        </row>
        <row r="361">
          <cell r="F361">
            <v>52876</v>
          </cell>
          <cell r="G361">
            <v>14530500</v>
          </cell>
          <cell r="K361">
            <v>154000</v>
          </cell>
          <cell r="N361">
            <v>5756</v>
          </cell>
          <cell r="P361">
            <v>758</v>
          </cell>
        </row>
        <row r="362">
          <cell r="F362">
            <v>53331</v>
          </cell>
          <cell r="G362">
            <v>15949704.737529201</v>
          </cell>
          <cell r="K362">
            <v>151000</v>
          </cell>
          <cell r="N362">
            <v>5627</v>
          </cell>
          <cell r="P362">
            <v>733</v>
          </cell>
        </row>
        <row r="363">
          <cell r="F363">
            <v>53706</v>
          </cell>
          <cell r="G363">
            <v>15515906.31441528</v>
          </cell>
          <cell r="K363">
            <v>150000</v>
          </cell>
          <cell r="N363">
            <v>5829</v>
          </cell>
          <cell r="P363">
            <v>825</v>
          </cell>
        </row>
        <row r="364">
          <cell r="F364">
            <v>54416</v>
          </cell>
          <cell r="G364">
            <v>14769844.910402637</v>
          </cell>
          <cell r="K364">
            <v>153000</v>
          </cell>
          <cell r="N364">
            <v>5826</v>
          </cell>
          <cell r="P364">
            <v>856</v>
          </cell>
        </row>
        <row r="365">
          <cell r="F365">
            <v>54933</v>
          </cell>
          <cell r="G365">
            <v>14818034.973203242</v>
          </cell>
          <cell r="K365">
            <v>172000</v>
          </cell>
          <cell r="N365">
            <v>5778</v>
          </cell>
          <cell r="P365">
            <v>879</v>
          </cell>
        </row>
        <row r="366">
          <cell r="G366">
            <v>15251705.960018754</v>
          </cell>
        </row>
        <row r="367">
          <cell r="G367">
            <v>16123067.578070119</v>
          </cell>
        </row>
        <row r="427">
          <cell r="F427">
            <v>298665</v>
          </cell>
        </row>
        <row r="428">
          <cell r="F428">
            <v>304471</v>
          </cell>
          <cell r="G428">
            <v>54274051.82</v>
          </cell>
          <cell r="K428">
            <v>677256</v>
          </cell>
          <cell r="N428">
            <v>27090</v>
          </cell>
          <cell r="P428">
            <v>5164</v>
          </cell>
        </row>
        <row r="429">
          <cell r="F429">
            <v>306126</v>
          </cell>
          <cell r="G429">
            <v>49404273.600000001</v>
          </cell>
          <cell r="K429">
            <v>753034</v>
          </cell>
          <cell r="N429">
            <v>27255</v>
          </cell>
          <cell r="P429">
            <v>5300</v>
          </cell>
        </row>
        <row r="430">
          <cell r="F430">
            <v>305071</v>
          </cell>
          <cell r="G430">
            <v>54913864.303880721</v>
          </cell>
          <cell r="K430">
            <v>776000</v>
          </cell>
          <cell r="N430">
            <v>27360.5557600018</v>
          </cell>
          <cell r="P430">
            <v>5128.3259299998299</v>
          </cell>
        </row>
        <row r="431">
          <cell r="F431">
            <v>315379</v>
          </cell>
          <cell r="G431">
            <v>55442670.124900505</v>
          </cell>
          <cell r="K431">
            <v>764000</v>
          </cell>
          <cell r="N431">
            <v>29274</v>
          </cell>
          <cell r="P431">
            <v>6185</v>
          </cell>
        </row>
        <row r="432">
          <cell r="F432">
            <v>317489</v>
          </cell>
          <cell r="G432">
            <v>54721363.034912042</v>
          </cell>
          <cell r="K432">
            <v>812866</v>
          </cell>
          <cell r="N432">
            <v>30035.4826390128</v>
          </cell>
          <cell r="P432">
            <v>7420.0583338598099</v>
          </cell>
        </row>
        <row r="433">
          <cell r="F433">
            <v>319181</v>
          </cell>
          <cell r="G433">
            <v>54564681.122362465</v>
          </cell>
          <cell r="K433">
            <v>801058</v>
          </cell>
          <cell r="N433">
            <v>29920</v>
          </cell>
          <cell r="P433">
            <v>7598</v>
          </cell>
        </row>
        <row r="434">
          <cell r="F434">
            <v>320887</v>
          </cell>
          <cell r="G434">
            <v>63406709.894653216</v>
          </cell>
          <cell r="K434">
            <v>855030</v>
          </cell>
          <cell r="N434">
            <v>30841.2225764385</v>
          </cell>
          <cell r="P434">
            <v>7657.2998936632202</v>
          </cell>
        </row>
        <row r="435">
          <cell r="G435">
            <v>62270763.118484549</v>
          </cell>
        </row>
        <row r="436">
          <cell r="G436">
            <v>64616878.364715233</v>
          </cell>
        </row>
        <row r="473">
          <cell r="F473">
            <v>25535</v>
          </cell>
        </row>
        <row r="474">
          <cell r="F474">
            <v>26181</v>
          </cell>
          <cell r="G474">
            <v>4846599.4000000004</v>
          </cell>
          <cell r="K474">
            <v>55700</v>
          </cell>
          <cell r="N474">
            <v>4409.1000000000004</v>
          </cell>
          <cell r="P474">
            <v>247.5</v>
          </cell>
        </row>
        <row r="475">
          <cell r="F475">
            <v>23359</v>
          </cell>
          <cell r="G475">
            <v>5020517.5999999996</v>
          </cell>
          <cell r="K475">
            <v>58440</v>
          </cell>
          <cell r="N475">
            <v>4380.8</v>
          </cell>
          <cell r="P475">
            <v>242</v>
          </cell>
        </row>
        <row r="476">
          <cell r="F476">
            <v>23228</v>
          </cell>
          <cell r="G476">
            <v>5932000</v>
          </cell>
          <cell r="K476">
            <v>65000</v>
          </cell>
          <cell r="N476">
            <v>4359.96</v>
          </cell>
          <cell r="P476">
            <v>209.94</v>
          </cell>
        </row>
        <row r="477">
          <cell r="F477">
            <v>24185</v>
          </cell>
          <cell r="G477">
            <v>7076151.1207519881</v>
          </cell>
          <cell r="K477">
            <v>61000</v>
          </cell>
          <cell r="N477">
            <v>4416.79</v>
          </cell>
          <cell r="P477">
            <v>272.79000000000002</v>
          </cell>
        </row>
        <row r="478">
          <cell r="F478">
            <v>24435</v>
          </cell>
          <cell r="G478">
            <v>7365673.8973246561</v>
          </cell>
          <cell r="K478">
            <v>63500</v>
          </cell>
          <cell r="N478">
            <v>4490.8999999999996</v>
          </cell>
          <cell r="P478">
            <v>284.89999999999998</v>
          </cell>
        </row>
        <row r="479">
          <cell r="F479">
            <v>24474</v>
          </cell>
          <cell r="G479">
            <v>7664116.2540672449</v>
          </cell>
          <cell r="K479">
            <v>63000</v>
          </cell>
          <cell r="N479">
            <v>5001</v>
          </cell>
          <cell r="P479">
            <v>294</v>
          </cell>
        </row>
        <row r="480">
          <cell r="F480">
            <v>24315</v>
          </cell>
          <cell r="G480">
            <v>9298874.2915922012</v>
          </cell>
          <cell r="K480">
            <v>68000</v>
          </cell>
          <cell r="N480">
            <v>4417.7</v>
          </cell>
          <cell r="P480">
            <v>295.7</v>
          </cell>
        </row>
        <row r="481">
          <cell r="G481">
            <v>10440602.707195945</v>
          </cell>
        </row>
        <row r="482">
          <cell r="G482">
            <v>11466174.258857554</v>
          </cell>
        </row>
        <row r="496">
          <cell r="F496">
            <v>31967</v>
          </cell>
        </row>
        <row r="497">
          <cell r="F497">
            <v>32243</v>
          </cell>
          <cell r="G497">
            <v>8032140</v>
          </cell>
          <cell r="K497">
            <v>114010</v>
          </cell>
          <cell r="N497">
            <v>8541</v>
          </cell>
          <cell r="P497">
            <v>257</v>
          </cell>
        </row>
        <row r="498">
          <cell r="F498">
            <v>32568</v>
          </cell>
          <cell r="G498">
            <v>9319228</v>
          </cell>
          <cell r="K498">
            <v>113916</v>
          </cell>
          <cell r="N498">
            <v>8545</v>
          </cell>
          <cell r="P498">
            <v>248</v>
          </cell>
        </row>
        <row r="499">
          <cell r="F499">
            <v>32998</v>
          </cell>
          <cell r="G499">
            <v>9477882.5262399986</v>
          </cell>
          <cell r="K499">
            <v>121533</v>
          </cell>
          <cell r="N499">
            <v>8529.3621199999998</v>
          </cell>
          <cell r="P499">
            <v>275.82600000000002</v>
          </cell>
        </row>
        <row r="500">
          <cell r="F500">
            <v>33692</v>
          </cell>
          <cell r="G500">
            <v>11134987.347779185</v>
          </cell>
          <cell r="K500">
            <v>128042.20000000001</v>
          </cell>
          <cell r="N500">
            <v>8580.2140450000006</v>
          </cell>
          <cell r="P500">
            <v>298.12923999999998</v>
          </cell>
        </row>
        <row r="501">
          <cell r="F501">
            <v>34050</v>
          </cell>
          <cell r="G501">
            <v>11957230.983847488</v>
          </cell>
          <cell r="K501">
            <v>130252.00000000001</v>
          </cell>
          <cell r="N501">
            <v>8603.1899599999997</v>
          </cell>
          <cell r="P501">
            <v>313.93041499999998</v>
          </cell>
        </row>
        <row r="502">
          <cell r="F502">
            <v>34431</v>
          </cell>
          <cell r="G502">
            <v>11901503.473986082</v>
          </cell>
          <cell r="K502">
            <v>134946</v>
          </cell>
          <cell r="N502">
            <v>8630.2946400000001</v>
          </cell>
          <cell r="P502">
            <v>323.93194999999997</v>
          </cell>
        </row>
        <row r="503">
          <cell r="F503">
            <v>34559</v>
          </cell>
          <cell r="G503">
            <v>12865694.540833438</v>
          </cell>
          <cell r="K503">
            <v>136906</v>
          </cell>
          <cell r="N503">
            <v>8664.5160799999994</v>
          </cell>
          <cell r="P503">
            <v>333.02981999999997</v>
          </cell>
        </row>
        <row r="504">
          <cell r="G504">
            <v>14157628.556337781</v>
          </cell>
        </row>
        <row r="505">
          <cell r="G505">
            <v>14192141.759803645</v>
          </cell>
        </row>
        <row r="519">
          <cell r="F519">
            <v>27656</v>
          </cell>
        </row>
        <row r="520">
          <cell r="F520">
            <v>28486</v>
          </cell>
          <cell r="G520">
            <v>8171666</v>
          </cell>
          <cell r="K520">
            <v>59000</v>
          </cell>
          <cell r="N520">
            <v>3987</v>
          </cell>
          <cell r="P520">
            <v>720</v>
          </cell>
        </row>
        <row r="521">
          <cell r="F521">
            <v>29073</v>
          </cell>
          <cell r="G521">
            <v>8002635</v>
          </cell>
          <cell r="K521">
            <v>64000</v>
          </cell>
          <cell r="N521">
            <v>4060</v>
          </cell>
          <cell r="P521">
            <v>742</v>
          </cell>
        </row>
        <row r="522">
          <cell r="F522">
            <v>29973</v>
          </cell>
          <cell r="G522">
            <v>8359118.4210000001</v>
          </cell>
          <cell r="K522">
            <v>62764</v>
          </cell>
          <cell r="N522">
            <v>4095.8130000000001</v>
          </cell>
          <cell r="P522">
            <v>790.81299999999999</v>
          </cell>
        </row>
        <row r="523">
          <cell r="F523">
            <v>30453</v>
          </cell>
          <cell r="G523">
            <v>9568609.1848990284</v>
          </cell>
          <cell r="K523">
            <v>63288.200000000004</v>
          </cell>
          <cell r="N523">
            <v>3837.2150000000001</v>
          </cell>
          <cell r="P523">
            <v>781.46900000000005</v>
          </cell>
        </row>
        <row r="524">
          <cell r="F524">
            <v>30824</v>
          </cell>
          <cell r="G524">
            <v>11035273.844239417</v>
          </cell>
          <cell r="K524">
            <v>62678</v>
          </cell>
          <cell r="N524">
            <v>3846.14</v>
          </cell>
          <cell r="P524">
            <v>787.14</v>
          </cell>
        </row>
        <row r="525">
          <cell r="F525">
            <v>31002</v>
          </cell>
          <cell r="G525">
            <v>12225428.225022554</v>
          </cell>
          <cell r="K525">
            <v>70000</v>
          </cell>
          <cell r="N525">
            <v>3849</v>
          </cell>
          <cell r="P525">
            <v>798</v>
          </cell>
        </row>
        <row r="526">
          <cell r="F526">
            <v>31217</v>
          </cell>
          <cell r="G526">
            <v>14281813.89663141</v>
          </cell>
          <cell r="K526">
            <v>64430.000000000007</v>
          </cell>
          <cell r="N526">
            <v>3857.9</v>
          </cell>
          <cell r="P526">
            <v>803.18</v>
          </cell>
        </row>
        <row r="527">
          <cell r="G527">
            <v>12339663.878058538</v>
          </cell>
        </row>
        <row r="528">
          <cell r="G528">
            <v>12198672.416043188</v>
          </cell>
        </row>
        <row r="542">
          <cell r="F542">
            <v>103347</v>
          </cell>
        </row>
        <row r="543">
          <cell r="F543">
            <v>104578</v>
          </cell>
          <cell r="G543">
            <v>20433078</v>
          </cell>
          <cell r="K543">
            <v>307724</v>
          </cell>
          <cell r="N543">
            <v>9318</v>
          </cell>
          <cell r="P543">
            <v>3461</v>
          </cell>
        </row>
        <row r="544">
          <cell r="F544">
            <v>105819</v>
          </cell>
          <cell r="G544">
            <v>20268519</v>
          </cell>
          <cell r="K544">
            <v>318882</v>
          </cell>
          <cell r="N544">
            <v>9376</v>
          </cell>
          <cell r="P544">
            <v>3535</v>
          </cell>
        </row>
        <row r="545">
          <cell r="F545">
            <v>108140</v>
          </cell>
          <cell r="G545">
            <v>21860325.39492774</v>
          </cell>
          <cell r="K545">
            <v>332558.11771138501</v>
          </cell>
          <cell r="N545">
            <v>8938.9259999999995</v>
          </cell>
          <cell r="P545">
            <v>3380.643</v>
          </cell>
        </row>
        <row r="546">
          <cell r="F546">
            <v>107484</v>
          </cell>
          <cell r="G546">
            <v>21457473.383315805</v>
          </cell>
          <cell r="K546">
            <v>341933</v>
          </cell>
          <cell r="N546">
            <v>9510.3349999999991</v>
          </cell>
          <cell r="P546">
            <v>3663.942</v>
          </cell>
        </row>
        <row r="547">
          <cell r="F547">
            <v>108212</v>
          </cell>
          <cell r="G547">
            <v>25773360.428189144</v>
          </cell>
          <cell r="K547">
            <v>318700</v>
          </cell>
          <cell r="N547">
            <v>9571.09</v>
          </cell>
          <cell r="P547">
            <v>3700.46</v>
          </cell>
        </row>
        <row r="548">
          <cell r="F548">
            <v>108978</v>
          </cell>
          <cell r="G548">
            <v>29511793.228914239</v>
          </cell>
          <cell r="K548">
            <v>301160</v>
          </cell>
          <cell r="N548">
            <v>7981.866</v>
          </cell>
          <cell r="P548">
            <v>2489.2750000000001</v>
          </cell>
        </row>
        <row r="549">
          <cell r="F549">
            <v>109171</v>
          </cell>
          <cell r="G549">
            <v>29981193.943708494</v>
          </cell>
          <cell r="K549">
            <v>298000</v>
          </cell>
          <cell r="N549">
            <v>8007.09</v>
          </cell>
          <cell r="P549">
            <v>2510.9479999999999</v>
          </cell>
        </row>
        <row r="550">
          <cell r="G550">
            <v>32224016.749306832</v>
          </cell>
        </row>
        <row r="551">
          <cell r="G551">
            <v>34853614.439961232</v>
          </cell>
        </row>
        <row r="588">
          <cell r="F588">
            <v>651000</v>
          </cell>
        </row>
        <row r="589">
          <cell r="F589">
            <v>660347</v>
          </cell>
          <cell r="G589">
            <v>116075492.31819999</v>
          </cell>
          <cell r="K589">
            <v>2088862</v>
          </cell>
          <cell r="N589">
            <v>21606.42</v>
          </cell>
          <cell r="P589">
            <v>11253.43</v>
          </cell>
        </row>
        <row r="590">
          <cell r="F590">
            <v>671678</v>
          </cell>
          <cell r="G590">
            <v>125568792.04800001</v>
          </cell>
          <cell r="K590">
            <v>2241800</v>
          </cell>
          <cell r="N590">
            <v>21743.96</v>
          </cell>
          <cell r="P590">
            <v>11376.49</v>
          </cell>
        </row>
        <row r="591">
          <cell r="F591">
            <v>679611.99966209405</v>
          </cell>
          <cell r="G591">
            <v>135839755.97131127</v>
          </cell>
          <cell r="K591">
            <v>2221760</v>
          </cell>
          <cell r="N591">
            <v>22010.28</v>
          </cell>
          <cell r="P591">
            <v>11669.14</v>
          </cell>
        </row>
        <row r="592">
          <cell r="F592">
            <v>522147</v>
          </cell>
          <cell r="G592">
            <v>110087672.27227509</v>
          </cell>
          <cell r="K592">
            <v>1711000</v>
          </cell>
          <cell r="N592">
            <v>17537</v>
          </cell>
          <cell r="P592">
            <v>9005</v>
          </cell>
        </row>
        <row r="593">
          <cell r="F593">
            <v>527096</v>
          </cell>
          <cell r="G593">
            <v>106065440.96265097</v>
          </cell>
          <cell r="K593">
            <v>1775103.56722074</v>
          </cell>
          <cell r="N593">
            <v>17631.06914099996</v>
          </cell>
          <cell r="P593">
            <v>9126.0691409999599</v>
          </cell>
        </row>
        <row r="594">
          <cell r="F594">
            <v>531185</v>
          </cell>
          <cell r="G594">
            <v>108440005.59298082</v>
          </cell>
          <cell r="K594">
            <v>1722000</v>
          </cell>
          <cell r="N594">
            <v>17719.783825999999</v>
          </cell>
          <cell r="P594">
            <v>9258.7838260000008</v>
          </cell>
        </row>
        <row r="595">
          <cell r="F595">
            <v>534713</v>
          </cell>
          <cell r="G595">
            <v>117190292.56480426</v>
          </cell>
          <cell r="K595">
            <v>1940954</v>
          </cell>
          <cell r="N595">
            <v>17757.131076999882</v>
          </cell>
          <cell r="P595">
            <v>9312.2591299999604</v>
          </cell>
        </row>
        <row r="596">
          <cell r="G596">
            <v>111937766.57216834</v>
          </cell>
        </row>
        <row r="597">
          <cell r="G597">
            <v>125582800.48626663</v>
          </cell>
        </row>
        <row r="611">
          <cell r="F611">
            <v>21107</v>
          </cell>
        </row>
        <row r="612">
          <cell r="F612">
            <v>21538</v>
          </cell>
          <cell r="G612">
            <v>4078320</v>
          </cell>
          <cell r="K612">
            <v>58732</v>
          </cell>
          <cell r="N612">
            <v>1955</v>
          </cell>
          <cell r="P612">
            <v>232</v>
          </cell>
        </row>
        <row r="613">
          <cell r="F613">
            <v>22006</v>
          </cell>
          <cell r="G613">
            <v>4121924</v>
          </cell>
          <cell r="K613">
            <v>58142</v>
          </cell>
          <cell r="N613">
            <v>1981</v>
          </cell>
          <cell r="P613">
            <v>254</v>
          </cell>
        </row>
        <row r="614">
          <cell r="F614">
            <v>22702</v>
          </cell>
          <cell r="G614">
            <v>3946579.1</v>
          </cell>
          <cell r="K614">
            <v>60769.060000000005</v>
          </cell>
          <cell r="N614">
            <v>2009.37941</v>
          </cell>
          <cell r="P614">
            <v>285.28136000000001</v>
          </cell>
        </row>
        <row r="615">
          <cell r="F615">
            <v>22897</v>
          </cell>
          <cell r="G615">
            <v>4650263.63</v>
          </cell>
          <cell r="K615">
            <v>61135.840000000004</v>
          </cell>
          <cell r="N615">
            <v>2057.8510099999999</v>
          </cell>
          <cell r="P615">
            <v>322.75601999999998</v>
          </cell>
        </row>
        <row r="616">
          <cell r="F616">
            <v>23176</v>
          </cell>
          <cell r="G616">
            <v>5054572.7300000004</v>
          </cell>
          <cell r="K616">
            <v>67386.5</v>
          </cell>
          <cell r="N616">
            <v>2072.49575</v>
          </cell>
          <cell r="P616">
            <v>340.08667000000003</v>
          </cell>
        </row>
        <row r="617">
          <cell r="F617">
            <v>23510</v>
          </cell>
          <cell r="G617">
            <v>5418029.5599999996</v>
          </cell>
          <cell r="K617">
            <v>71665.78</v>
          </cell>
          <cell r="N617">
            <v>2084.11267</v>
          </cell>
          <cell r="P617">
            <v>348.74381</v>
          </cell>
        </row>
        <row r="618">
          <cell r="F618">
            <v>23759</v>
          </cell>
          <cell r="G618">
            <v>4677365.01</v>
          </cell>
          <cell r="K618">
            <v>69912</v>
          </cell>
          <cell r="N618">
            <v>2087.49197</v>
          </cell>
          <cell r="P618">
            <v>352.35500000000002</v>
          </cell>
        </row>
        <row r="619">
          <cell r="G619">
            <v>4753000</v>
          </cell>
        </row>
        <row r="620">
          <cell r="G620">
            <v>4548000</v>
          </cell>
        </row>
        <row r="634">
          <cell r="F634">
            <v>77480</v>
          </cell>
        </row>
        <row r="635">
          <cell r="F635">
            <v>79195</v>
          </cell>
          <cell r="G635">
            <v>11301985.420000002</v>
          </cell>
          <cell r="K635">
            <v>223000</v>
          </cell>
          <cell r="N635">
            <v>4970.96</v>
          </cell>
          <cell r="P635">
            <v>1567.4</v>
          </cell>
        </row>
        <row r="636">
          <cell r="F636">
            <v>81461</v>
          </cell>
          <cell r="G636">
            <v>13363869.76</v>
          </cell>
          <cell r="K636">
            <v>231000</v>
          </cell>
          <cell r="N636">
            <v>4995.82</v>
          </cell>
          <cell r="P636">
            <v>1607.22</v>
          </cell>
        </row>
        <row r="637">
          <cell r="F637">
            <v>81312</v>
          </cell>
          <cell r="G637">
            <v>14966064.173081778</v>
          </cell>
          <cell r="K637">
            <v>236552.21</v>
          </cell>
          <cell r="N637">
            <v>5052.45</v>
          </cell>
          <cell r="P637">
            <v>1680.93</v>
          </cell>
        </row>
        <row r="638">
          <cell r="F638">
            <v>83715</v>
          </cell>
          <cell r="G638">
            <v>16096287.542936174</v>
          </cell>
          <cell r="K638">
            <v>214267.86000000002</v>
          </cell>
          <cell r="N638">
            <v>5168.3</v>
          </cell>
          <cell r="P638">
            <v>1799.43</v>
          </cell>
        </row>
        <row r="639">
          <cell r="F639">
            <v>84276</v>
          </cell>
          <cell r="G639">
            <v>16929634.370029274</v>
          </cell>
          <cell r="K639">
            <v>263088.98</v>
          </cell>
          <cell r="N639">
            <v>5043</v>
          </cell>
          <cell r="P639">
            <v>1802</v>
          </cell>
        </row>
        <row r="640">
          <cell r="F640">
            <v>83614</v>
          </cell>
          <cell r="G640">
            <v>17772211.296816271</v>
          </cell>
          <cell r="K640">
            <v>248945.58000000002</v>
          </cell>
          <cell r="N640">
            <v>5053.31538</v>
          </cell>
          <cell r="P640">
            <v>1891.8894299999999</v>
          </cell>
        </row>
        <row r="641">
          <cell r="F641">
            <v>84291</v>
          </cell>
          <cell r="G641">
            <v>18520744.166246269</v>
          </cell>
          <cell r="K641">
            <v>251126.62</v>
          </cell>
          <cell r="N641">
            <v>5226</v>
          </cell>
          <cell r="P641">
            <v>1986</v>
          </cell>
        </row>
        <row r="642">
          <cell r="G642">
            <v>18419232.619999971</v>
          </cell>
        </row>
        <row r="643">
          <cell r="G643">
            <v>18919191.73999998</v>
          </cell>
        </row>
        <row r="661">
          <cell r="F661">
            <v>162900</v>
          </cell>
          <cell r="G661">
            <v>18444783.84</v>
          </cell>
          <cell r="K661">
            <v>529000</v>
          </cell>
          <cell r="N661">
            <v>4589.7</v>
          </cell>
          <cell r="P661">
            <v>2818.2</v>
          </cell>
        </row>
        <row r="662">
          <cell r="F662">
            <v>164058</v>
          </cell>
          <cell r="G662">
            <v>31183654.699999999</v>
          </cell>
          <cell r="K662">
            <v>565400</v>
          </cell>
          <cell r="N662">
            <v>4609.8999999999996</v>
          </cell>
          <cell r="P662">
            <v>2837.9</v>
          </cell>
        </row>
        <row r="663">
          <cell r="F663">
            <v>164250</v>
          </cell>
          <cell r="G663">
            <v>31607715.759999998</v>
          </cell>
          <cell r="K663">
            <v>570460</v>
          </cell>
          <cell r="N663">
            <v>4604.4217264244699</v>
          </cell>
          <cell r="P663">
            <v>2845.4896540426698</v>
          </cell>
        </row>
        <row r="664">
          <cell r="F664">
            <v>164453</v>
          </cell>
          <cell r="G664">
            <v>31114921.34</v>
          </cell>
          <cell r="K664">
            <v>616290</v>
          </cell>
          <cell r="N664">
            <v>4625.0382088342703</v>
          </cell>
          <cell r="P664">
            <v>2873.0382088342699</v>
          </cell>
        </row>
        <row r="665">
          <cell r="G665">
            <v>28298361.239999998</v>
          </cell>
        </row>
        <row r="666">
          <cell r="G666">
            <v>29611046.129999999</v>
          </cell>
        </row>
      </sheetData>
      <sheetData sheetId="1"/>
      <sheetData sheetId="2"/>
      <sheetData sheetId="3"/>
      <sheetData sheetId="4"/>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import from pdf"/>
      <sheetName val="Sheet1 (2)"/>
      <sheetName val="Sheet1 (3)"/>
      <sheetName val="Result"/>
      <sheetName val="Sheet2"/>
      <sheetName val="Sheet3"/>
    </sheetNames>
    <sheetDataSet>
      <sheetData sheetId="0"/>
      <sheetData sheetId="1"/>
      <sheetData sheetId="2"/>
      <sheetData sheetId="3">
        <row r="12">
          <cell r="B12" t="str">
            <v>ALGOMA POWER INC.</v>
          </cell>
          <cell r="C12">
            <v>11031281</v>
          </cell>
          <cell r="D12">
            <v>11595831</v>
          </cell>
        </row>
        <row r="13">
          <cell r="B13" t="str">
            <v>ATIKOKAN HYDRO INC.</v>
          </cell>
          <cell r="C13">
            <v>825680</v>
          </cell>
          <cell r="D13">
            <v>1025877</v>
          </cell>
        </row>
        <row r="14">
          <cell r="B14" t="str">
            <v>BLUEWATER POWER DISTRIBUTION CORPORATION</v>
          </cell>
          <cell r="C14">
            <v>11467313</v>
          </cell>
          <cell r="D14">
            <v>11951307</v>
          </cell>
        </row>
        <row r="15">
          <cell r="B15" t="str">
            <v>BRANT COUNTY POWER INC.</v>
          </cell>
          <cell r="C15">
            <v>3605386</v>
          </cell>
          <cell r="D15">
            <v>3053613</v>
          </cell>
        </row>
        <row r="16">
          <cell r="B16" t="str">
            <v>BRANTFORD POWER INC.</v>
          </cell>
          <cell r="C16">
            <v>8559999</v>
          </cell>
          <cell r="D16">
            <v>8836881</v>
          </cell>
        </row>
        <row r="17">
          <cell r="B17" t="str">
            <v>BURLINGTON HYDRO INC.</v>
          </cell>
          <cell r="C17">
            <v>16711821</v>
          </cell>
          <cell r="D17">
            <v>17198232</v>
          </cell>
        </row>
        <row r="18">
          <cell r="B18" t="str">
            <v>CAMBRIDGE AND NORTH DUMFRIES HYDRO INC.</v>
          </cell>
          <cell r="C18">
            <v>14116772</v>
          </cell>
          <cell r="D18">
            <v>14084888</v>
          </cell>
        </row>
        <row r="19">
          <cell r="B19" t="str">
            <v>CANADIAN NIAGARA POWER INC.</v>
          </cell>
          <cell r="C19">
            <v>9120471</v>
          </cell>
          <cell r="D19">
            <v>9169775</v>
          </cell>
        </row>
        <row r="20">
          <cell r="B20" t="str">
            <v>CENTRE WELLINGTON HYDRO LTD.</v>
          </cell>
          <cell r="C20">
            <v>2042974</v>
          </cell>
          <cell r="D20">
            <v>2106952</v>
          </cell>
        </row>
        <row r="21">
          <cell r="B21" t="str">
            <v>CHAPLEAU PUBLIC UTILITIES CORPORATION</v>
          </cell>
          <cell r="C21">
            <v>712902</v>
          </cell>
          <cell r="D21">
            <v>709664</v>
          </cell>
        </row>
        <row r="22">
          <cell r="B22" t="str">
            <v>COLLUS POWER CORPORATION</v>
          </cell>
          <cell r="C22">
            <v>4574789</v>
          </cell>
          <cell r="D22">
            <v>4712043</v>
          </cell>
        </row>
        <row r="23">
          <cell r="B23" t="str">
            <v>COOPERATIVE HYDRO EMBRUN INC.</v>
          </cell>
          <cell r="C23">
            <v>567325</v>
          </cell>
          <cell r="D23">
            <v>613272</v>
          </cell>
        </row>
        <row r="24">
          <cell r="B24" t="str">
            <v>E.L.K. ENERGY INC.</v>
          </cell>
          <cell r="C24">
            <v>2191873</v>
          </cell>
          <cell r="D24">
            <v>2585912</v>
          </cell>
        </row>
        <row r="25">
          <cell r="B25" t="str">
            <v>ENERSOURCE HYDRO MISSISSAUGA INC.</v>
          </cell>
          <cell r="C25">
            <v>50285453</v>
          </cell>
          <cell r="D25">
            <v>58060012</v>
          </cell>
        </row>
        <row r="26">
          <cell r="B26" t="str">
            <v>Entegrus Powerlines</v>
          </cell>
          <cell r="C26">
            <v>8803869</v>
          </cell>
          <cell r="D26">
            <v>8867629</v>
          </cell>
        </row>
        <row r="27">
          <cell r="B27" t="str">
            <v>ENWIN UTILITIES LTD.</v>
          </cell>
          <cell r="C27">
            <v>22773168</v>
          </cell>
          <cell r="D27">
            <v>23151257</v>
          </cell>
        </row>
        <row r="28">
          <cell r="B28" t="str">
            <v>ERIE THAMES POWERLINES CORPORATION</v>
          </cell>
          <cell r="C28">
            <v>5588421</v>
          </cell>
          <cell r="D28">
            <v>5682216</v>
          </cell>
        </row>
        <row r="29">
          <cell r="B29" t="str">
            <v>ESPANOLA REGIONAL HYDRO DISTRIBUTION CORPORATION</v>
          </cell>
          <cell r="C29">
            <v>1243153</v>
          </cell>
          <cell r="D29">
            <v>1434729</v>
          </cell>
        </row>
        <row r="30">
          <cell r="B30" t="str">
            <v>ESSEX POWERLINES CORPORATION</v>
          </cell>
          <cell r="C30">
            <v>6639108</v>
          </cell>
          <cell r="D30">
            <v>6658006</v>
          </cell>
        </row>
        <row r="31">
          <cell r="B31" t="str">
            <v>FESTIVAL HYDRO INC.</v>
          </cell>
          <cell r="C31">
            <v>5001586</v>
          </cell>
          <cell r="D31">
            <v>5095654</v>
          </cell>
        </row>
        <row r="32">
          <cell r="B32" t="str">
            <v>FORT FRANCES POWER CORPORATION</v>
          </cell>
          <cell r="C32">
            <v>1562510</v>
          </cell>
          <cell r="D32">
            <v>1575629</v>
          </cell>
        </row>
        <row r="33">
          <cell r="B33" t="str">
            <v>GREATER SUDBURY HYDRO INC.</v>
          </cell>
          <cell r="C33">
            <v>14850227</v>
          </cell>
          <cell r="D33">
            <v>13121322</v>
          </cell>
        </row>
        <row r="34">
          <cell r="B34" t="str">
            <v>GRIMSBY POWER INCORPORATED</v>
          </cell>
          <cell r="C34">
            <v>2772130</v>
          </cell>
          <cell r="D34">
            <v>2874146</v>
          </cell>
        </row>
        <row r="35">
          <cell r="B35" t="str">
            <v>GUELPH HYDRO ELECTRIC SYSTEMS INC.</v>
          </cell>
          <cell r="C35">
            <v>13774320</v>
          </cell>
          <cell r="D35">
            <v>14875578</v>
          </cell>
        </row>
        <row r="36">
          <cell r="B36" t="str">
            <v>HALDIMAND COUNTY HYDRO INC.</v>
          </cell>
          <cell r="C36">
            <v>7467454</v>
          </cell>
          <cell r="D36">
            <v>7564017</v>
          </cell>
        </row>
        <row r="37">
          <cell r="B37" t="str">
            <v>HALTON HILLS HYDRO INC.</v>
          </cell>
          <cell r="C37">
            <v>5201623</v>
          </cell>
          <cell r="D37">
            <v>5780049</v>
          </cell>
        </row>
        <row r="38">
          <cell r="B38" t="str">
            <v>HEARST POWER DISTRIBUTION COMPANY LIMITED</v>
          </cell>
          <cell r="C38">
            <v>969120</v>
          </cell>
          <cell r="D38">
            <v>1218971</v>
          </cell>
        </row>
        <row r="39">
          <cell r="B39" t="str">
            <v>HORIZON UTILITIES CORPORATION</v>
          </cell>
          <cell r="C39">
            <v>56905306</v>
          </cell>
          <cell r="D39">
            <v>61775706</v>
          </cell>
        </row>
        <row r="40">
          <cell r="B40" t="str">
            <v>HYDRO 2000 INC.</v>
          </cell>
          <cell r="C40">
            <v>440682</v>
          </cell>
          <cell r="D40">
            <v>517394</v>
          </cell>
        </row>
        <row r="41">
          <cell r="B41" t="str">
            <v>HYDRO HAWKESBURY INC.</v>
          </cell>
          <cell r="C41">
            <v>944391</v>
          </cell>
          <cell r="D41">
            <v>894852</v>
          </cell>
        </row>
        <row r="42">
          <cell r="B42" t="str">
            <v>HYDRO ONE BRAMPTON NETWORKS INC.</v>
          </cell>
          <cell r="C42">
            <v>25548449</v>
          </cell>
          <cell r="D42">
            <v>26810797</v>
          </cell>
        </row>
        <row r="43">
          <cell r="B43" t="str">
            <v>HYDRO ONE NETWORKS INC. to include Norfolk</v>
          </cell>
          <cell r="C43">
            <v>592224124</v>
          </cell>
          <cell r="D43">
            <v>529290910</v>
          </cell>
        </row>
        <row r="44">
          <cell r="B44" t="str">
            <v>HYDRO OTTAWA LIMITED</v>
          </cell>
          <cell r="C44">
            <v>75953201</v>
          </cell>
          <cell r="D44">
            <v>76651196</v>
          </cell>
        </row>
        <row r="45">
          <cell r="B45" t="str">
            <v>INNISFIL HYDRO DISTRIBUTION SYSTEMS LIMITED</v>
          </cell>
          <cell r="C45">
            <v>5190664</v>
          </cell>
          <cell r="D45">
            <v>5396319</v>
          </cell>
        </row>
        <row r="46">
          <cell r="B46" t="str">
            <v>KENORA HYDRO ELECTRIC CORPORATION LTD.</v>
          </cell>
          <cell r="C46">
            <v>1908790</v>
          </cell>
          <cell r="D46">
            <v>2227470</v>
          </cell>
        </row>
        <row r="47">
          <cell r="B47" t="str">
            <v>KINGSTON HYDRO CORPORATION</v>
          </cell>
          <cell r="C47">
            <v>6133832</v>
          </cell>
          <cell r="D47">
            <v>6534223</v>
          </cell>
        </row>
        <row r="48">
          <cell r="B48" t="str">
            <v>KITCHENER-WILMOT HYDRO INC.</v>
          </cell>
          <cell r="C48">
            <v>14798493</v>
          </cell>
          <cell r="D48">
            <v>14237678</v>
          </cell>
        </row>
        <row r="49">
          <cell r="B49" t="str">
            <v>LAKEFRONT UTILITIES INC.</v>
          </cell>
          <cell r="C49">
            <v>2306656</v>
          </cell>
          <cell r="D49">
            <v>2180798</v>
          </cell>
        </row>
        <row r="50">
          <cell r="B50" t="str">
            <v>LAKELAND POWER DISTRIBUTION LTD. To include Perry Sound</v>
          </cell>
          <cell r="C50">
            <v>5324798</v>
          </cell>
          <cell r="D50">
            <v>5369253</v>
          </cell>
        </row>
        <row r="51">
          <cell r="B51" t="str">
            <v>LONDON HYDRO INC.</v>
          </cell>
          <cell r="C51">
            <v>31012257</v>
          </cell>
          <cell r="D51">
            <v>33285766</v>
          </cell>
        </row>
        <row r="52">
          <cell r="B52" t="str">
            <v>MIDLAND POWER UTILITY CORPORATION</v>
          </cell>
          <cell r="C52">
            <v>2328114</v>
          </cell>
          <cell r="D52">
            <v>2390722</v>
          </cell>
        </row>
        <row r="53">
          <cell r="B53" t="str">
            <v>MILTON HYDRO DISTRIBUTION INC.</v>
          </cell>
          <cell r="C53">
            <v>8489860</v>
          </cell>
          <cell r="D53">
            <v>9832673</v>
          </cell>
        </row>
        <row r="54">
          <cell r="B54" t="str">
            <v>NEWMARKET-TAY POWER DISTRIBUTION LTD.</v>
          </cell>
          <cell r="C54">
            <v>7826753</v>
          </cell>
          <cell r="D54">
            <v>7157789</v>
          </cell>
        </row>
        <row r="55">
          <cell r="B55" t="str">
            <v>NIAGARA PENINSULA ENERGY INC.</v>
          </cell>
          <cell r="C55">
            <v>16436186</v>
          </cell>
          <cell r="D55">
            <v>16150052</v>
          </cell>
        </row>
        <row r="56">
          <cell r="B56" t="str">
            <v>NIAGARA-ON-THE-LAKE HYDRO INC.</v>
          </cell>
          <cell r="C56">
            <v>2069966</v>
          </cell>
          <cell r="D56">
            <v>2227069</v>
          </cell>
        </row>
        <row r="57">
          <cell r="B57" t="str">
            <v>NORFOLK POWER DISTRIBUTION INC.</v>
          </cell>
        </row>
        <row r="58">
          <cell r="B58" t="str">
            <v>NORTH BAY HYDRO DISTRIBUTION LIMITED</v>
          </cell>
          <cell r="C58">
            <v>6149168</v>
          </cell>
          <cell r="D58">
            <v>6012467</v>
          </cell>
        </row>
        <row r="59">
          <cell r="B59" t="str">
            <v>NORTHERN ONTARIO WIRES INC.</v>
          </cell>
          <cell r="C59">
            <v>2507163</v>
          </cell>
          <cell r="D59">
            <v>2293522</v>
          </cell>
        </row>
        <row r="60">
          <cell r="B60" t="str">
            <v>OAKVILLE HYDRO ELECTRICITY DISTRIBUTION INC.</v>
          </cell>
          <cell r="C60">
            <v>16768977</v>
          </cell>
          <cell r="D60">
            <v>17379030</v>
          </cell>
        </row>
        <row r="61">
          <cell r="B61" t="str">
            <v>ORANGEVILLE HYDRO LIMITED</v>
          </cell>
          <cell r="C61">
            <v>3224243</v>
          </cell>
          <cell r="D61">
            <v>3280264</v>
          </cell>
        </row>
        <row r="62">
          <cell r="B62" t="str">
            <v>ORILLIA POWER DISTRIBUTION CORPORATION</v>
          </cell>
          <cell r="C62">
            <v>4473442</v>
          </cell>
          <cell r="D62">
            <v>4427205</v>
          </cell>
        </row>
        <row r="63">
          <cell r="B63" t="str">
            <v>OSHAWA PUC NETWORKS INC.</v>
          </cell>
          <cell r="C63">
            <v>10490056</v>
          </cell>
          <cell r="D63">
            <v>11377239</v>
          </cell>
        </row>
        <row r="64">
          <cell r="B64" t="str">
            <v>OTTAWA RIVER POWER CORPORATION</v>
          </cell>
          <cell r="C64">
            <v>2867905</v>
          </cell>
          <cell r="D64">
            <v>2770875</v>
          </cell>
        </row>
        <row r="65">
          <cell r="B65" t="str">
            <v>PARRY SOUND POWER CORPORATION</v>
          </cell>
        </row>
        <row r="66">
          <cell r="B66" t="str">
            <v>PETERBOROUGH DISTRIBUTION INCORPORATED</v>
          </cell>
          <cell r="C66">
            <v>8381000</v>
          </cell>
          <cell r="D66">
            <v>7951782</v>
          </cell>
        </row>
        <row r="67">
          <cell r="B67" t="str">
            <v>POWERSTREAM INC.</v>
          </cell>
          <cell r="C67">
            <v>81488867</v>
          </cell>
          <cell r="D67">
            <v>87218390</v>
          </cell>
        </row>
        <row r="68">
          <cell r="B68" t="str">
            <v>PUC DISTRIBUTION INC.</v>
          </cell>
          <cell r="C68">
            <v>10634034</v>
          </cell>
          <cell r="D68">
            <v>10829422</v>
          </cell>
        </row>
        <row r="69">
          <cell r="B69" t="str">
            <v>RENFREW HYDRO INC.</v>
          </cell>
          <cell r="C69">
            <v>1218576</v>
          </cell>
          <cell r="D69">
            <v>1313914</v>
          </cell>
        </row>
        <row r="70">
          <cell r="B70" t="str">
            <v>RIDEAU ST. LAWRENCE DISTRIBUTION INC.</v>
          </cell>
          <cell r="C70">
            <v>1921553</v>
          </cell>
          <cell r="D70">
            <v>2100784</v>
          </cell>
        </row>
        <row r="71">
          <cell r="B71" t="str">
            <v>SIOUX LOOKOUT HYDRO INC.</v>
          </cell>
          <cell r="C71">
            <v>1549444</v>
          </cell>
          <cell r="D71">
            <v>1399313</v>
          </cell>
        </row>
        <row r="72">
          <cell r="B72" t="str">
            <v>ST. THOMAS ENERGY INC.</v>
          </cell>
          <cell r="C72">
            <v>3911993</v>
          </cell>
          <cell r="D72">
            <v>3793637</v>
          </cell>
        </row>
        <row r="73">
          <cell r="B73" t="str">
            <v>THUNDER BAY HYDRO ELECTRICITY DISTRIBUTION INC.</v>
          </cell>
          <cell r="C73">
            <v>13592911</v>
          </cell>
          <cell r="D73">
            <v>13874655</v>
          </cell>
        </row>
        <row r="74">
          <cell r="B74" t="str">
            <v>TILLSONBURG HYDRO INC.</v>
          </cell>
          <cell r="C74">
            <v>2466576</v>
          </cell>
          <cell r="D74">
            <v>2468045</v>
          </cell>
        </row>
        <row r="75">
          <cell r="B75" t="str">
            <v>TORONTO HYDRO-ELECTRIC SYSTEM LIMITED</v>
          </cell>
          <cell r="C75">
            <v>228241694</v>
          </cell>
          <cell r="D75">
            <v>228941345</v>
          </cell>
        </row>
        <row r="76">
          <cell r="B76" t="str">
            <v>VERIDIAN CONNECTIONS INC.</v>
          </cell>
          <cell r="C76">
            <v>25228244</v>
          </cell>
          <cell r="D76">
            <v>25547095</v>
          </cell>
        </row>
        <row r="77">
          <cell r="B77" t="str">
            <v>WASAGA DISTRIBUTION INC.</v>
          </cell>
          <cell r="C77">
            <v>2805827</v>
          </cell>
          <cell r="D77">
            <v>2804267</v>
          </cell>
        </row>
        <row r="78">
          <cell r="B78" t="str">
            <v>WATERLOO NORTH HYDRO INC.</v>
          </cell>
          <cell r="C78">
            <v>13122197</v>
          </cell>
          <cell r="D78">
            <v>12148950</v>
          </cell>
        </row>
        <row r="79">
          <cell r="B79" t="str">
            <v>WELLAND HYDRO-ELECTRIC SYSTEM CORP.</v>
          </cell>
          <cell r="C79">
            <v>6003761</v>
          </cell>
          <cell r="D79">
            <v>6172834</v>
          </cell>
        </row>
        <row r="80">
          <cell r="B80" t="str">
            <v>WELLINGTON NORTH POWER INC.</v>
          </cell>
          <cell r="C80">
            <v>1700706</v>
          </cell>
          <cell r="D80">
            <v>1644603</v>
          </cell>
        </row>
        <row r="81">
          <cell r="B81" t="str">
            <v>WEST COAST HURON ENERGY INC.</v>
          </cell>
          <cell r="C81">
            <v>1656072</v>
          </cell>
          <cell r="D81">
            <v>1721457</v>
          </cell>
        </row>
        <row r="82">
          <cell r="B82" t="str">
            <v>WESTARIO POWER INC.</v>
          </cell>
          <cell r="C82">
            <v>5149478</v>
          </cell>
          <cell r="D82">
            <v>5196668</v>
          </cell>
        </row>
        <row r="83">
          <cell r="B83" t="str">
            <v>WHITBY HYDRO ELECTRIC CORPORATION</v>
          </cell>
          <cell r="C83">
            <v>10310518</v>
          </cell>
          <cell r="D83">
            <v>11079403</v>
          </cell>
        </row>
        <row r="84">
          <cell r="B84" t="str">
            <v>WOODSTOCK HYDRO SERVICES INC.</v>
          </cell>
          <cell r="C84">
            <v>3907210</v>
          </cell>
          <cell r="D84">
            <v>3957009</v>
          </cell>
        </row>
      </sheetData>
      <sheetData sheetId="4"/>
      <sheetData sheetId="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
      <sheetName val="ToC "/>
      <sheetName val="Notes"/>
      <sheetName val="Industry BS"/>
      <sheetName val="Industry IS"/>
      <sheetName val="Industry Gen"/>
      <sheetName val="BS"/>
      <sheetName val="IS"/>
      <sheetName val="Ratios"/>
      <sheetName val="General"/>
      <sheetName val="Unit SQR"/>
      <sheetName val="Stats by Class"/>
      <sheetName val="System Reliability"/>
      <sheetName val="Glossary"/>
      <sheetName val="IS transpose"/>
      <sheetName val="General transpo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 xml:space="preserve">General StatisticsFor the year ended December 31                    </v>
          </cell>
          <cell r="C1" t="str">
            <v>Residential</v>
          </cell>
          <cell r="D1" t="str">
            <v>General Service &lt; 50 kW</v>
          </cell>
          <cell r="E1" t="str">
            <v>General Service &gt;= 50 kW</v>
          </cell>
          <cell r="F1" t="str">
            <v>Large User</v>
          </cell>
          <cell r="G1" t="str">
            <v>Sub Transmission Customers</v>
          </cell>
          <cell r="H1" t="str">
            <v>Total Customers</v>
          </cell>
          <cell r="J1" t="str">
            <v>Rural Service Area (sq km)</v>
          </cell>
          <cell r="K1" t="str">
            <v>Urban Service Area (sq km)</v>
          </cell>
          <cell r="L1" t="str">
            <v>Total Service Area (sq km)</v>
          </cell>
          <cell r="N1" t="str">
            <v>Overhead km of Line</v>
          </cell>
          <cell r="O1" t="str">
            <v>Underground km of Line</v>
          </cell>
          <cell r="P1" t="str">
            <v>Total km of Line</v>
          </cell>
          <cell r="Q1" t="str">
            <v>Share fraction of UG - JK addn</v>
          </cell>
          <cell r="R1" t="str">
            <v>Total kWh Delivered (excluding losses)</v>
          </cell>
          <cell r="S1" t="str">
            <v>Total kWh Delivered on Long-Term Load Transfer</v>
          </cell>
          <cell r="T1" t="str">
            <v>Total Distribution Losses (kWh)</v>
          </cell>
          <cell r="U1" t="str">
            <v>Total kWh Purchased</v>
          </cell>
          <cell r="W1" t="str">
            <v>Winter Peak (kW)</v>
          </cell>
          <cell r="X1" t="str">
            <v>Summer Peak (kW)</v>
          </cell>
          <cell r="Y1" t="str">
            <v>Average Peak (kW)</v>
          </cell>
          <cell r="Z1" t="str">
            <v>Higher of Winter &amp; Summer peak JK addn</v>
          </cell>
          <cell r="AA1" t="str">
            <v>Gross Capital Additions for the Year ($)</v>
          </cell>
          <cell r="AB1" t="str">
            <v>High Voltage Capital Additions for the Year ($)</v>
          </cell>
          <cell r="AD1" t="str">
            <v>Full-time Equivalent Number of Employees</v>
          </cell>
        </row>
        <row r="2">
          <cell r="A2" t="str">
            <v>Algoma Power Inc.</v>
          </cell>
          <cell r="C2">
            <v>11607</v>
          </cell>
          <cell r="D2">
            <v>0</v>
          </cell>
          <cell r="E2">
            <v>43</v>
          </cell>
          <cell r="F2">
            <v>0</v>
          </cell>
          <cell r="G2">
            <v>0</v>
          </cell>
          <cell r="H2">
            <v>11650</v>
          </cell>
          <cell r="J2">
            <v>14197</v>
          </cell>
          <cell r="K2">
            <v>3</v>
          </cell>
          <cell r="L2">
            <v>14200</v>
          </cell>
          <cell r="N2">
            <v>1834</v>
          </cell>
          <cell r="O2">
            <v>14</v>
          </cell>
          <cell r="P2">
            <v>1848</v>
          </cell>
          <cell r="Q2">
            <v>7.575757575757576E-3</v>
          </cell>
          <cell r="R2">
            <v>205806696.25999999</v>
          </cell>
          <cell r="S2">
            <v>0</v>
          </cell>
          <cell r="T2">
            <v>18248330.230000019</v>
          </cell>
          <cell r="U2">
            <v>224055026.49000001</v>
          </cell>
          <cell r="W2">
            <v>42870</v>
          </cell>
          <cell r="X2">
            <v>27786</v>
          </cell>
          <cell r="Y2">
            <v>33399</v>
          </cell>
          <cell r="Z2">
            <v>42870</v>
          </cell>
          <cell r="AA2">
            <v>6347839.2300000004</v>
          </cell>
          <cell r="AB2">
            <v>0</v>
          </cell>
          <cell r="AD2">
            <v>58</v>
          </cell>
        </row>
        <row r="3">
          <cell r="A3" t="str">
            <v>Atikokan Hydro Inc.</v>
          </cell>
          <cell r="C3">
            <v>1408</v>
          </cell>
          <cell r="D3">
            <v>235</v>
          </cell>
          <cell r="E3">
            <v>20</v>
          </cell>
          <cell r="F3">
            <v>0</v>
          </cell>
          <cell r="G3">
            <v>0</v>
          </cell>
          <cell r="H3">
            <v>1663</v>
          </cell>
          <cell r="J3">
            <v>0</v>
          </cell>
          <cell r="K3">
            <v>380</v>
          </cell>
          <cell r="L3">
            <v>380</v>
          </cell>
          <cell r="N3">
            <v>92</v>
          </cell>
          <cell r="O3">
            <v>0</v>
          </cell>
          <cell r="P3">
            <v>92</v>
          </cell>
          <cell r="Q3">
            <v>0</v>
          </cell>
          <cell r="R3">
            <v>23377488.460000001</v>
          </cell>
          <cell r="S3">
            <v>0</v>
          </cell>
          <cell r="T3">
            <v>2255684.6099999994</v>
          </cell>
          <cell r="U3">
            <v>25633173.07</v>
          </cell>
          <cell r="W3">
            <v>4927</v>
          </cell>
          <cell r="X3">
            <v>4429</v>
          </cell>
          <cell r="Y3">
            <v>4081</v>
          </cell>
          <cell r="Z3">
            <v>4927</v>
          </cell>
          <cell r="AA3">
            <v>462816.04</v>
          </cell>
          <cell r="AB3">
            <v>0</v>
          </cell>
          <cell r="AD3">
            <v>7</v>
          </cell>
        </row>
        <row r="4">
          <cell r="A4" t="str">
            <v>Bluewater Power Distribution Corporation</v>
          </cell>
          <cell r="C4">
            <v>32215</v>
          </cell>
          <cell r="D4">
            <v>3501</v>
          </cell>
          <cell r="E4">
            <v>397</v>
          </cell>
          <cell r="F4">
            <v>2</v>
          </cell>
          <cell r="G4">
            <v>0</v>
          </cell>
          <cell r="H4">
            <v>36115</v>
          </cell>
          <cell r="J4">
            <v>147</v>
          </cell>
          <cell r="K4">
            <v>54</v>
          </cell>
          <cell r="L4">
            <v>201</v>
          </cell>
          <cell r="N4">
            <v>574</v>
          </cell>
          <cell r="O4">
            <v>214</v>
          </cell>
          <cell r="P4">
            <v>788</v>
          </cell>
          <cell r="Q4">
            <v>0.27157360406091369</v>
          </cell>
          <cell r="R4">
            <v>997700222</v>
          </cell>
          <cell r="S4">
            <v>383688</v>
          </cell>
          <cell r="T4">
            <v>29375638</v>
          </cell>
          <cell r="U4">
            <v>1027459548</v>
          </cell>
          <cell r="W4">
            <v>143413</v>
          </cell>
          <cell r="X4">
            <v>169643</v>
          </cell>
          <cell r="Y4">
            <v>104189</v>
          </cell>
          <cell r="Z4">
            <v>169643</v>
          </cell>
          <cell r="AA4">
            <v>4098112</v>
          </cell>
          <cell r="AB4">
            <v>0</v>
          </cell>
          <cell r="AD4">
            <v>105</v>
          </cell>
        </row>
        <row r="5">
          <cell r="A5" t="str">
            <v>Brant County Power Inc.</v>
          </cell>
          <cell r="C5">
            <v>8569</v>
          </cell>
          <cell r="D5">
            <v>1275</v>
          </cell>
          <cell r="E5">
            <v>127</v>
          </cell>
          <cell r="F5">
            <v>0</v>
          </cell>
          <cell r="G5">
            <v>0</v>
          </cell>
          <cell r="H5">
            <v>9971</v>
          </cell>
          <cell r="J5">
            <v>242</v>
          </cell>
          <cell r="K5">
            <v>14</v>
          </cell>
          <cell r="L5">
            <v>256</v>
          </cell>
          <cell r="N5">
            <v>469</v>
          </cell>
          <cell r="O5">
            <v>85</v>
          </cell>
          <cell r="P5">
            <v>554</v>
          </cell>
          <cell r="Q5">
            <v>0.15342960288808663</v>
          </cell>
          <cell r="R5">
            <v>286132926</v>
          </cell>
          <cell r="S5">
            <v>775035</v>
          </cell>
          <cell r="T5">
            <v>16907468.129999995</v>
          </cell>
          <cell r="U5">
            <v>303815429.13</v>
          </cell>
          <cell r="W5">
            <v>51958</v>
          </cell>
          <cell r="X5">
            <v>56197</v>
          </cell>
          <cell r="Y5">
            <v>48061</v>
          </cell>
          <cell r="Z5">
            <v>56197</v>
          </cell>
          <cell r="AA5">
            <v>1492564</v>
          </cell>
          <cell r="AB5">
            <v>0</v>
          </cell>
          <cell r="AD5">
            <v>27</v>
          </cell>
        </row>
        <row r="6">
          <cell r="A6" t="str">
            <v>Brantford Power Inc.</v>
          </cell>
          <cell r="C6">
            <v>35576</v>
          </cell>
          <cell r="D6">
            <v>2776</v>
          </cell>
          <cell r="E6">
            <v>437</v>
          </cell>
          <cell r="F6">
            <v>0</v>
          </cell>
          <cell r="G6">
            <v>0</v>
          </cell>
          <cell r="H6">
            <v>38789</v>
          </cell>
          <cell r="J6">
            <v>0</v>
          </cell>
          <cell r="K6">
            <v>74</v>
          </cell>
          <cell r="L6">
            <v>74</v>
          </cell>
          <cell r="N6">
            <v>267</v>
          </cell>
          <cell r="O6">
            <v>233</v>
          </cell>
          <cell r="P6">
            <v>500</v>
          </cell>
          <cell r="Q6">
            <v>0.46600000000000003</v>
          </cell>
          <cell r="R6">
            <v>878501652</v>
          </cell>
          <cell r="S6">
            <v>0</v>
          </cell>
          <cell r="T6">
            <v>35045133</v>
          </cell>
          <cell r="U6">
            <v>913546785</v>
          </cell>
          <cell r="W6">
            <v>161723</v>
          </cell>
          <cell r="X6">
            <v>169310</v>
          </cell>
          <cell r="Y6">
            <v>145635</v>
          </cell>
          <cell r="Z6">
            <v>169310</v>
          </cell>
          <cell r="AA6">
            <v>3087615</v>
          </cell>
          <cell r="AB6">
            <v>0</v>
          </cell>
          <cell r="AD6">
            <v>57</v>
          </cell>
        </row>
        <row r="7">
          <cell r="A7" t="str">
            <v>Burlington Hydro Inc.</v>
          </cell>
          <cell r="C7">
            <v>60095</v>
          </cell>
          <cell r="D7">
            <v>5244</v>
          </cell>
          <cell r="E7">
            <v>1027</v>
          </cell>
          <cell r="F7">
            <v>0</v>
          </cell>
          <cell r="G7">
            <v>0</v>
          </cell>
          <cell r="H7">
            <v>66366</v>
          </cell>
          <cell r="J7">
            <v>90</v>
          </cell>
          <cell r="K7">
            <v>98</v>
          </cell>
          <cell r="L7">
            <v>188</v>
          </cell>
          <cell r="N7">
            <v>852</v>
          </cell>
          <cell r="O7">
            <v>668</v>
          </cell>
          <cell r="P7">
            <v>1520</v>
          </cell>
          <cell r="Q7">
            <v>0.43947368421052629</v>
          </cell>
          <cell r="R7">
            <v>1614003971</v>
          </cell>
          <cell r="S7">
            <v>1222813</v>
          </cell>
          <cell r="T7">
            <v>58500306</v>
          </cell>
          <cell r="U7">
            <v>1673727090</v>
          </cell>
          <cell r="W7">
            <v>285149</v>
          </cell>
          <cell r="X7">
            <v>325553</v>
          </cell>
          <cell r="Y7">
            <v>275119</v>
          </cell>
          <cell r="Z7">
            <v>325553</v>
          </cell>
          <cell r="AA7">
            <v>11838820</v>
          </cell>
          <cell r="AB7">
            <v>0</v>
          </cell>
          <cell r="AD7">
            <v>95</v>
          </cell>
        </row>
        <row r="8">
          <cell r="A8" t="str">
            <v>Cambridge and North Dumfries Hydro Inc.</v>
          </cell>
          <cell r="C8">
            <v>47143</v>
          </cell>
          <cell r="D8">
            <v>4816</v>
          </cell>
          <cell r="E8">
            <v>723</v>
          </cell>
          <cell r="F8">
            <v>2</v>
          </cell>
          <cell r="G8">
            <v>0</v>
          </cell>
          <cell r="H8">
            <v>52684</v>
          </cell>
          <cell r="J8">
            <v>216</v>
          </cell>
          <cell r="K8">
            <v>90</v>
          </cell>
          <cell r="L8">
            <v>306</v>
          </cell>
          <cell r="N8">
            <v>722</v>
          </cell>
          <cell r="O8">
            <v>421</v>
          </cell>
          <cell r="P8">
            <v>1143</v>
          </cell>
          <cell r="Q8">
            <v>0.36832895888014</v>
          </cell>
          <cell r="R8">
            <v>1454531392</v>
          </cell>
          <cell r="S8">
            <v>578105</v>
          </cell>
          <cell r="T8">
            <v>23494769</v>
          </cell>
          <cell r="U8">
            <v>1478604266</v>
          </cell>
          <cell r="W8">
            <v>247078</v>
          </cell>
          <cell r="X8">
            <v>280687</v>
          </cell>
          <cell r="Y8">
            <v>242095</v>
          </cell>
          <cell r="Z8">
            <v>280687</v>
          </cell>
          <cell r="AA8">
            <v>9207615.4700000007</v>
          </cell>
          <cell r="AB8">
            <v>0</v>
          </cell>
          <cell r="AD8">
            <v>105</v>
          </cell>
        </row>
        <row r="9">
          <cell r="A9" t="str">
            <v>Canadian Niagara Power Inc.</v>
          </cell>
          <cell r="C9">
            <v>25896</v>
          </cell>
          <cell r="D9">
            <v>2505</v>
          </cell>
          <cell r="E9">
            <v>226</v>
          </cell>
          <cell r="F9">
            <v>0</v>
          </cell>
          <cell r="G9">
            <v>0</v>
          </cell>
          <cell r="H9">
            <v>28627</v>
          </cell>
          <cell r="J9">
            <v>284</v>
          </cell>
          <cell r="K9">
            <v>73</v>
          </cell>
          <cell r="L9">
            <v>357</v>
          </cell>
          <cell r="N9">
            <v>935</v>
          </cell>
          <cell r="O9">
            <v>76</v>
          </cell>
          <cell r="P9">
            <v>1011</v>
          </cell>
          <cell r="Q9">
            <v>7.5173095944609303E-2</v>
          </cell>
          <cell r="R9">
            <v>511104041.29000002</v>
          </cell>
          <cell r="S9">
            <v>51023</v>
          </cell>
          <cell r="T9">
            <v>25551837.040000007</v>
          </cell>
          <cell r="U9">
            <v>536706901.33000004</v>
          </cell>
          <cell r="W9">
            <v>98856</v>
          </cell>
          <cell r="X9">
            <v>97280</v>
          </cell>
          <cell r="Y9">
            <v>86294</v>
          </cell>
          <cell r="Z9">
            <v>98856</v>
          </cell>
          <cell r="AA9">
            <v>8542867.3000000007</v>
          </cell>
          <cell r="AB9">
            <v>0</v>
          </cell>
          <cell r="AD9">
            <v>84</v>
          </cell>
        </row>
        <row r="10">
          <cell r="A10" t="str">
            <v>Centre Wellington Hydro Ltd.</v>
          </cell>
          <cell r="C10">
            <v>5955</v>
          </cell>
          <cell r="D10">
            <v>716</v>
          </cell>
          <cell r="E10">
            <v>58</v>
          </cell>
          <cell r="F10">
            <v>0</v>
          </cell>
          <cell r="G10">
            <v>0</v>
          </cell>
          <cell r="H10">
            <v>6729</v>
          </cell>
          <cell r="J10">
            <v>0</v>
          </cell>
          <cell r="K10">
            <v>10</v>
          </cell>
          <cell r="L10">
            <v>10</v>
          </cell>
          <cell r="N10">
            <v>79</v>
          </cell>
          <cell r="O10">
            <v>72</v>
          </cell>
          <cell r="P10">
            <v>151</v>
          </cell>
          <cell r="Q10">
            <v>0.47682119205298013</v>
          </cell>
          <cell r="R10">
            <v>145293760.36000001</v>
          </cell>
          <cell r="S10">
            <v>108268.65</v>
          </cell>
          <cell r="T10">
            <v>6676522.0099999933</v>
          </cell>
          <cell r="U10">
            <v>152078551.02000001</v>
          </cell>
          <cell r="W10">
            <v>26850</v>
          </cell>
          <cell r="X10">
            <v>25007</v>
          </cell>
          <cell r="Y10">
            <v>23988</v>
          </cell>
          <cell r="Z10">
            <v>26850</v>
          </cell>
          <cell r="AA10">
            <v>2422811.02</v>
          </cell>
          <cell r="AB10">
            <v>0</v>
          </cell>
          <cell r="AD10">
            <v>16</v>
          </cell>
        </row>
        <row r="11">
          <cell r="A11" t="str">
            <v>Chapleau Public Utilities Corporation</v>
          </cell>
          <cell r="C11">
            <v>1068</v>
          </cell>
          <cell r="D11">
            <v>154</v>
          </cell>
          <cell r="E11">
            <v>13</v>
          </cell>
          <cell r="F11">
            <v>0</v>
          </cell>
          <cell r="G11">
            <v>0</v>
          </cell>
          <cell r="H11">
            <v>1235</v>
          </cell>
          <cell r="J11">
            <v>0</v>
          </cell>
          <cell r="K11">
            <v>2</v>
          </cell>
          <cell r="L11">
            <v>2</v>
          </cell>
          <cell r="N11">
            <v>26</v>
          </cell>
          <cell r="O11">
            <v>1</v>
          </cell>
          <cell r="P11">
            <v>27</v>
          </cell>
          <cell r="Q11">
            <v>3.7037037037037035E-2</v>
          </cell>
          <cell r="R11">
            <v>27940070</v>
          </cell>
          <cell r="S11">
            <v>0</v>
          </cell>
          <cell r="T11">
            <v>2000106</v>
          </cell>
          <cell r="U11">
            <v>29940176</v>
          </cell>
          <cell r="W11">
            <v>6991</v>
          </cell>
          <cell r="X11">
            <v>4805</v>
          </cell>
          <cell r="Y11">
            <v>4620</v>
          </cell>
          <cell r="Z11">
            <v>6991</v>
          </cell>
          <cell r="AA11">
            <v>40553.660000000003</v>
          </cell>
          <cell r="AB11">
            <v>0</v>
          </cell>
          <cell r="AD11">
            <v>5</v>
          </cell>
        </row>
        <row r="12">
          <cell r="A12" t="str">
            <v>COLLUS PowerStream Corp.</v>
          </cell>
          <cell r="C12">
            <v>14591</v>
          </cell>
          <cell r="D12">
            <v>1712</v>
          </cell>
          <cell r="E12">
            <v>123</v>
          </cell>
          <cell r="F12">
            <v>0</v>
          </cell>
          <cell r="G12">
            <v>0</v>
          </cell>
          <cell r="H12">
            <v>16426</v>
          </cell>
          <cell r="J12">
            <v>0</v>
          </cell>
          <cell r="K12">
            <v>45</v>
          </cell>
          <cell r="L12">
            <v>45</v>
          </cell>
          <cell r="N12">
            <v>213</v>
          </cell>
          <cell r="O12">
            <v>134</v>
          </cell>
          <cell r="P12">
            <v>347</v>
          </cell>
          <cell r="Q12">
            <v>0.3861671469740634</v>
          </cell>
          <cell r="R12">
            <v>299118643.68000001</v>
          </cell>
          <cell r="S12">
            <v>68726.070000000007</v>
          </cell>
          <cell r="T12">
            <v>11443284.269999996</v>
          </cell>
          <cell r="U12">
            <v>310630654.01999998</v>
          </cell>
          <cell r="W12">
            <v>56809</v>
          </cell>
          <cell r="X12">
            <v>47775</v>
          </cell>
          <cell r="Y12">
            <v>47120</v>
          </cell>
          <cell r="Z12">
            <v>56809</v>
          </cell>
          <cell r="AA12">
            <v>2142439</v>
          </cell>
          <cell r="AB12">
            <v>0</v>
          </cell>
          <cell r="AD12">
            <v>13</v>
          </cell>
        </row>
        <row r="13">
          <cell r="A13" t="str">
            <v>Cooperative Hydro Embrun Inc.</v>
          </cell>
          <cell r="C13">
            <v>1809</v>
          </cell>
          <cell r="D13">
            <v>165</v>
          </cell>
          <cell r="E13">
            <v>11</v>
          </cell>
          <cell r="F13">
            <v>0</v>
          </cell>
          <cell r="G13">
            <v>0</v>
          </cell>
          <cell r="H13">
            <v>1985</v>
          </cell>
          <cell r="J13">
            <v>0</v>
          </cell>
          <cell r="K13">
            <v>5</v>
          </cell>
          <cell r="L13">
            <v>5</v>
          </cell>
          <cell r="N13">
            <v>16</v>
          </cell>
          <cell r="O13">
            <v>17</v>
          </cell>
          <cell r="P13">
            <v>33</v>
          </cell>
          <cell r="Q13">
            <v>0.51515151515151514</v>
          </cell>
          <cell r="R13">
            <v>28817757</v>
          </cell>
          <cell r="S13">
            <v>0</v>
          </cell>
          <cell r="T13">
            <v>1423851</v>
          </cell>
          <cell r="U13">
            <v>30241608</v>
          </cell>
          <cell r="W13">
            <v>6888</v>
          </cell>
          <cell r="X13">
            <v>5775</v>
          </cell>
          <cell r="Y13">
            <v>5420</v>
          </cell>
          <cell r="Z13">
            <v>6888</v>
          </cell>
          <cell r="AA13">
            <v>1145838</v>
          </cell>
          <cell r="AB13">
            <v>1049872</v>
          </cell>
          <cell r="AD13">
            <v>3</v>
          </cell>
        </row>
        <row r="14">
          <cell r="A14" t="str">
            <v>E.L.K. Energy Inc.</v>
          </cell>
          <cell r="C14">
            <v>10852</v>
          </cell>
          <cell r="D14">
            <v>1379</v>
          </cell>
          <cell r="E14">
            <v>167</v>
          </cell>
          <cell r="F14">
            <v>0</v>
          </cell>
          <cell r="G14">
            <v>0</v>
          </cell>
          <cell r="H14">
            <v>12398</v>
          </cell>
          <cell r="J14">
            <v>0</v>
          </cell>
          <cell r="K14">
            <v>22</v>
          </cell>
          <cell r="L14">
            <v>22</v>
          </cell>
          <cell r="N14">
            <v>89</v>
          </cell>
          <cell r="O14">
            <v>68</v>
          </cell>
          <cell r="P14">
            <v>157</v>
          </cell>
          <cell r="Q14">
            <v>0.43312101910828027</v>
          </cell>
          <cell r="R14">
            <v>231117742</v>
          </cell>
          <cell r="S14">
            <v>0</v>
          </cell>
          <cell r="T14">
            <v>12209981.080000013</v>
          </cell>
          <cell r="U14">
            <v>243327723.08000001</v>
          </cell>
          <cell r="W14">
            <v>45237</v>
          </cell>
          <cell r="X14">
            <v>54882</v>
          </cell>
          <cell r="Y14">
            <v>43392</v>
          </cell>
          <cell r="Z14">
            <v>54882</v>
          </cell>
          <cell r="AA14">
            <v>383055</v>
          </cell>
          <cell r="AB14">
            <v>0</v>
          </cell>
          <cell r="AD14">
            <v>20</v>
          </cell>
        </row>
        <row r="15">
          <cell r="A15" t="str">
            <v>Enersource Hydro Mississauga Inc.</v>
          </cell>
          <cell r="C15">
            <v>179182</v>
          </cell>
          <cell r="D15">
            <v>17809</v>
          </cell>
          <cell r="E15">
            <v>4359</v>
          </cell>
          <cell r="F15">
            <v>9</v>
          </cell>
          <cell r="G15">
            <v>0</v>
          </cell>
          <cell r="H15">
            <v>201359</v>
          </cell>
          <cell r="J15">
            <v>0</v>
          </cell>
          <cell r="K15">
            <v>292</v>
          </cell>
          <cell r="L15">
            <v>292</v>
          </cell>
          <cell r="N15">
            <v>1794</v>
          </cell>
          <cell r="O15">
            <v>3386</v>
          </cell>
          <cell r="P15">
            <v>5180</v>
          </cell>
          <cell r="Q15">
            <v>0.65366795366795372</v>
          </cell>
          <cell r="R15">
            <v>7352353485</v>
          </cell>
          <cell r="S15">
            <v>642670</v>
          </cell>
          <cell r="T15">
            <v>221046874</v>
          </cell>
          <cell r="U15">
            <v>7574043029</v>
          </cell>
          <cell r="W15">
            <v>1163509</v>
          </cell>
          <cell r="X15">
            <v>1350195</v>
          </cell>
          <cell r="Y15">
            <v>1166107</v>
          </cell>
          <cell r="Z15">
            <v>1350195</v>
          </cell>
          <cell r="AA15">
            <v>53157635</v>
          </cell>
          <cell r="AB15">
            <v>0</v>
          </cell>
          <cell r="AD15">
            <v>349</v>
          </cell>
        </row>
        <row r="16">
          <cell r="A16" t="str">
            <v>Entegrus Powerlines Inc.</v>
          </cell>
          <cell r="C16">
            <v>36131</v>
          </cell>
          <cell r="D16">
            <v>3874</v>
          </cell>
          <cell r="E16">
            <v>497</v>
          </cell>
          <cell r="F16">
            <v>1</v>
          </cell>
          <cell r="G16">
            <v>0</v>
          </cell>
          <cell r="H16">
            <v>40503</v>
          </cell>
          <cell r="J16">
            <v>0</v>
          </cell>
          <cell r="K16">
            <v>96</v>
          </cell>
          <cell r="L16">
            <v>96</v>
          </cell>
          <cell r="N16">
            <v>683</v>
          </cell>
          <cell r="O16">
            <v>272</v>
          </cell>
          <cell r="P16">
            <v>955</v>
          </cell>
          <cell r="Q16">
            <v>0.28481675392670158</v>
          </cell>
          <cell r="R16">
            <v>937418189</v>
          </cell>
          <cell r="S16">
            <v>2868762</v>
          </cell>
          <cell r="T16">
            <v>37143138</v>
          </cell>
          <cell r="U16">
            <v>977430089</v>
          </cell>
          <cell r="W16">
            <v>148138</v>
          </cell>
          <cell r="X16">
            <v>173750</v>
          </cell>
          <cell r="Y16">
            <v>143464</v>
          </cell>
          <cell r="Z16">
            <v>173750</v>
          </cell>
          <cell r="AA16">
            <v>7844203.1500000004</v>
          </cell>
          <cell r="AB16">
            <v>0</v>
          </cell>
          <cell r="AD16">
            <v>48</v>
          </cell>
        </row>
        <row r="17">
          <cell r="A17" t="str">
            <v>EnWin Utilities Ltd.</v>
          </cell>
          <cell r="C17">
            <v>78144</v>
          </cell>
          <cell r="D17">
            <v>7302</v>
          </cell>
          <cell r="E17">
            <v>1211</v>
          </cell>
          <cell r="F17">
            <v>5</v>
          </cell>
          <cell r="G17">
            <v>0</v>
          </cell>
          <cell r="H17">
            <v>86662</v>
          </cell>
          <cell r="J17">
            <v>0</v>
          </cell>
          <cell r="K17">
            <v>120</v>
          </cell>
          <cell r="L17">
            <v>120</v>
          </cell>
          <cell r="N17">
            <v>688</v>
          </cell>
          <cell r="O17">
            <v>469</v>
          </cell>
          <cell r="P17">
            <v>1157</v>
          </cell>
          <cell r="Q17">
            <v>0.40535868625756266</v>
          </cell>
          <cell r="R17">
            <v>2471950155.5700002</v>
          </cell>
          <cell r="S17">
            <v>1729681</v>
          </cell>
          <cell r="T17">
            <v>42347040.299999729</v>
          </cell>
          <cell r="U17">
            <v>2516026876.8699999</v>
          </cell>
          <cell r="W17">
            <v>399100</v>
          </cell>
          <cell r="X17">
            <v>451500</v>
          </cell>
          <cell r="Y17">
            <v>380517</v>
          </cell>
          <cell r="Z17">
            <v>451500</v>
          </cell>
          <cell r="AA17">
            <v>19920856.100000001</v>
          </cell>
          <cell r="AB17">
            <v>0</v>
          </cell>
          <cell r="AD17">
            <v>190</v>
          </cell>
        </row>
        <row r="18">
          <cell r="A18" t="str">
            <v>Erie Thames Powerlines Corporation</v>
          </cell>
          <cell r="C18">
            <v>16327</v>
          </cell>
          <cell r="D18">
            <v>1787</v>
          </cell>
          <cell r="E18">
            <v>150</v>
          </cell>
          <cell r="F18">
            <v>1</v>
          </cell>
          <cell r="G18">
            <v>0</v>
          </cell>
          <cell r="H18">
            <v>18265</v>
          </cell>
          <cell r="J18">
            <v>1830</v>
          </cell>
          <cell r="K18">
            <v>57</v>
          </cell>
          <cell r="L18">
            <v>1887</v>
          </cell>
          <cell r="N18">
            <v>247</v>
          </cell>
          <cell r="O18">
            <v>95</v>
          </cell>
          <cell r="P18">
            <v>342</v>
          </cell>
          <cell r="Q18">
            <v>0.27777777777777779</v>
          </cell>
          <cell r="R18">
            <v>489568781.69</v>
          </cell>
          <cell r="S18">
            <v>1686219</v>
          </cell>
          <cell r="T18">
            <v>22897533.789999992</v>
          </cell>
          <cell r="U18">
            <v>514152534.48000002</v>
          </cell>
          <cell r="W18">
            <v>80997</v>
          </cell>
          <cell r="X18">
            <v>76610</v>
          </cell>
          <cell r="Y18">
            <v>74276</v>
          </cell>
          <cell r="Z18">
            <v>80997</v>
          </cell>
          <cell r="AA18">
            <v>4001932.44</v>
          </cell>
          <cell r="AB18">
            <v>0</v>
          </cell>
          <cell r="AD18">
            <v>46</v>
          </cell>
        </row>
        <row r="19">
          <cell r="A19" t="str">
            <v>Espanola Regional Hydro Distribution Corporation</v>
          </cell>
          <cell r="C19">
            <v>2862</v>
          </cell>
          <cell r="D19">
            <v>410</v>
          </cell>
          <cell r="E19">
            <v>29</v>
          </cell>
          <cell r="F19">
            <v>0</v>
          </cell>
          <cell r="G19">
            <v>0</v>
          </cell>
          <cell r="H19">
            <v>3301</v>
          </cell>
          <cell r="J19">
            <v>76</v>
          </cell>
          <cell r="K19">
            <v>26</v>
          </cell>
          <cell r="L19">
            <v>102</v>
          </cell>
          <cell r="N19">
            <v>127</v>
          </cell>
          <cell r="O19">
            <v>11</v>
          </cell>
          <cell r="P19">
            <v>138</v>
          </cell>
          <cell r="Q19">
            <v>7.9710144927536225E-2</v>
          </cell>
          <cell r="R19">
            <v>61496791.210000001</v>
          </cell>
          <cell r="S19">
            <v>215101</v>
          </cell>
          <cell r="T19">
            <v>2755306.7899999991</v>
          </cell>
          <cell r="U19">
            <v>64467199</v>
          </cell>
          <cell r="W19">
            <v>12075</v>
          </cell>
          <cell r="X19">
            <v>7837</v>
          </cell>
          <cell r="Y19">
            <v>9956</v>
          </cell>
          <cell r="Z19">
            <v>12075</v>
          </cell>
          <cell r="AA19">
            <v>272121.2</v>
          </cell>
          <cell r="AB19">
            <v>13821.85</v>
          </cell>
          <cell r="AD19">
            <v>7</v>
          </cell>
        </row>
        <row r="20">
          <cell r="A20" t="str">
            <v>Essex Powerlines Corporation</v>
          </cell>
          <cell r="C20">
            <v>26471</v>
          </cell>
          <cell r="D20">
            <v>1922</v>
          </cell>
          <cell r="E20">
            <v>247</v>
          </cell>
          <cell r="F20">
            <v>0</v>
          </cell>
          <cell r="G20">
            <v>0</v>
          </cell>
          <cell r="H20">
            <v>28640</v>
          </cell>
          <cell r="J20">
            <v>38</v>
          </cell>
          <cell r="K20">
            <v>66</v>
          </cell>
          <cell r="L20">
            <v>104</v>
          </cell>
          <cell r="N20">
            <v>192</v>
          </cell>
          <cell r="O20">
            <v>269</v>
          </cell>
          <cell r="P20">
            <v>461</v>
          </cell>
          <cell r="Q20">
            <v>0.58351409978308022</v>
          </cell>
          <cell r="R20">
            <v>501872117</v>
          </cell>
          <cell r="S20">
            <v>2732554</v>
          </cell>
          <cell r="T20">
            <v>23729444</v>
          </cell>
          <cell r="U20">
            <v>528334115</v>
          </cell>
          <cell r="W20">
            <v>85153</v>
          </cell>
          <cell r="X20">
            <v>122201</v>
          </cell>
          <cell r="Y20">
            <v>88484</v>
          </cell>
          <cell r="Z20">
            <v>122201</v>
          </cell>
          <cell r="AA20">
            <v>6078168.71</v>
          </cell>
          <cell r="AB20">
            <v>0</v>
          </cell>
          <cell r="AD20">
            <v>48</v>
          </cell>
        </row>
        <row r="21">
          <cell r="A21" t="str">
            <v>Festival Hydro Inc.</v>
          </cell>
          <cell r="C21">
            <v>18099</v>
          </cell>
          <cell r="D21">
            <v>2041</v>
          </cell>
          <cell r="E21">
            <v>221</v>
          </cell>
          <cell r="F21">
            <v>1</v>
          </cell>
          <cell r="G21">
            <v>0</v>
          </cell>
          <cell r="H21">
            <v>20362</v>
          </cell>
          <cell r="J21">
            <v>0</v>
          </cell>
          <cell r="K21">
            <v>45</v>
          </cell>
          <cell r="L21">
            <v>45</v>
          </cell>
          <cell r="N21">
            <v>165</v>
          </cell>
          <cell r="O21">
            <v>93</v>
          </cell>
          <cell r="P21">
            <v>258</v>
          </cell>
          <cell r="Q21">
            <v>0.36046511627906974</v>
          </cell>
          <cell r="R21">
            <v>597966371</v>
          </cell>
          <cell r="S21">
            <v>15815</v>
          </cell>
          <cell r="T21">
            <v>17412904</v>
          </cell>
          <cell r="U21">
            <v>615395090</v>
          </cell>
          <cell r="W21">
            <v>97782</v>
          </cell>
          <cell r="X21">
            <v>100080</v>
          </cell>
          <cell r="Y21">
            <v>70516</v>
          </cell>
          <cell r="Z21">
            <v>100080</v>
          </cell>
          <cell r="AA21">
            <v>2551930</v>
          </cell>
          <cell r="AB21">
            <v>0</v>
          </cell>
          <cell r="AD21">
            <v>45</v>
          </cell>
        </row>
        <row r="22">
          <cell r="A22" t="str">
            <v>Fort Frances Power Corporation</v>
          </cell>
          <cell r="C22">
            <v>3298</v>
          </cell>
          <cell r="D22">
            <v>408</v>
          </cell>
          <cell r="E22">
            <v>47</v>
          </cell>
          <cell r="F22">
            <v>0</v>
          </cell>
          <cell r="G22">
            <v>0</v>
          </cell>
          <cell r="H22">
            <v>3753</v>
          </cell>
          <cell r="J22">
            <v>0</v>
          </cell>
          <cell r="K22">
            <v>26</v>
          </cell>
          <cell r="L22">
            <v>26</v>
          </cell>
          <cell r="N22">
            <v>66</v>
          </cell>
          <cell r="O22">
            <v>10</v>
          </cell>
          <cell r="P22">
            <v>76</v>
          </cell>
          <cell r="Q22">
            <v>0.13157894736842105</v>
          </cell>
          <cell r="R22">
            <v>78876429</v>
          </cell>
          <cell r="S22">
            <v>0</v>
          </cell>
          <cell r="T22">
            <v>3691697</v>
          </cell>
          <cell r="U22">
            <v>82568126</v>
          </cell>
          <cell r="W22">
            <v>17924</v>
          </cell>
          <cell r="X22">
            <v>12720</v>
          </cell>
          <cell r="Y22">
            <v>13417</v>
          </cell>
          <cell r="Z22">
            <v>17924</v>
          </cell>
          <cell r="AA22">
            <v>287758.14</v>
          </cell>
          <cell r="AB22">
            <v>26511.599999999999</v>
          </cell>
          <cell r="AD22">
            <v>9</v>
          </cell>
        </row>
        <row r="23">
          <cell r="A23" t="str">
            <v>Greater Sudbury Hydro Inc.</v>
          </cell>
          <cell r="C23">
            <v>42680</v>
          </cell>
          <cell r="D23">
            <v>3996</v>
          </cell>
          <cell r="E23">
            <v>511</v>
          </cell>
          <cell r="F23">
            <v>0</v>
          </cell>
          <cell r="G23">
            <v>0</v>
          </cell>
          <cell r="H23">
            <v>47187</v>
          </cell>
          <cell r="J23">
            <v>120</v>
          </cell>
          <cell r="K23">
            <v>290</v>
          </cell>
          <cell r="L23">
            <v>410</v>
          </cell>
          <cell r="N23">
            <v>752</v>
          </cell>
          <cell r="O23">
            <v>244</v>
          </cell>
          <cell r="P23">
            <v>996</v>
          </cell>
          <cell r="Q23">
            <v>0.24497991967871485</v>
          </cell>
          <cell r="R23">
            <v>925450625</v>
          </cell>
          <cell r="S23">
            <v>427231</v>
          </cell>
          <cell r="T23">
            <v>46586839</v>
          </cell>
          <cell r="U23">
            <v>972464695</v>
          </cell>
          <cell r="W23">
            <v>194174</v>
          </cell>
          <cell r="X23">
            <v>134630</v>
          </cell>
          <cell r="Y23">
            <v>148154</v>
          </cell>
          <cell r="Z23">
            <v>194174</v>
          </cell>
          <cell r="AA23">
            <v>8350244</v>
          </cell>
          <cell r="AB23">
            <v>0</v>
          </cell>
          <cell r="AD23">
            <v>66</v>
          </cell>
        </row>
        <row r="24">
          <cell r="A24" t="str">
            <v>Grimsby Power Incorporated</v>
          </cell>
          <cell r="C24">
            <v>10180</v>
          </cell>
          <cell r="D24">
            <v>749</v>
          </cell>
          <cell r="E24">
            <v>109</v>
          </cell>
          <cell r="F24">
            <v>0</v>
          </cell>
          <cell r="G24">
            <v>0</v>
          </cell>
          <cell r="H24">
            <v>11038</v>
          </cell>
          <cell r="J24">
            <v>50</v>
          </cell>
          <cell r="K24">
            <v>19</v>
          </cell>
          <cell r="L24">
            <v>69</v>
          </cell>
          <cell r="N24">
            <v>172</v>
          </cell>
          <cell r="O24">
            <v>73</v>
          </cell>
          <cell r="P24">
            <v>245</v>
          </cell>
          <cell r="Q24">
            <v>0.29795918367346941</v>
          </cell>
          <cell r="R24">
            <v>179826387.5</v>
          </cell>
          <cell r="S24">
            <v>64479.48</v>
          </cell>
          <cell r="T24">
            <v>8293064.1100000106</v>
          </cell>
          <cell r="U24">
            <v>188183931.09</v>
          </cell>
          <cell r="W24">
            <v>32688</v>
          </cell>
          <cell r="X24">
            <v>38288</v>
          </cell>
          <cell r="Y24">
            <v>20954</v>
          </cell>
          <cell r="Z24">
            <v>38288</v>
          </cell>
          <cell r="AA24">
            <v>3078232.8</v>
          </cell>
          <cell r="AB24">
            <v>0</v>
          </cell>
          <cell r="AD24">
            <v>18</v>
          </cell>
        </row>
        <row r="25">
          <cell r="A25" t="str">
            <v>Guelph Hydro Electric Systems Inc.</v>
          </cell>
          <cell r="C25">
            <v>48384</v>
          </cell>
          <cell r="D25">
            <v>3976</v>
          </cell>
          <cell r="E25">
            <v>599</v>
          </cell>
          <cell r="F25">
            <v>4</v>
          </cell>
          <cell r="G25">
            <v>0</v>
          </cell>
          <cell r="H25">
            <v>52963</v>
          </cell>
          <cell r="J25">
            <v>0</v>
          </cell>
          <cell r="K25">
            <v>93</v>
          </cell>
          <cell r="L25">
            <v>93</v>
          </cell>
          <cell r="N25">
            <v>427</v>
          </cell>
          <cell r="O25">
            <v>682</v>
          </cell>
          <cell r="P25">
            <v>1109</v>
          </cell>
          <cell r="Q25">
            <v>0.61496844003606854</v>
          </cell>
          <cell r="R25">
            <v>1731366636.9000001</v>
          </cell>
          <cell r="S25">
            <v>0</v>
          </cell>
          <cell r="T25">
            <v>28372706.099999905</v>
          </cell>
          <cell r="U25">
            <v>1759739343</v>
          </cell>
          <cell r="W25">
            <v>270343</v>
          </cell>
          <cell r="X25">
            <v>285265</v>
          </cell>
          <cell r="Y25">
            <v>266322</v>
          </cell>
          <cell r="Z25">
            <v>285265</v>
          </cell>
          <cell r="AA25">
            <v>10932986</v>
          </cell>
          <cell r="AB25">
            <v>-312119</v>
          </cell>
          <cell r="AD25">
            <v>119</v>
          </cell>
        </row>
        <row r="26">
          <cell r="A26" t="str">
            <v>Haldimand County Hydro Inc.</v>
          </cell>
          <cell r="C26">
            <v>18819</v>
          </cell>
          <cell r="D26">
            <v>2343</v>
          </cell>
          <cell r="E26">
            <v>161</v>
          </cell>
          <cell r="F26">
            <v>0</v>
          </cell>
          <cell r="G26">
            <v>0</v>
          </cell>
          <cell r="H26">
            <v>21323</v>
          </cell>
          <cell r="J26">
            <v>1216</v>
          </cell>
          <cell r="K26">
            <v>36</v>
          </cell>
          <cell r="L26">
            <v>1252</v>
          </cell>
          <cell r="N26">
            <v>1638</v>
          </cell>
          <cell r="O26">
            <v>93</v>
          </cell>
          <cell r="P26">
            <v>1731</v>
          </cell>
          <cell r="Q26">
            <v>5.3726169844020795E-2</v>
          </cell>
          <cell r="R26">
            <v>427696143</v>
          </cell>
          <cell r="S26">
            <v>2013504</v>
          </cell>
          <cell r="T26">
            <v>22308552</v>
          </cell>
          <cell r="U26">
            <v>452018199</v>
          </cell>
          <cell r="W26">
            <v>81848</v>
          </cell>
          <cell r="X26">
            <v>75727</v>
          </cell>
          <cell r="Y26">
            <v>69909</v>
          </cell>
          <cell r="Z26">
            <v>81848</v>
          </cell>
          <cell r="AA26">
            <v>6739935.6699999999</v>
          </cell>
          <cell r="AB26">
            <v>0</v>
          </cell>
          <cell r="AD26">
            <v>55</v>
          </cell>
        </row>
        <row r="27">
          <cell r="A27" t="str">
            <v>Halton Hills Hydro Inc.</v>
          </cell>
          <cell r="C27">
            <v>19623</v>
          </cell>
          <cell r="D27">
            <v>1701</v>
          </cell>
          <cell r="E27">
            <v>210</v>
          </cell>
          <cell r="F27">
            <v>0</v>
          </cell>
          <cell r="G27">
            <v>0</v>
          </cell>
          <cell r="H27">
            <v>21534</v>
          </cell>
          <cell r="J27">
            <v>255</v>
          </cell>
          <cell r="K27">
            <v>26</v>
          </cell>
          <cell r="L27">
            <v>281</v>
          </cell>
          <cell r="N27">
            <v>896</v>
          </cell>
          <cell r="O27">
            <v>631</v>
          </cell>
          <cell r="P27">
            <v>1527</v>
          </cell>
          <cell r="Q27">
            <v>0.41322855271774722</v>
          </cell>
          <cell r="R27">
            <v>509742327</v>
          </cell>
          <cell r="S27">
            <v>2152182</v>
          </cell>
          <cell r="T27">
            <v>21921686</v>
          </cell>
          <cell r="U27">
            <v>533816195</v>
          </cell>
          <cell r="W27">
            <v>91522</v>
          </cell>
          <cell r="X27">
            <v>98677</v>
          </cell>
          <cell r="Y27">
            <v>87658</v>
          </cell>
          <cell r="Z27">
            <v>98677</v>
          </cell>
          <cell r="AA27">
            <v>9475080</v>
          </cell>
          <cell r="AB27">
            <v>0</v>
          </cell>
          <cell r="AD27">
            <v>53</v>
          </cell>
        </row>
        <row r="28">
          <cell r="A28" t="str">
            <v>Hearst Power Distribution Company Limited</v>
          </cell>
          <cell r="C28">
            <v>2264</v>
          </cell>
          <cell r="D28">
            <v>410</v>
          </cell>
          <cell r="E28">
            <v>42</v>
          </cell>
          <cell r="F28">
            <v>2</v>
          </cell>
          <cell r="G28">
            <v>0</v>
          </cell>
          <cell r="H28">
            <v>2718</v>
          </cell>
          <cell r="J28">
            <v>0</v>
          </cell>
          <cell r="K28">
            <v>93</v>
          </cell>
          <cell r="L28">
            <v>93</v>
          </cell>
          <cell r="N28">
            <v>57</v>
          </cell>
          <cell r="O28">
            <v>11</v>
          </cell>
          <cell r="P28">
            <v>68</v>
          </cell>
          <cell r="Q28">
            <v>0.16176470588235295</v>
          </cell>
          <cell r="R28">
            <v>84874598</v>
          </cell>
          <cell r="S28">
            <v>31932</v>
          </cell>
          <cell r="T28">
            <v>1879102</v>
          </cell>
          <cell r="U28">
            <v>86785632</v>
          </cell>
          <cell r="W28">
            <v>17346</v>
          </cell>
          <cell r="X28">
            <v>11938</v>
          </cell>
          <cell r="Y28">
            <v>13957</v>
          </cell>
          <cell r="Z28">
            <v>17346</v>
          </cell>
          <cell r="AA28">
            <v>129407.22</v>
          </cell>
          <cell r="AB28">
            <v>0</v>
          </cell>
          <cell r="AD28">
            <v>4</v>
          </cell>
        </row>
        <row r="29">
          <cell r="A29" t="str">
            <v>Horizon Utilities Corporation</v>
          </cell>
          <cell r="C29">
            <v>219536</v>
          </cell>
          <cell r="D29">
            <v>18464</v>
          </cell>
          <cell r="E29">
            <v>2065</v>
          </cell>
          <cell r="F29">
            <v>11</v>
          </cell>
          <cell r="G29">
            <v>0</v>
          </cell>
          <cell r="H29">
            <v>240076</v>
          </cell>
          <cell r="J29">
            <v>88</v>
          </cell>
          <cell r="K29">
            <v>342</v>
          </cell>
          <cell r="L29">
            <v>430</v>
          </cell>
          <cell r="N29">
            <v>1507</v>
          </cell>
          <cell r="O29">
            <v>1966</v>
          </cell>
          <cell r="P29">
            <v>3473</v>
          </cell>
          <cell r="Q29">
            <v>0.5660811978116902</v>
          </cell>
          <cell r="R29">
            <v>4716489427</v>
          </cell>
          <cell r="S29">
            <v>3002917</v>
          </cell>
          <cell r="T29">
            <v>153275193</v>
          </cell>
          <cell r="U29">
            <v>4872767537</v>
          </cell>
          <cell r="W29">
            <v>871321</v>
          </cell>
          <cell r="X29">
            <v>944108</v>
          </cell>
          <cell r="Y29">
            <v>840835</v>
          </cell>
          <cell r="Z29">
            <v>944108</v>
          </cell>
          <cell r="AA29">
            <v>42072055</v>
          </cell>
          <cell r="AB29">
            <v>0</v>
          </cell>
          <cell r="AD29">
            <v>340</v>
          </cell>
        </row>
        <row r="30">
          <cell r="A30" t="str">
            <v>Hydro 2000 Inc.</v>
          </cell>
          <cell r="C30">
            <v>1069</v>
          </cell>
          <cell r="D30">
            <v>141</v>
          </cell>
          <cell r="E30">
            <v>11</v>
          </cell>
          <cell r="F30">
            <v>0</v>
          </cell>
          <cell r="G30">
            <v>0</v>
          </cell>
          <cell r="H30">
            <v>1221</v>
          </cell>
          <cell r="J30">
            <v>0</v>
          </cell>
          <cell r="K30">
            <v>9</v>
          </cell>
          <cell r="L30">
            <v>9</v>
          </cell>
          <cell r="N30">
            <v>18</v>
          </cell>
          <cell r="O30">
            <v>3</v>
          </cell>
          <cell r="P30">
            <v>21</v>
          </cell>
          <cell r="Q30">
            <v>0.14285714285714285</v>
          </cell>
          <cell r="R30">
            <v>22826761</v>
          </cell>
          <cell r="S30">
            <v>113755</v>
          </cell>
          <cell r="T30">
            <v>2234813</v>
          </cell>
          <cell r="U30">
            <v>25175329</v>
          </cell>
          <cell r="W30">
            <v>6213</v>
          </cell>
          <cell r="X30">
            <v>3773</v>
          </cell>
          <cell r="Y30">
            <v>3989</v>
          </cell>
          <cell r="Z30">
            <v>6213</v>
          </cell>
          <cell r="AA30">
            <v>79384</v>
          </cell>
          <cell r="AB30">
            <v>0</v>
          </cell>
          <cell r="AD30">
            <v>3</v>
          </cell>
        </row>
        <row r="31">
          <cell r="A31" t="str">
            <v>Hydro Hawkesbury Inc.</v>
          </cell>
          <cell r="C31">
            <v>4818</v>
          </cell>
          <cell r="D31">
            <v>600</v>
          </cell>
          <cell r="E31">
            <v>81</v>
          </cell>
          <cell r="F31">
            <v>0</v>
          </cell>
          <cell r="G31">
            <v>0</v>
          </cell>
          <cell r="H31">
            <v>5499</v>
          </cell>
          <cell r="J31">
            <v>0</v>
          </cell>
          <cell r="K31">
            <v>8</v>
          </cell>
          <cell r="L31">
            <v>8</v>
          </cell>
          <cell r="N31">
            <v>57</v>
          </cell>
          <cell r="O31">
            <v>11</v>
          </cell>
          <cell r="P31">
            <v>68</v>
          </cell>
          <cell r="Q31">
            <v>0.16176470588235295</v>
          </cell>
          <cell r="R31">
            <v>143606220</v>
          </cell>
          <cell r="S31">
            <v>0</v>
          </cell>
          <cell r="T31">
            <v>4602007</v>
          </cell>
          <cell r="U31">
            <v>148208227</v>
          </cell>
          <cell r="W31">
            <v>33821</v>
          </cell>
          <cell r="X31">
            <v>23800</v>
          </cell>
          <cell r="Y31">
            <v>25173</v>
          </cell>
          <cell r="Z31">
            <v>33821</v>
          </cell>
          <cell r="AA31">
            <v>845104.76</v>
          </cell>
          <cell r="AB31">
            <v>749782</v>
          </cell>
          <cell r="AD31">
            <v>8</v>
          </cell>
        </row>
        <row r="32">
          <cell r="A32" t="str">
            <v>Hydro One Brampton Networks Inc.</v>
          </cell>
          <cell r="C32">
            <v>138992</v>
          </cell>
          <cell r="D32">
            <v>9019</v>
          </cell>
          <cell r="E32">
            <v>1601</v>
          </cell>
          <cell r="F32">
            <v>6</v>
          </cell>
          <cell r="G32">
            <v>0</v>
          </cell>
          <cell r="H32">
            <v>149618</v>
          </cell>
          <cell r="J32">
            <v>0</v>
          </cell>
          <cell r="K32">
            <v>269</v>
          </cell>
          <cell r="L32">
            <v>269</v>
          </cell>
          <cell r="N32">
            <v>784</v>
          </cell>
          <cell r="O32">
            <v>2458</v>
          </cell>
          <cell r="P32">
            <v>3242</v>
          </cell>
          <cell r="Q32">
            <v>0.75817396668723014</v>
          </cell>
          <cell r="R32">
            <v>3904199906.73</v>
          </cell>
          <cell r="S32">
            <v>19223047.649999999</v>
          </cell>
          <cell r="T32">
            <v>103571888.1400001</v>
          </cell>
          <cell r="U32">
            <v>4026994842.5200005</v>
          </cell>
          <cell r="W32">
            <v>629788</v>
          </cell>
          <cell r="X32">
            <v>746955</v>
          </cell>
          <cell r="Y32">
            <v>633728</v>
          </cell>
          <cell r="Z32">
            <v>746955</v>
          </cell>
          <cell r="AA32">
            <v>45810457</v>
          </cell>
          <cell r="AB32">
            <v>0</v>
          </cell>
          <cell r="AD32">
            <v>213</v>
          </cell>
        </row>
        <row r="33">
          <cell r="A33" t="str">
            <v>Hydro One Networks Inc.</v>
          </cell>
          <cell r="C33">
            <v>1106663</v>
          </cell>
          <cell r="D33">
            <v>104083</v>
          </cell>
          <cell r="E33">
            <v>7984</v>
          </cell>
          <cell r="F33">
            <v>0</v>
          </cell>
          <cell r="G33">
            <v>562</v>
          </cell>
          <cell r="H33">
            <v>1219292</v>
          </cell>
          <cell r="J33">
            <v>650000</v>
          </cell>
          <cell r="K33">
            <v>0</v>
          </cell>
          <cell r="L33">
            <v>650000</v>
          </cell>
          <cell r="N33">
            <v>111395</v>
          </cell>
          <cell r="O33">
            <v>8790</v>
          </cell>
          <cell r="P33">
            <v>120185</v>
          </cell>
          <cell r="Q33">
            <v>7.3137246744602077E-2</v>
          </cell>
          <cell r="R33">
            <v>24085369286.200001</v>
          </cell>
          <cell r="S33">
            <v>48543165.93</v>
          </cell>
          <cell r="T33">
            <v>1758839670.5100005</v>
          </cell>
          <cell r="U33">
            <v>25892752122.640003</v>
          </cell>
          <cell r="W33">
            <v>3769643</v>
          </cell>
          <cell r="X33">
            <v>2735971</v>
          </cell>
          <cell r="Y33">
            <v>2867284</v>
          </cell>
          <cell r="Z33">
            <v>3769643</v>
          </cell>
          <cell r="AA33">
            <v>678687618</v>
          </cell>
          <cell r="AB33">
            <v>620659437</v>
          </cell>
          <cell r="AD33">
            <v>3214</v>
          </cell>
        </row>
        <row r="34">
          <cell r="A34" t="str">
            <v>Hydro Ottawa Limited</v>
          </cell>
          <cell r="C34">
            <v>291759</v>
          </cell>
          <cell r="D34">
            <v>24149</v>
          </cell>
          <cell r="E34">
            <v>3617</v>
          </cell>
          <cell r="F34">
            <v>11</v>
          </cell>
          <cell r="G34">
            <v>0</v>
          </cell>
          <cell r="H34">
            <v>319536</v>
          </cell>
          <cell r="J34">
            <v>650</v>
          </cell>
          <cell r="K34">
            <v>454</v>
          </cell>
          <cell r="L34">
            <v>1104</v>
          </cell>
          <cell r="N34">
            <v>2704</v>
          </cell>
          <cell r="O34">
            <v>2802</v>
          </cell>
          <cell r="P34">
            <v>5506</v>
          </cell>
          <cell r="Q34">
            <v>0.50889938249182709</v>
          </cell>
          <cell r="R34">
            <v>7425540554</v>
          </cell>
          <cell r="S34">
            <v>3995183</v>
          </cell>
          <cell r="T34">
            <v>206618598.30000019</v>
          </cell>
          <cell r="U34">
            <v>7636154335.3000002</v>
          </cell>
          <cell r="W34">
            <v>1254239</v>
          </cell>
          <cell r="X34">
            <v>1307651</v>
          </cell>
          <cell r="Y34">
            <v>1147085</v>
          </cell>
          <cell r="Z34">
            <v>1307651</v>
          </cell>
          <cell r="AA34">
            <v>133483454</v>
          </cell>
          <cell r="AB34">
            <v>11296788</v>
          </cell>
          <cell r="AD34">
            <v>640</v>
          </cell>
        </row>
        <row r="35">
          <cell r="A35" t="str">
            <v>Innpower Corporation</v>
          </cell>
          <cell r="C35">
            <v>14728</v>
          </cell>
          <cell r="D35">
            <v>993</v>
          </cell>
          <cell r="E35">
            <v>69</v>
          </cell>
          <cell r="F35">
            <v>0</v>
          </cell>
          <cell r="G35">
            <v>0</v>
          </cell>
          <cell r="H35">
            <v>15790</v>
          </cell>
          <cell r="J35">
            <v>219</v>
          </cell>
          <cell r="K35">
            <v>73</v>
          </cell>
          <cell r="L35">
            <v>292</v>
          </cell>
          <cell r="N35">
            <v>650</v>
          </cell>
          <cell r="O35">
            <v>168</v>
          </cell>
          <cell r="P35">
            <v>818</v>
          </cell>
          <cell r="Q35">
            <v>0.20537897310513448</v>
          </cell>
          <cell r="R35">
            <v>235894902.19999999</v>
          </cell>
          <cell r="S35">
            <v>1158299</v>
          </cell>
          <cell r="T35">
            <v>11174092.57</v>
          </cell>
          <cell r="U35">
            <v>248227293.76999998</v>
          </cell>
          <cell r="W35">
            <v>51363</v>
          </cell>
          <cell r="X35">
            <v>45869</v>
          </cell>
          <cell r="Y35">
            <v>43602</v>
          </cell>
          <cell r="Z35">
            <v>51363</v>
          </cell>
          <cell r="AA35">
            <v>6447854.4500000002</v>
          </cell>
          <cell r="AB35">
            <v>0</v>
          </cell>
          <cell r="AD35">
            <v>39</v>
          </cell>
        </row>
        <row r="36">
          <cell r="A36" t="str">
            <v>Kenora Hydro Electric Corporation Ltd.</v>
          </cell>
          <cell r="C36">
            <v>4751</v>
          </cell>
          <cell r="D36">
            <v>745</v>
          </cell>
          <cell r="E36">
            <v>62</v>
          </cell>
          <cell r="F36">
            <v>0</v>
          </cell>
          <cell r="G36">
            <v>0</v>
          </cell>
          <cell r="H36">
            <v>5558</v>
          </cell>
          <cell r="J36">
            <v>0</v>
          </cell>
          <cell r="K36">
            <v>24</v>
          </cell>
          <cell r="L36">
            <v>24</v>
          </cell>
          <cell r="N36">
            <v>88</v>
          </cell>
          <cell r="O36">
            <v>10</v>
          </cell>
          <cell r="P36">
            <v>98</v>
          </cell>
          <cell r="Q36">
            <v>0.10204081632653061</v>
          </cell>
          <cell r="R36">
            <v>105946615</v>
          </cell>
          <cell r="S36">
            <v>0</v>
          </cell>
          <cell r="T36">
            <v>3633160</v>
          </cell>
          <cell r="U36">
            <v>109579775</v>
          </cell>
          <cell r="W36">
            <v>21755</v>
          </cell>
          <cell r="X36">
            <v>16223</v>
          </cell>
          <cell r="Y36">
            <v>17037</v>
          </cell>
          <cell r="Z36">
            <v>21755</v>
          </cell>
          <cell r="AA36">
            <v>742698</v>
          </cell>
          <cell r="AB36">
            <v>0</v>
          </cell>
          <cell r="AD36">
            <v>13</v>
          </cell>
        </row>
        <row r="37">
          <cell r="A37" t="str">
            <v>Kingston Hydro Corporation</v>
          </cell>
          <cell r="C37">
            <v>24046</v>
          </cell>
          <cell r="D37">
            <v>2981</v>
          </cell>
          <cell r="E37">
            <v>326</v>
          </cell>
          <cell r="F37">
            <v>3</v>
          </cell>
          <cell r="G37">
            <v>0</v>
          </cell>
          <cell r="H37">
            <v>27356</v>
          </cell>
          <cell r="J37">
            <v>0</v>
          </cell>
          <cell r="K37">
            <v>32</v>
          </cell>
          <cell r="L37">
            <v>32</v>
          </cell>
          <cell r="N37">
            <v>230</v>
          </cell>
          <cell r="O37">
            <v>127</v>
          </cell>
          <cell r="P37">
            <v>357</v>
          </cell>
          <cell r="Q37">
            <v>0.35574229691876752</v>
          </cell>
          <cell r="R37">
            <v>710613237</v>
          </cell>
          <cell r="S37">
            <v>0</v>
          </cell>
          <cell r="T37">
            <v>24285085</v>
          </cell>
          <cell r="U37">
            <v>734898322</v>
          </cell>
          <cell r="W37">
            <v>134473</v>
          </cell>
          <cell r="X37">
            <v>108242</v>
          </cell>
          <cell r="Y37">
            <v>108180</v>
          </cell>
          <cell r="Z37">
            <v>134473</v>
          </cell>
          <cell r="AA37">
            <v>3684061.91</v>
          </cell>
          <cell r="AB37">
            <v>0</v>
          </cell>
          <cell r="AD37">
            <v>0</v>
          </cell>
        </row>
        <row r="38">
          <cell r="A38" t="str">
            <v>Kitchener-Wilmot Hydro Inc.</v>
          </cell>
          <cell r="C38">
            <v>82425</v>
          </cell>
          <cell r="D38">
            <v>7776</v>
          </cell>
          <cell r="E38">
            <v>941</v>
          </cell>
          <cell r="F38">
            <v>1</v>
          </cell>
          <cell r="G38">
            <v>0</v>
          </cell>
          <cell r="H38">
            <v>91143</v>
          </cell>
          <cell r="J38">
            <v>284</v>
          </cell>
          <cell r="K38">
            <v>125</v>
          </cell>
          <cell r="L38">
            <v>409</v>
          </cell>
          <cell r="N38">
            <v>1029</v>
          </cell>
          <cell r="O38">
            <v>875</v>
          </cell>
          <cell r="P38">
            <v>1904</v>
          </cell>
          <cell r="Q38">
            <v>0.45955882352941174</v>
          </cell>
          <cell r="R38">
            <v>1817570943.5699999</v>
          </cell>
          <cell r="S38">
            <v>1663047.15</v>
          </cell>
          <cell r="T38">
            <v>50295951.280000068</v>
          </cell>
          <cell r="U38">
            <v>1869529942</v>
          </cell>
          <cell r="W38">
            <v>322515</v>
          </cell>
          <cell r="X38">
            <v>322990</v>
          </cell>
          <cell r="Y38">
            <v>292684</v>
          </cell>
          <cell r="Z38">
            <v>322990</v>
          </cell>
          <cell r="AA38">
            <v>18289815</v>
          </cell>
          <cell r="AB38">
            <v>1092997</v>
          </cell>
          <cell r="AD38">
            <v>180</v>
          </cell>
        </row>
        <row r="39">
          <cell r="A39" t="str">
            <v>Lakefront Utilities Inc.</v>
          </cell>
          <cell r="C39">
            <v>8800</v>
          </cell>
          <cell r="D39">
            <v>1068</v>
          </cell>
          <cell r="E39">
            <v>128</v>
          </cell>
          <cell r="F39">
            <v>0</v>
          </cell>
          <cell r="G39">
            <v>0</v>
          </cell>
          <cell r="H39">
            <v>9996</v>
          </cell>
          <cell r="J39">
            <v>0</v>
          </cell>
          <cell r="K39">
            <v>27</v>
          </cell>
          <cell r="L39">
            <v>27</v>
          </cell>
          <cell r="N39">
            <v>141</v>
          </cell>
          <cell r="O39">
            <v>50</v>
          </cell>
          <cell r="P39">
            <v>191</v>
          </cell>
          <cell r="Q39">
            <v>0.26178010471204188</v>
          </cell>
          <cell r="R39">
            <v>239818267.40000001</v>
          </cell>
          <cell r="S39">
            <v>205864</v>
          </cell>
          <cell r="T39">
            <v>7259072.1600000057</v>
          </cell>
          <cell r="U39">
            <v>247283203.56</v>
          </cell>
          <cell r="W39">
            <v>44140</v>
          </cell>
          <cell r="X39">
            <v>39817</v>
          </cell>
          <cell r="Y39">
            <v>38653</v>
          </cell>
          <cell r="Z39">
            <v>44140</v>
          </cell>
          <cell r="AA39">
            <v>1430104.23</v>
          </cell>
          <cell r="AB39">
            <v>0</v>
          </cell>
          <cell r="AD39">
            <v>20</v>
          </cell>
        </row>
        <row r="40">
          <cell r="A40" t="str">
            <v>Lakeland Power Distribution Ltd.</v>
          </cell>
          <cell r="C40">
            <v>10986</v>
          </cell>
          <cell r="D40">
            <v>2105</v>
          </cell>
          <cell r="E40">
            <v>173</v>
          </cell>
          <cell r="F40">
            <v>0</v>
          </cell>
          <cell r="G40">
            <v>0</v>
          </cell>
          <cell r="H40">
            <v>13264</v>
          </cell>
          <cell r="J40">
            <v>128</v>
          </cell>
          <cell r="K40">
            <v>33</v>
          </cell>
          <cell r="L40">
            <v>161</v>
          </cell>
          <cell r="N40">
            <v>287</v>
          </cell>
          <cell r="O40">
            <v>88</v>
          </cell>
          <cell r="P40">
            <v>375</v>
          </cell>
          <cell r="Q40">
            <v>0.23466666666666666</v>
          </cell>
          <cell r="R40">
            <v>297867595</v>
          </cell>
          <cell r="S40">
            <v>438874</v>
          </cell>
          <cell r="T40">
            <v>14033248</v>
          </cell>
          <cell r="U40">
            <v>312339717</v>
          </cell>
          <cell r="W40">
            <v>62606</v>
          </cell>
          <cell r="X40">
            <v>43219</v>
          </cell>
          <cell r="Y40">
            <v>48376</v>
          </cell>
          <cell r="Z40">
            <v>62606</v>
          </cell>
          <cell r="AA40">
            <v>2612350.7200000002</v>
          </cell>
          <cell r="AB40">
            <v>0</v>
          </cell>
          <cell r="AD40">
            <v>25</v>
          </cell>
        </row>
        <row r="41">
          <cell r="A41" t="str">
            <v>London Hydro Inc.</v>
          </cell>
          <cell r="C41">
            <v>138568</v>
          </cell>
          <cell r="D41">
            <v>12368</v>
          </cell>
          <cell r="E41">
            <v>1605</v>
          </cell>
          <cell r="F41">
            <v>3</v>
          </cell>
          <cell r="G41">
            <v>0</v>
          </cell>
          <cell r="H41">
            <v>152544</v>
          </cell>
          <cell r="J41">
            <v>258</v>
          </cell>
          <cell r="K41">
            <v>163</v>
          </cell>
          <cell r="L41">
            <v>421</v>
          </cell>
          <cell r="N41">
            <v>1379</v>
          </cell>
          <cell r="O41">
            <v>1537</v>
          </cell>
          <cell r="P41">
            <v>2916</v>
          </cell>
          <cell r="Q41">
            <v>0.52709190672153639</v>
          </cell>
          <cell r="R41">
            <v>3209724929</v>
          </cell>
          <cell r="S41">
            <v>429591</v>
          </cell>
          <cell r="T41">
            <v>95899706</v>
          </cell>
          <cell r="U41">
            <v>3306054226</v>
          </cell>
          <cell r="W41">
            <v>557232</v>
          </cell>
          <cell r="X41">
            <v>646075</v>
          </cell>
          <cell r="Y41">
            <v>525405</v>
          </cell>
          <cell r="Z41">
            <v>646075</v>
          </cell>
          <cell r="AA41">
            <v>26521819.289999999</v>
          </cell>
          <cell r="AB41">
            <v>0</v>
          </cell>
          <cell r="AD41">
            <v>312</v>
          </cell>
        </row>
        <row r="42">
          <cell r="A42" t="str">
            <v>Midland Power Utility Corporation</v>
          </cell>
          <cell r="C42">
            <v>6163</v>
          </cell>
          <cell r="D42">
            <v>762</v>
          </cell>
          <cell r="E42">
            <v>110</v>
          </cell>
          <cell r="F42">
            <v>0</v>
          </cell>
          <cell r="G42">
            <v>0</v>
          </cell>
          <cell r="H42">
            <v>7035</v>
          </cell>
          <cell r="J42">
            <v>0</v>
          </cell>
          <cell r="K42">
            <v>20</v>
          </cell>
          <cell r="L42">
            <v>20</v>
          </cell>
          <cell r="N42">
            <v>84</v>
          </cell>
          <cell r="O42">
            <v>45</v>
          </cell>
          <cell r="P42">
            <v>129</v>
          </cell>
          <cell r="Q42">
            <v>0.34883720930232559</v>
          </cell>
          <cell r="R42">
            <v>192221954</v>
          </cell>
          <cell r="S42">
            <v>0</v>
          </cell>
          <cell r="T42">
            <v>6828436</v>
          </cell>
          <cell r="U42">
            <v>199050390</v>
          </cell>
          <cell r="W42">
            <v>33778</v>
          </cell>
          <cell r="X42">
            <v>34241</v>
          </cell>
          <cell r="Y42">
            <v>31595</v>
          </cell>
          <cell r="Z42">
            <v>34241</v>
          </cell>
          <cell r="AA42">
            <v>601670.1</v>
          </cell>
          <cell r="AB42">
            <v>0</v>
          </cell>
          <cell r="AD42">
            <v>17</v>
          </cell>
        </row>
        <row r="43">
          <cell r="A43" t="str">
            <v>Milton Hydro Distribution Inc.</v>
          </cell>
          <cell r="C43">
            <v>32268</v>
          </cell>
          <cell r="D43">
            <v>2544</v>
          </cell>
          <cell r="E43">
            <v>296</v>
          </cell>
          <cell r="F43">
            <v>3</v>
          </cell>
          <cell r="G43">
            <v>0</v>
          </cell>
          <cell r="H43">
            <v>35111</v>
          </cell>
          <cell r="J43">
            <v>315</v>
          </cell>
          <cell r="K43">
            <v>56</v>
          </cell>
          <cell r="L43">
            <v>371</v>
          </cell>
          <cell r="N43">
            <v>587</v>
          </cell>
          <cell r="O43">
            <v>422</v>
          </cell>
          <cell r="P43">
            <v>1009</v>
          </cell>
          <cell r="Q43">
            <v>0.41823587710604559</v>
          </cell>
          <cell r="R43">
            <v>836470877</v>
          </cell>
          <cell r="S43">
            <v>2065589</v>
          </cell>
          <cell r="T43">
            <v>32409173</v>
          </cell>
          <cell r="U43">
            <v>870945639</v>
          </cell>
          <cell r="W43">
            <v>140512</v>
          </cell>
          <cell r="X43">
            <v>157634</v>
          </cell>
          <cell r="Y43">
            <v>137985</v>
          </cell>
          <cell r="Z43">
            <v>157634</v>
          </cell>
          <cell r="AA43">
            <v>15246467</v>
          </cell>
          <cell r="AB43">
            <v>0</v>
          </cell>
          <cell r="AD43">
            <v>52</v>
          </cell>
        </row>
        <row r="44">
          <cell r="A44" t="str">
            <v>Newmarket-Tay Power Distribution Ltd.</v>
          </cell>
          <cell r="C44">
            <v>31349</v>
          </cell>
          <cell r="D44">
            <v>3142</v>
          </cell>
          <cell r="E44">
            <v>380</v>
          </cell>
          <cell r="F44">
            <v>0</v>
          </cell>
          <cell r="G44">
            <v>0</v>
          </cell>
          <cell r="H44">
            <v>34871</v>
          </cell>
          <cell r="J44">
            <v>3</v>
          </cell>
          <cell r="K44">
            <v>71</v>
          </cell>
          <cell r="L44">
            <v>74</v>
          </cell>
          <cell r="N44">
            <v>360</v>
          </cell>
          <cell r="O44">
            <v>485</v>
          </cell>
          <cell r="P44">
            <v>845</v>
          </cell>
          <cell r="Q44">
            <v>0.57396449704142016</v>
          </cell>
          <cell r="R44">
            <v>655588093</v>
          </cell>
          <cell r="S44">
            <v>0</v>
          </cell>
          <cell r="T44">
            <v>26431027</v>
          </cell>
          <cell r="U44">
            <v>682019120</v>
          </cell>
          <cell r="W44">
            <v>118072</v>
          </cell>
          <cell r="X44">
            <v>132948</v>
          </cell>
          <cell r="Y44">
            <v>113382</v>
          </cell>
          <cell r="Z44">
            <v>132948</v>
          </cell>
          <cell r="AA44">
            <v>4596413.2300000004</v>
          </cell>
          <cell r="AB44">
            <v>0</v>
          </cell>
          <cell r="AD44">
            <v>57</v>
          </cell>
        </row>
        <row r="45">
          <cell r="A45" t="str">
            <v>Niagara Peninsula Energy Inc.</v>
          </cell>
          <cell r="C45">
            <v>46600</v>
          </cell>
          <cell r="D45">
            <v>4395</v>
          </cell>
          <cell r="E45">
            <v>829</v>
          </cell>
          <cell r="F45">
            <v>0</v>
          </cell>
          <cell r="G45">
            <v>0</v>
          </cell>
          <cell r="H45">
            <v>51824</v>
          </cell>
          <cell r="J45">
            <v>759</v>
          </cell>
          <cell r="K45">
            <v>68</v>
          </cell>
          <cell r="L45">
            <v>827</v>
          </cell>
          <cell r="N45">
            <v>1458</v>
          </cell>
          <cell r="O45">
            <v>519</v>
          </cell>
          <cell r="P45">
            <v>1977</v>
          </cell>
          <cell r="Q45">
            <v>0.26251896813353565</v>
          </cell>
          <cell r="R45">
            <v>1195394887</v>
          </cell>
          <cell r="S45">
            <v>3018874</v>
          </cell>
          <cell r="T45">
            <v>40958754</v>
          </cell>
          <cell r="U45">
            <v>1239372515</v>
          </cell>
          <cell r="W45">
            <v>210287</v>
          </cell>
          <cell r="X45">
            <v>226446</v>
          </cell>
          <cell r="Y45">
            <v>188354</v>
          </cell>
          <cell r="Z45">
            <v>226446</v>
          </cell>
          <cell r="AA45">
            <v>15734034</v>
          </cell>
          <cell r="AB45">
            <v>0</v>
          </cell>
          <cell r="AD45">
            <v>128</v>
          </cell>
        </row>
        <row r="46">
          <cell r="A46" t="str">
            <v>Niagara-on-the-Lake Hydro Inc.</v>
          </cell>
          <cell r="C46">
            <v>7230</v>
          </cell>
          <cell r="D46">
            <v>1309</v>
          </cell>
          <cell r="E46">
            <v>133</v>
          </cell>
          <cell r="F46">
            <v>0</v>
          </cell>
          <cell r="G46">
            <v>0</v>
          </cell>
          <cell r="H46">
            <v>8672</v>
          </cell>
          <cell r="J46">
            <v>119</v>
          </cell>
          <cell r="K46">
            <v>14</v>
          </cell>
          <cell r="L46">
            <v>133</v>
          </cell>
          <cell r="N46">
            <v>235</v>
          </cell>
          <cell r="O46">
            <v>91</v>
          </cell>
          <cell r="P46">
            <v>326</v>
          </cell>
          <cell r="Q46">
            <v>0.27914110429447853</v>
          </cell>
          <cell r="R46">
            <v>191105311</v>
          </cell>
          <cell r="S46">
            <v>106695</v>
          </cell>
          <cell r="T46">
            <v>6251740</v>
          </cell>
          <cell r="U46">
            <v>197463746</v>
          </cell>
          <cell r="W46">
            <v>31525</v>
          </cell>
          <cell r="X46">
            <v>39098</v>
          </cell>
          <cell r="Y46">
            <v>31042</v>
          </cell>
          <cell r="Z46">
            <v>39098</v>
          </cell>
          <cell r="AA46">
            <v>1982063.38</v>
          </cell>
          <cell r="AB46">
            <v>11055.96</v>
          </cell>
          <cell r="AD46">
            <v>16</v>
          </cell>
        </row>
        <row r="47">
          <cell r="A47" t="str">
            <v>Norfolk Power Distribution Inc.</v>
          </cell>
          <cell r="C47">
            <v>17393</v>
          </cell>
          <cell r="D47">
            <v>2006</v>
          </cell>
          <cell r="E47">
            <v>160</v>
          </cell>
          <cell r="F47">
            <v>0</v>
          </cell>
          <cell r="G47">
            <v>0</v>
          </cell>
          <cell r="H47">
            <v>19559</v>
          </cell>
          <cell r="J47">
            <v>549</v>
          </cell>
          <cell r="K47">
            <v>144</v>
          </cell>
          <cell r="L47">
            <v>693</v>
          </cell>
          <cell r="N47">
            <v>663</v>
          </cell>
          <cell r="O47">
            <v>130</v>
          </cell>
          <cell r="P47">
            <v>793</v>
          </cell>
          <cell r="Q47">
            <v>0.16393442622950818</v>
          </cell>
          <cell r="R47">
            <v>357179989</v>
          </cell>
          <cell r="S47">
            <v>2024261</v>
          </cell>
          <cell r="T47">
            <v>19123677</v>
          </cell>
          <cell r="U47">
            <v>378327927</v>
          </cell>
          <cell r="W47">
            <v>60261</v>
          </cell>
          <cell r="X47">
            <v>68652</v>
          </cell>
          <cell r="Y47">
            <v>51895</v>
          </cell>
          <cell r="Z47">
            <v>68652</v>
          </cell>
          <cell r="AA47">
            <v>4161720</v>
          </cell>
          <cell r="AB47">
            <v>0</v>
          </cell>
          <cell r="AD47">
            <v>46</v>
          </cell>
        </row>
        <row r="48">
          <cell r="A48" t="str">
            <v>North Bay Hydro Distribution Limited</v>
          </cell>
          <cell r="C48">
            <v>21067</v>
          </cell>
          <cell r="D48">
            <v>2654</v>
          </cell>
          <cell r="E48">
            <v>254</v>
          </cell>
          <cell r="F48">
            <v>0</v>
          </cell>
          <cell r="G48">
            <v>0</v>
          </cell>
          <cell r="H48">
            <v>23975</v>
          </cell>
          <cell r="J48">
            <v>279</v>
          </cell>
          <cell r="K48">
            <v>51</v>
          </cell>
          <cell r="L48">
            <v>330</v>
          </cell>
          <cell r="N48">
            <v>492</v>
          </cell>
          <cell r="O48">
            <v>74</v>
          </cell>
          <cell r="P48">
            <v>566</v>
          </cell>
          <cell r="Q48">
            <v>0.13074204946996468</v>
          </cell>
          <cell r="R48">
            <v>537983045.76999998</v>
          </cell>
          <cell r="S48">
            <v>0</v>
          </cell>
          <cell r="T48">
            <v>23796894.619999975</v>
          </cell>
          <cell r="U48">
            <v>561779940.38999999</v>
          </cell>
          <cell r="W48">
            <v>108862</v>
          </cell>
          <cell r="X48">
            <v>78523</v>
          </cell>
          <cell r="Y48">
            <v>82716</v>
          </cell>
          <cell r="Z48">
            <v>108862</v>
          </cell>
          <cell r="AA48">
            <v>9082971.4800000004</v>
          </cell>
          <cell r="AB48">
            <v>0</v>
          </cell>
          <cell r="AD48">
            <v>45</v>
          </cell>
        </row>
        <row r="49">
          <cell r="A49" t="str">
            <v>Northern Ontario Wires Inc.</v>
          </cell>
          <cell r="C49">
            <v>5237</v>
          </cell>
          <cell r="D49">
            <v>755</v>
          </cell>
          <cell r="E49">
            <v>70</v>
          </cell>
          <cell r="F49">
            <v>0</v>
          </cell>
          <cell r="G49">
            <v>0</v>
          </cell>
          <cell r="H49">
            <v>6062</v>
          </cell>
          <cell r="J49">
            <v>0</v>
          </cell>
          <cell r="K49">
            <v>28</v>
          </cell>
          <cell r="L49">
            <v>28</v>
          </cell>
          <cell r="N49">
            <v>367</v>
          </cell>
          <cell r="O49">
            <v>3</v>
          </cell>
          <cell r="P49">
            <v>370</v>
          </cell>
          <cell r="Q49">
            <v>8.1081081081081086E-3</v>
          </cell>
          <cell r="R49">
            <v>120753861</v>
          </cell>
          <cell r="S49">
            <v>0</v>
          </cell>
          <cell r="T49">
            <v>5849486</v>
          </cell>
          <cell r="U49">
            <v>126603347</v>
          </cell>
          <cell r="W49">
            <v>24246</v>
          </cell>
          <cell r="X49">
            <v>17433</v>
          </cell>
          <cell r="Y49">
            <v>19421</v>
          </cell>
          <cell r="Z49">
            <v>24246</v>
          </cell>
          <cell r="AA49">
            <v>633763</v>
          </cell>
          <cell r="AB49">
            <v>0</v>
          </cell>
          <cell r="AD49">
            <v>5</v>
          </cell>
        </row>
        <row r="50">
          <cell r="A50" t="str">
            <v>Oakville Hydro Electricity Distribution Inc.</v>
          </cell>
          <cell r="C50">
            <v>60486</v>
          </cell>
          <cell r="D50">
            <v>5104</v>
          </cell>
          <cell r="E50">
            <v>940</v>
          </cell>
          <cell r="F50">
            <v>0</v>
          </cell>
          <cell r="G50">
            <v>0</v>
          </cell>
          <cell r="H50">
            <v>66530</v>
          </cell>
          <cell r="J50">
            <v>37</v>
          </cell>
          <cell r="K50">
            <v>106</v>
          </cell>
          <cell r="L50">
            <v>143</v>
          </cell>
          <cell r="N50">
            <v>486</v>
          </cell>
          <cell r="O50">
            <v>1348</v>
          </cell>
          <cell r="P50">
            <v>1834</v>
          </cell>
          <cell r="Q50">
            <v>0.73500545256270444</v>
          </cell>
          <cell r="R50">
            <v>1556435336.53</v>
          </cell>
          <cell r="S50">
            <v>836430.08</v>
          </cell>
          <cell r="T50">
            <v>54228481.620000049</v>
          </cell>
          <cell r="U50">
            <v>1611500248.23</v>
          </cell>
          <cell r="W50">
            <v>271891</v>
          </cell>
          <cell r="X50">
            <v>330022</v>
          </cell>
          <cell r="Y50">
            <v>269050</v>
          </cell>
          <cell r="Z50">
            <v>330022</v>
          </cell>
          <cell r="AA50">
            <v>13086330</v>
          </cell>
          <cell r="AB50">
            <v>3109165</v>
          </cell>
          <cell r="AD50">
            <v>115</v>
          </cell>
        </row>
        <row r="51">
          <cell r="A51" t="str">
            <v>Orangeville Hydro Limited</v>
          </cell>
          <cell r="C51">
            <v>10407</v>
          </cell>
          <cell r="D51">
            <v>1141</v>
          </cell>
          <cell r="E51">
            <v>137</v>
          </cell>
          <cell r="F51">
            <v>0</v>
          </cell>
          <cell r="G51">
            <v>0</v>
          </cell>
          <cell r="H51">
            <v>11685</v>
          </cell>
          <cell r="J51">
            <v>0</v>
          </cell>
          <cell r="K51">
            <v>17</v>
          </cell>
          <cell r="L51">
            <v>17</v>
          </cell>
          <cell r="N51">
            <v>79</v>
          </cell>
          <cell r="O51">
            <v>129</v>
          </cell>
          <cell r="P51">
            <v>208</v>
          </cell>
          <cell r="Q51">
            <v>0.62019230769230771</v>
          </cell>
          <cell r="R51">
            <v>242533277</v>
          </cell>
          <cell r="S51">
            <v>1141809</v>
          </cell>
          <cell r="T51">
            <v>9162719</v>
          </cell>
          <cell r="U51">
            <v>252837805</v>
          </cell>
          <cell r="W51">
            <v>44583</v>
          </cell>
          <cell r="X51">
            <v>43161</v>
          </cell>
          <cell r="Y51">
            <v>40015</v>
          </cell>
          <cell r="Z51">
            <v>44583</v>
          </cell>
          <cell r="AA51">
            <v>2167163.27</v>
          </cell>
          <cell r="AB51">
            <v>0</v>
          </cell>
          <cell r="AD51">
            <v>23</v>
          </cell>
        </row>
        <row r="52">
          <cell r="A52" t="str">
            <v>Orillia Power Distribution Corporation</v>
          </cell>
          <cell r="C52">
            <v>11816</v>
          </cell>
          <cell r="D52">
            <v>1358</v>
          </cell>
          <cell r="E52">
            <v>166</v>
          </cell>
          <cell r="F52">
            <v>0</v>
          </cell>
          <cell r="G52">
            <v>0</v>
          </cell>
          <cell r="H52">
            <v>13340</v>
          </cell>
          <cell r="J52">
            <v>0</v>
          </cell>
          <cell r="K52">
            <v>27</v>
          </cell>
          <cell r="L52">
            <v>27</v>
          </cell>
          <cell r="N52">
            <v>176</v>
          </cell>
          <cell r="O52">
            <v>66</v>
          </cell>
          <cell r="P52">
            <v>242</v>
          </cell>
          <cell r="Q52">
            <v>0.27272727272727271</v>
          </cell>
          <cell r="R52">
            <v>308087169</v>
          </cell>
          <cell r="S52">
            <v>0</v>
          </cell>
          <cell r="T52">
            <v>10108508</v>
          </cell>
          <cell r="U52">
            <v>318195677</v>
          </cell>
          <cell r="W52">
            <v>57953</v>
          </cell>
          <cell r="X52">
            <v>51817</v>
          </cell>
          <cell r="Y52">
            <v>49231</v>
          </cell>
          <cell r="Z52">
            <v>57953</v>
          </cell>
          <cell r="AA52">
            <v>3265191</v>
          </cell>
          <cell r="AB52">
            <v>0</v>
          </cell>
          <cell r="AD52">
            <v>33</v>
          </cell>
        </row>
        <row r="53">
          <cell r="A53" t="str">
            <v>Oshawa PUC Networks Inc.</v>
          </cell>
          <cell r="C53">
            <v>50365</v>
          </cell>
          <cell r="D53">
            <v>3860</v>
          </cell>
          <cell r="E53">
            <v>505</v>
          </cell>
          <cell r="F53">
            <v>1</v>
          </cell>
          <cell r="G53">
            <v>0</v>
          </cell>
          <cell r="H53">
            <v>54731</v>
          </cell>
          <cell r="J53">
            <v>78</v>
          </cell>
          <cell r="K53">
            <v>71</v>
          </cell>
          <cell r="L53">
            <v>149</v>
          </cell>
          <cell r="N53">
            <v>521</v>
          </cell>
          <cell r="O53">
            <v>429</v>
          </cell>
          <cell r="P53">
            <v>950</v>
          </cell>
          <cell r="Q53">
            <v>0.45157894736842108</v>
          </cell>
          <cell r="R53">
            <v>1082328815</v>
          </cell>
          <cell r="S53">
            <v>0</v>
          </cell>
          <cell r="T53">
            <v>52641328</v>
          </cell>
          <cell r="U53">
            <v>1134970143</v>
          </cell>
          <cell r="W53">
            <v>214547</v>
          </cell>
          <cell r="X53">
            <v>196947</v>
          </cell>
          <cell r="Y53">
            <v>107273</v>
          </cell>
          <cell r="Z53">
            <v>214547</v>
          </cell>
          <cell r="AA53">
            <v>12989720</v>
          </cell>
          <cell r="AB53">
            <v>0</v>
          </cell>
          <cell r="AD53">
            <v>76</v>
          </cell>
        </row>
        <row r="54">
          <cell r="A54" t="str">
            <v>Ottawa River Power Corporation</v>
          </cell>
          <cell r="C54">
            <v>9358</v>
          </cell>
          <cell r="D54">
            <v>1315</v>
          </cell>
          <cell r="E54">
            <v>147</v>
          </cell>
          <cell r="F54">
            <v>0</v>
          </cell>
          <cell r="G54">
            <v>0</v>
          </cell>
          <cell r="H54">
            <v>10820</v>
          </cell>
          <cell r="J54">
            <v>0</v>
          </cell>
          <cell r="K54">
            <v>35</v>
          </cell>
          <cell r="L54">
            <v>35</v>
          </cell>
          <cell r="N54">
            <v>143</v>
          </cell>
          <cell r="O54">
            <v>24</v>
          </cell>
          <cell r="P54">
            <v>167</v>
          </cell>
          <cell r="Q54">
            <v>0.1437125748502994</v>
          </cell>
          <cell r="R54">
            <v>186711869.91999999</v>
          </cell>
          <cell r="S54">
            <v>39497</v>
          </cell>
          <cell r="T54">
            <v>7794424.4700000137</v>
          </cell>
          <cell r="U54">
            <v>194545791.38999999</v>
          </cell>
          <cell r="W54">
            <v>43158</v>
          </cell>
          <cell r="X54">
            <v>33756</v>
          </cell>
          <cell r="Y54">
            <v>31681</v>
          </cell>
          <cell r="Z54">
            <v>43158</v>
          </cell>
          <cell r="AA54">
            <v>1198235.43</v>
          </cell>
          <cell r="AB54">
            <v>0</v>
          </cell>
          <cell r="AD54">
            <v>28</v>
          </cell>
        </row>
        <row r="55">
          <cell r="A55" t="str">
            <v>Peterborough Distribution Incorporated</v>
          </cell>
          <cell r="C55">
            <v>32140</v>
          </cell>
          <cell r="D55">
            <v>3549</v>
          </cell>
          <cell r="E55">
            <v>367</v>
          </cell>
          <cell r="F55">
            <v>2</v>
          </cell>
          <cell r="G55">
            <v>0</v>
          </cell>
          <cell r="H55">
            <v>36058</v>
          </cell>
          <cell r="J55">
            <v>0</v>
          </cell>
          <cell r="K55">
            <v>64</v>
          </cell>
          <cell r="L55">
            <v>64</v>
          </cell>
          <cell r="N55">
            <v>386</v>
          </cell>
          <cell r="O55">
            <v>178</v>
          </cell>
          <cell r="P55">
            <v>564</v>
          </cell>
          <cell r="Q55">
            <v>0.31560283687943264</v>
          </cell>
          <cell r="R55">
            <v>790201081</v>
          </cell>
          <cell r="S55">
            <v>0</v>
          </cell>
          <cell r="T55">
            <v>44805053</v>
          </cell>
          <cell r="U55">
            <v>835006134</v>
          </cell>
          <cell r="W55">
            <v>148426</v>
          </cell>
          <cell r="X55">
            <v>134130</v>
          </cell>
          <cell r="Y55">
            <v>128344</v>
          </cell>
          <cell r="Z55">
            <v>148426</v>
          </cell>
          <cell r="AA55">
            <v>5613000</v>
          </cell>
          <cell r="AB55">
            <v>0</v>
          </cell>
          <cell r="AD55">
            <v>1</v>
          </cell>
        </row>
        <row r="56">
          <cell r="A56" t="str">
            <v>PowerStream Inc.</v>
          </cell>
          <cell r="C56">
            <v>316596</v>
          </cell>
          <cell r="D56">
            <v>31897</v>
          </cell>
          <cell r="E56">
            <v>4789</v>
          </cell>
          <cell r="F56">
            <v>2</v>
          </cell>
          <cell r="G56">
            <v>0</v>
          </cell>
          <cell r="H56">
            <v>353284</v>
          </cell>
          <cell r="J56">
            <v>303</v>
          </cell>
          <cell r="K56">
            <v>503</v>
          </cell>
          <cell r="L56">
            <v>806</v>
          </cell>
          <cell r="N56">
            <v>2531</v>
          </cell>
          <cell r="O56">
            <v>5070</v>
          </cell>
          <cell r="P56">
            <v>7601</v>
          </cell>
          <cell r="Q56">
            <v>0.66701749769767138</v>
          </cell>
          <cell r="R56">
            <v>8384408848</v>
          </cell>
          <cell r="S56">
            <v>1441010</v>
          </cell>
          <cell r="T56">
            <v>307943677</v>
          </cell>
          <cell r="U56">
            <v>8693793535</v>
          </cell>
          <cell r="W56">
            <v>1404070</v>
          </cell>
          <cell r="X56">
            <v>1677375</v>
          </cell>
          <cell r="Y56">
            <v>1406765</v>
          </cell>
          <cell r="Z56">
            <v>1677375</v>
          </cell>
          <cell r="AA56">
            <v>131124988</v>
          </cell>
          <cell r="AB56">
            <v>1189300</v>
          </cell>
          <cell r="AD56">
            <v>545</v>
          </cell>
        </row>
        <row r="57">
          <cell r="A57" t="str">
            <v>PUC Distribution Inc.</v>
          </cell>
          <cell r="C57">
            <v>29635</v>
          </cell>
          <cell r="D57">
            <v>3481</v>
          </cell>
          <cell r="E57">
            <v>371</v>
          </cell>
          <cell r="F57">
            <v>0</v>
          </cell>
          <cell r="G57">
            <v>0</v>
          </cell>
          <cell r="H57">
            <v>33487</v>
          </cell>
          <cell r="J57">
            <v>284</v>
          </cell>
          <cell r="K57">
            <v>58</v>
          </cell>
          <cell r="L57">
            <v>342</v>
          </cell>
          <cell r="N57">
            <v>622</v>
          </cell>
          <cell r="O57">
            <v>122</v>
          </cell>
          <cell r="P57">
            <v>744</v>
          </cell>
          <cell r="Q57">
            <v>0.16397849462365591</v>
          </cell>
          <cell r="R57">
            <v>701843128</v>
          </cell>
          <cell r="S57">
            <v>0</v>
          </cell>
          <cell r="T57">
            <v>28647157</v>
          </cell>
          <cell r="U57">
            <v>730490285</v>
          </cell>
          <cell r="W57">
            <v>143172</v>
          </cell>
          <cell r="X57">
            <v>93737</v>
          </cell>
          <cell r="Y57">
            <v>108223</v>
          </cell>
          <cell r="Z57">
            <v>143172</v>
          </cell>
          <cell r="AA57">
            <v>7706779.8200000003</v>
          </cell>
          <cell r="AB57">
            <v>617923.30000000005</v>
          </cell>
          <cell r="AD57">
            <v>0</v>
          </cell>
        </row>
        <row r="58">
          <cell r="A58" t="str">
            <v>Renfrew Hydro Inc.</v>
          </cell>
          <cell r="C58">
            <v>3756</v>
          </cell>
          <cell r="D58">
            <v>429</v>
          </cell>
          <cell r="E58">
            <v>61</v>
          </cell>
          <cell r="F58">
            <v>0</v>
          </cell>
          <cell r="G58">
            <v>0</v>
          </cell>
          <cell r="H58">
            <v>4246</v>
          </cell>
          <cell r="J58">
            <v>0</v>
          </cell>
          <cell r="K58">
            <v>13</v>
          </cell>
          <cell r="L58">
            <v>13</v>
          </cell>
          <cell r="N58">
            <v>72</v>
          </cell>
          <cell r="O58">
            <v>7</v>
          </cell>
          <cell r="P58">
            <v>79</v>
          </cell>
          <cell r="Q58">
            <v>8.8607594936708861E-2</v>
          </cell>
          <cell r="R58">
            <v>86248298</v>
          </cell>
          <cell r="S58">
            <v>0</v>
          </cell>
          <cell r="T58">
            <v>4058375</v>
          </cell>
          <cell r="U58">
            <v>90306673</v>
          </cell>
          <cell r="W58">
            <v>16114</v>
          </cell>
          <cell r="X58">
            <v>14492</v>
          </cell>
          <cell r="Y58">
            <v>13907</v>
          </cell>
          <cell r="Z58">
            <v>16114</v>
          </cell>
          <cell r="AA58">
            <v>357635.86</v>
          </cell>
          <cell r="AB58">
            <v>0</v>
          </cell>
          <cell r="AD58">
            <v>10</v>
          </cell>
        </row>
        <row r="59">
          <cell r="A59" t="str">
            <v>Rideau St. Lawrence Distribution Inc.</v>
          </cell>
          <cell r="C59">
            <v>5040</v>
          </cell>
          <cell r="D59">
            <v>754</v>
          </cell>
          <cell r="E59">
            <v>64</v>
          </cell>
          <cell r="F59">
            <v>0</v>
          </cell>
          <cell r="G59">
            <v>0</v>
          </cell>
          <cell r="H59">
            <v>5858</v>
          </cell>
          <cell r="J59">
            <v>7</v>
          </cell>
          <cell r="K59">
            <v>11</v>
          </cell>
          <cell r="L59">
            <v>18</v>
          </cell>
          <cell r="N59">
            <v>93</v>
          </cell>
          <cell r="O59">
            <v>12</v>
          </cell>
          <cell r="P59">
            <v>105</v>
          </cell>
          <cell r="Q59">
            <v>0.11428571428571428</v>
          </cell>
          <cell r="R59">
            <v>107040345</v>
          </cell>
          <cell r="S59">
            <v>552656</v>
          </cell>
          <cell r="T59">
            <v>8356735</v>
          </cell>
          <cell r="U59">
            <v>115949736</v>
          </cell>
          <cell r="W59">
            <v>22997</v>
          </cell>
          <cell r="X59">
            <v>17961</v>
          </cell>
          <cell r="Y59">
            <v>18707</v>
          </cell>
          <cell r="Z59">
            <v>22997</v>
          </cell>
          <cell r="AA59">
            <v>444565.62</v>
          </cell>
          <cell r="AB59">
            <v>0</v>
          </cell>
          <cell r="AD59">
            <v>13</v>
          </cell>
        </row>
        <row r="60">
          <cell r="A60" t="str">
            <v>Sioux Lookout Hydro Inc.</v>
          </cell>
          <cell r="C60">
            <v>2335</v>
          </cell>
          <cell r="D60">
            <v>395</v>
          </cell>
          <cell r="E60">
            <v>49</v>
          </cell>
          <cell r="F60">
            <v>0</v>
          </cell>
          <cell r="G60">
            <v>0</v>
          </cell>
          <cell r="H60">
            <v>2779</v>
          </cell>
          <cell r="J60">
            <v>530</v>
          </cell>
          <cell r="K60">
            <v>6</v>
          </cell>
          <cell r="L60">
            <v>536</v>
          </cell>
          <cell r="N60">
            <v>277</v>
          </cell>
          <cell r="O60">
            <v>9</v>
          </cell>
          <cell r="P60">
            <v>286</v>
          </cell>
          <cell r="Q60">
            <v>3.1468531468531472E-2</v>
          </cell>
          <cell r="R60">
            <v>85561762</v>
          </cell>
          <cell r="S60">
            <v>539410</v>
          </cell>
          <cell r="T60">
            <v>3481779.47</v>
          </cell>
          <cell r="U60">
            <v>89582951.469999999</v>
          </cell>
          <cell r="W60">
            <v>20858</v>
          </cell>
          <cell r="X60">
            <v>13582</v>
          </cell>
          <cell r="Y60">
            <v>13951</v>
          </cell>
          <cell r="Z60">
            <v>20858</v>
          </cell>
          <cell r="AA60">
            <v>370612.77</v>
          </cell>
          <cell r="AB60">
            <v>0</v>
          </cell>
          <cell r="AD60">
            <v>9</v>
          </cell>
        </row>
        <row r="61">
          <cell r="A61" t="str">
            <v>St. Thomas Energy Inc.</v>
          </cell>
          <cell r="C61">
            <v>15046</v>
          </cell>
          <cell r="D61">
            <v>1731</v>
          </cell>
          <cell r="E61">
            <v>141</v>
          </cell>
          <cell r="F61">
            <v>0</v>
          </cell>
          <cell r="G61">
            <v>0</v>
          </cell>
          <cell r="H61">
            <v>16918</v>
          </cell>
          <cell r="J61">
            <v>8</v>
          </cell>
          <cell r="K61">
            <v>25</v>
          </cell>
          <cell r="L61">
            <v>33</v>
          </cell>
          <cell r="N61">
            <v>150</v>
          </cell>
          <cell r="O61">
            <v>108</v>
          </cell>
          <cell r="P61">
            <v>258</v>
          </cell>
          <cell r="Q61">
            <v>0.41860465116279072</v>
          </cell>
          <cell r="R61">
            <v>276552575.54000002</v>
          </cell>
          <cell r="S61">
            <v>39761.089999999997</v>
          </cell>
          <cell r="T61">
            <v>6673750.3099999763</v>
          </cell>
          <cell r="U61">
            <v>283266086.94</v>
          </cell>
          <cell r="W61">
            <v>48609</v>
          </cell>
          <cell r="X61">
            <v>53886</v>
          </cell>
          <cell r="Y61">
            <v>46068</v>
          </cell>
          <cell r="Z61">
            <v>53886</v>
          </cell>
          <cell r="AA61">
            <v>2185860</v>
          </cell>
          <cell r="AB61">
            <v>0</v>
          </cell>
          <cell r="AD61">
            <v>27</v>
          </cell>
        </row>
        <row r="62">
          <cell r="A62" t="str">
            <v>Thunder Bay Hydro Electricity Distribution Inc.</v>
          </cell>
          <cell r="C62">
            <v>45319</v>
          </cell>
          <cell r="D62">
            <v>4654</v>
          </cell>
          <cell r="E62">
            <v>509</v>
          </cell>
          <cell r="F62">
            <v>0</v>
          </cell>
          <cell r="G62">
            <v>0</v>
          </cell>
          <cell r="H62">
            <v>50482</v>
          </cell>
          <cell r="J62">
            <v>208</v>
          </cell>
          <cell r="K62">
            <v>179</v>
          </cell>
          <cell r="L62">
            <v>387</v>
          </cell>
          <cell r="N62">
            <v>898</v>
          </cell>
          <cell r="O62">
            <v>240</v>
          </cell>
          <cell r="P62">
            <v>1138</v>
          </cell>
          <cell r="Q62">
            <v>0.210896309314587</v>
          </cell>
          <cell r="R62">
            <v>963552125</v>
          </cell>
          <cell r="S62">
            <v>366658</v>
          </cell>
          <cell r="T62">
            <v>38345154</v>
          </cell>
          <cell r="U62">
            <v>1002263937</v>
          </cell>
          <cell r="W62">
            <v>182512</v>
          </cell>
          <cell r="X62">
            <v>149488</v>
          </cell>
          <cell r="Y62">
            <v>132580</v>
          </cell>
          <cell r="Z62">
            <v>182512</v>
          </cell>
          <cell r="AA62">
            <v>10643443</v>
          </cell>
          <cell r="AB62">
            <v>0</v>
          </cell>
          <cell r="AD62">
            <v>133</v>
          </cell>
        </row>
        <row r="63">
          <cell r="A63" t="str">
            <v>Tillsonburg Hydro Inc.</v>
          </cell>
          <cell r="C63">
            <v>6191</v>
          </cell>
          <cell r="D63">
            <v>652</v>
          </cell>
          <cell r="E63">
            <v>92</v>
          </cell>
          <cell r="F63">
            <v>0</v>
          </cell>
          <cell r="G63">
            <v>0</v>
          </cell>
          <cell r="H63">
            <v>6935</v>
          </cell>
          <cell r="J63">
            <v>2</v>
          </cell>
          <cell r="K63">
            <v>22</v>
          </cell>
          <cell r="L63">
            <v>24</v>
          </cell>
          <cell r="N63">
            <v>79</v>
          </cell>
          <cell r="O63">
            <v>54</v>
          </cell>
          <cell r="P63">
            <v>133</v>
          </cell>
          <cell r="Q63">
            <v>0.40601503759398494</v>
          </cell>
          <cell r="R63">
            <v>194957532.05000001</v>
          </cell>
          <cell r="S63">
            <v>346441</v>
          </cell>
          <cell r="T63">
            <v>6690136.389999981</v>
          </cell>
          <cell r="U63">
            <v>201994109.44</v>
          </cell>
          <cell r="W63">
            <v>32719</v>
          </cell>
          <cell r="X63">
            <v>35858</v>
          </cell>
          <cell r="Y63">
            <v>31816</v>
          </cell>
          <cell r="Z63">
            <v>35858</v>
          </cell>
          <cell r="AA63">
            <v>411085</v>
          </cell>
          <cell r="AB63">
            <v>0</v>
          </cell>
          <cell r="AD63">
            <v>19</v>
          </cell>
        </row>
        <row r="64">
          <cell r="A64" t="str">
            <v>Toronto Hydro-Electric System Limited</v>
          </cell>
          <cell r="C64">
            <v>661959</v>
          </cell>
          <cell r="D64">
            <v>71387</v>
          </cell>
          <cell r="E64">
            <v>10864</v>
          </cell>
          <cell r="F64">
            <v>42</v>
          </cell>
          <cell r="G64">
            <v>0</v>
          </cell>
          <cell r="H64">
            <v>744252</v>
          </cell>
          <cell r="J64">
            <v>0</v>
          </cell>
          <cell r="K64">
            <v>630</v>
          </cell>
          <cell r="L64">
            <v>630</v>
          </cell>
          <cell r="N64">
            <v>4119</v>
          </cell>
          <cell r="O64">
            <v>6065</v>
          </cell>
          <cell r="P64">
            <v>10184</v>
          </cell>
          <cell r="Q64">
            <v>0.59554202670856249</v>
          </cell>
          <cell r="R64">
            <v>24380018627.306599</v>
          </cell>
          <cell r="S64">
            <v>4893826.5599999996</v>
          </cell>
          <cell r="T64">
            <v>875899625.80980146</v>
          </cell>
          <cell r="U64">
            <v>25260812079.676403</v>
          </cell>
          <cell r="W64">
            <v>4203353</v>
          </cell>
          <cell r="X64">
            <v>4273504</v>
          </cell>
          <cell r="Y64">
            <v>3891627</v>
          </cell>
          <cell r="Z64">
            <v>4273504</v>
          </cell>
          <cell r="AA64">
            <v>468681974.24000001</v>
          </cell>
          <cell r="AB64">
            <v>0</v>
          </cell>
          <cell r="AD64">
            <v>1511</v>
          </cell>
        </row>
        <row r="65">
          <cell r="A65" t="str">
            <v>Veridian Connections Inc.</v>
          </cell>
          <cell r="C65">
            <v>107574</v>
          </cell>
          <cell r="D65">
            <v>8874</v>
          </cell>
          <cell r="E65">
            <v>1044</v>
          </cell>
          <cell r="F65">
            <v>2</v>
          </cell>
          <cell r="G65">
            <v>0</v>
          </cell>
          <cell r="H65">
            <v>117494</v>
          </cell>
          <cell r="J65">
            <v>386</v>
          </cell>
          <cell r="K65">
            <v>253</v>
          </cell>
          <cell r="L65">
            <v>639</v>
          </cell>
          <cell r="N65">
            <v>1452</v>
          </cell>
          <cell r="O65">
            <v>1106</v>
          </cell>
          <cell r="P65">
            <v>2558</v>
          </cell>
          <cell r="Q65">
            <v>0.43236903831118062</v>
          </cell>
          <cell r="R65">
            <v>2557696848</v>
          </cell>
          <cell r="S65">
            <v>958219</v>
          </cell>
          <cell r="T65">
            <v>103016587</v>
          </cell>
          <cell r="U65">
            <v>2661671654</v>
          </cell>
          <cell r="W65">
            <v>445077</v>
          </cell>
          <cell r="X65">
            <v>444688</v>
          </cell>
          <cell r="Y65">
            <v>407720</v>
          </cell>
          <cell r="Z65">
            <v>445077</v>
          </cell>
          <cell r="AA65">
            <v>24155323</v>
          </cell>
          <cell r="AB65">
            <v>0</v>
          </cell>
          <cell r="AD65">
            <v>225</v>
          </cell>
        </row>
        <row r="66">
          <cell r="A66" t="str">
            <v>Wasaga Distribution Inc.</v>
          </cell>
          <cell r="C66">
            <v>12165</v>
          </cell>
          <cell r="D66">
            <v>785</v>
          </cell>
          <cell r="E66">
            <v>35</v>
          </cell>
          <cell r="F66">
            <v>0</v>
          </cell>
          <cell r="G66">
            <v>0</v>
          </cell>
          <cell r="H66">
            <v>12985</v>
          </cell>
          <cell r="J66">
            <v>8</v>
          </cell>
          <cell r="K66">
            <v>53</v>
          </cell>
          <cell r="L66">
            <v>61</v>
          </cell>
          <cell r="N66">
            <v>161</v>
          </cell>
          <cell r="O66">
            <v>123</v>
          </cell>
          <cell r="P66">
            <v>284</v>
          </cell>
          <cell r="Q66">
            <v>0.43309859154929575</v>
          </cell>
          <cell r="R66">
            <v>124966045.62</v>
          </cell>
          <cell r="S66">
            <v>114535</v>
          </cell>
          <cell r="T66">
            <v>4843001.7799999956</v>
          </cell>
          <cell r="U66">
            <v>129923582.40000001</v>
          </cell>
          <cell r="W66">
            <v>26181</v>
          </cell>
          <cell r="X66">
            <v>29088</v>
          </cell>
          <cell r="Y66">
            <v>23173</v>
          </cell>
          <cell r="Z66">
            <v>29088</v>
          </cell>
          <cell r="AA66">
            <v>1874403.54</v>
          </cell>
          <cell r="AB66">
            <v>0</v>
          </cell>
          <cell r="AD66">
            <v>19</v>
          </cell>
        </row>
        <row r="67">
          <cell r="A67" t="str">
            <v>Waterloo North Hydro Inc.</v>
          </cell>
          <cell r="C67">
            <v>48409</v>
          </cell>
          <cell r="D67">
            <v>5570</v>
          </cell>
          <cell r="E67">
            <v>694</v>
          </cell>
          <cell r="F67">
            <v>1</v>
          </cell>
          <cell r="G67">
            <v>0</v>
          </cell>
          <cell r="H67">
            <v>54674</v>
          </cell>
          <cell r="J67">
            <v>607</v>
          </cell>
          <cell r="K67">
            <v>65</v>
          </cell>
          <cell r="L67">
            <v>672</v>
          </cell>
          <cell r="N67">
            <v>1068</v>
          </cell>
          <cell r="O67">
            <v>513</v>
          </cell>
          <cell r="P67">
            <v>1581</v>
          </cell>
          <cell r="Q67">
            <v>0.32447817836812143</v>
          </cell>
          <cell r="R67">
            <v>1440243498</v>
          </cell>
          <cell r="S67">
            <v>2787101</v>
          </cell>
          <cell r="T67">
            <v>55023330</v>
          </cell>
          <cell r="U67">
            <v>1498053929</v>
          </cell>
          <cell r="W67">
            <v>257470</v>
          </cell>
          <cell r="X67">
            <v>269240</v>
          </cell>
          <cell r="Y67">
            <v>239064</v>
          </cell>
          <cell r="Z67">
            <v>269240</v>
          </cell>
          <cell r="AA67">
            <v>19694007</v>
          </cell>
          <cell r="AB67">
            <v>194308</v>
          </cell>
          <cell r="AD67">
            <v>131</v>
          </cell>
        </row>
        <row r="68">
          <cell r="A68" t="str">
            <v>Welland Hydro-Electric System Corp.</v>
          </cell>
          <cell r="C68">
            <v>20549</v>
          </cell>
          <cell r="D68">
            <v>1759</v>
          </cell>
          <cell r="E68">
            <v>161</v>
          </cell>
          <cell r="F68">
            <v>1</v>
          </cell>
          <cell r="G68">
            <v>0</v>
          </cell>
          <cell r="H68">
            <v>22470</v>
          </cell>
          <cell r="J68">
            <v>0</v>
          </cell>
          <cell r="K68">
            <v>81</v>
          </cell>
          <cell r="L68">
            <v>81</v>
          </cell>
          <cell r="N68">
            <v>333</v>
          </cell>
          <cell r="O68">
            <v>133</v>
          </cell>
          <cell r="P68">
            <v>466</v>
          </cell>
          <cell r="Q68">
            <v>0.28540772532188841</v>
          </cell>
          <cell r="R68">
            <v>377153289</v>
          </cell>
          <cell r="S68">
            <v>746875</v>
          </cell>
          <cell r="T68">
            <v>12790375</v>
          </cell>
          <cell r="U68">
            <v>390690539</v>
          </cell>
          <cell r="W68">
            <v>76387</v>
          </cell>
          <cell r="X68">
            <v>75088</v>
          </cell>
          <cell r="Y68">
            <v>66292</v>
          </cell>
          <cell r="Z68">
            <v>76387</v>
          </cell>
          <cell r="AA68">
            <v>2459423</v>
          </cell>
          <cell r="AB68">
            <v>0</v>
          </cell>
          <cell r="AD68">
            <v>39</v>
          </cell>
        </row>
        <row r="69">
          <cell r="A69" t="str">
            <v>Wellington North Power Inc.</v>
          </cell>
          <cell r="C69">
            <v>3213</v>
          </cell>
          <cell r="D69">
            <v>478</v>
          </cell>
          <cell r="E69">
            <v>40</v>
          </cell>
          <cell r="F69">
            <v>0</v>
          </cell>
          <cell r="G69">
            <v>0</v>
          </cell>
          <cell r="H69">
            <v>3731</v>
          </cell>
          <cell r="J69">
            <v>0</v>
          </cell>
          <cell r="K69">
            <v>14</v>
          </cell>
          <cell r="L69">
            <v>14</v>
          </cell>
          <cell r="N69">
            <v>66</v>
          </cell>
          <cell r="O69">
            <v>10</v>
          </cell>
          <cell r="P69">
            <v>76</v>
          </cell>
          <cell r="Q69">
            <v>0.13157894736842105</v>
          </cell>
          <cell r="R69">
            <v>105286722.31</v>
          </cell>
          <cell r="S69">
            <v>47422</v>
          </cell>
          <cell r="T69">
            <v>7086367.6399999997</v>
          </cell>
          <cell r="U69">
            <v>112420511.95</v>
          </cell>
          <cell r="W69">
            <v>17897</v>
          </cell>
          <cell r="X69">
            <v>16357</v>
          </cell>
          <cell r="Y69">
            <v>16309</v>
          </cell>
          <cell r="Z69">
            <v>17897</v>
          </cell>
          <cell r="AA69">
            <v>756714.72</v>
          </cell>
          <cell r="AB69">
            <v>0</v>
          </cell>
          <cell r="AD69">
            <v>13</v>
          </cell>
        </row>
        <row r="70">
          <cell r="A70" t="str">
            <v>West Coast Huron Energy Inc.</v>
          </cell>
          <cell r="C70">
            <v>3273</v>
          </cell>
          <cell r="D70">
            <v>473</v>
          </cell>
          <cell r="E70">
            <v>50</v>
          </cell>
          <cell r="F70">
            <v>1</v>
          </cell>
          <cell r="G70">
            <v>0</v>
          </cell>
          <cell r="H70">
            <v>3797</v>
          </cell>
          <cell r="J70">
            <v>0</v>
          </cell>
          <cell r="K70">
            <v>8</v>
          </cell>
          <cell r="L70">
            <v>8</v>
          </cell>
          <cell r="N70">
            <v>47</v>
          </cell>
          <cell r="O70">
            <v>14</v>
          </cell>
          <cell r="P70">
            <v>61</v>
          </cell>
          <cell r="Q70">
            <v>0.22950819672131148</v>
          </cell>
          <cell r="R70">
            <v>150595705</v>
          </cell>
          <cell r="S70">
            <v>0</v>
          </cell>
          <cell r="T70">
            <v>3632755.6200000048</v>
          </cell>
          <cell r="U70">
            <v>154228460.62</v>
          </cell>
          <cell r="W70">
            <v>26253</v>
          </cell>
          <cell r="X70">
            <v>26580</v>
          </cell>
          <cell r="Y70">
            <v>24983</v>
          </cell>
          <cell r="Z70">
            <v>26580</v>
          </cell>
          <cell r="AA70">
            <v>795470</v>
          </cell>
          <cell r="AB70">
            <v>0</v>
          </cell>
          <cell r="AD70">
            <v>10</v>
          </cell>
        </row>
        <row r="71">
          <cell r="A71" t="str">
            <v>Westario Power Inc.</v>
          </cell>
          <cell r="C71">
            <v>20060</v>
          </cell>
          <cell r="D71">
            <v>2528</v>
          </cell>
          <cell r="E71">
            <v>234</v>
          </cell>
          <cell r="F71">
            <v>0</v>
          </cell>
          <cell r="G71">
            <v>0</v>
          </cell>
          <cell r="H71">
            <v>22822</v>
          </cell>
          <cell r="J71">
            <v>0</v>
          </cell>
          <cell r="K71">
            <v>64</v>
          </cell>
          <cell r="L71">
            <v>64</v>
          </cell>
          <cell r="N71">
            <v>372</v>
          </cell>
          <cell r="O71">
            <v>145</v>
          </cell>
          <cell r="P71">
            <v>517</v>
          </cell>
          <cell r="Q71">
            <v>0.28046421663442939</v>
          </cell>
          <cell r="R71">
            <v>435737607</v>
          </cell>
          <cell r="S71">
            <v>2679047</v>
          </cell>
          <cell r="T71">
            <v>33369663</v>
          </cell>
          <cell r="U71">
            <v>471786317</v>
          </cell>
          <cell r="W71">
            <v>86152</v>
          </cell>
          <cell r="X71">
            <v>68204</v>
          </cell>
          <cell r="Y71">
            <v>70854</v>
          </cell>
          <cell r="Z71">
            <v>86152</v>
          </cell>
          <cell r="AA71">
            <v>4417969</v>
          </cell>
          <cell r="AB71">
            <v>0</v>
          </cell>
          <cell r="AD71">
            <v>32</v>
          </cell>
        </row>
        <row r="72">
          <cell r="A72" t="str">
            <v>Whitby Hydro Electric Corporation</v>
          </cell>
          <cell r="C72">
            <v>38963</v>
          </cell>
          <cell r="D72">
            <v>2156</v>
          </cell>
          <cell r="E72">
            <v>369</v>
          </cell>
          <cell r="F72">
            <v>0</v>
          </cell>
          <cell r="G72">
            <v>0</v>
          </cell>
          <cell r="H72">
            <v>41488</v>
          </cell>
          <cell r="J72">
            <v>81</v>
          </cell>
          <cell r="K72">
            <v>67</v>
          </cell>
          <cell r="L72">
            <v>148</v>
          </cell>
          <cell r="N72">
            <v>497</v>
          </cell>
          <cell r="O72">
            <v>576</v>
          </cell>
          <cell r="P72">
            <v>1073</v>
          </cell>
          <cell r="Q72">
            <v>0.5368126747437092</v>
          </cell>
          <cell r="R72">
            <v>859082435</v>
          </cell>
          <cell r="S72">
            <v>0</v>
          </cell>
          <cell r="T72">
            <v>36090633</v>
          </cell>
          <cell r="U72">
            <v>895173068</v>
          </cell>
          <cell r="W72">
            <v>152191</v>
          </cell>
          <cell r="X72">
            <v>171946</v>
          </cell>
          <cell r="Y72">
            <v>145580</v>
          </cell>
          <cell r="Z72">
            <v>171946</v>
          </cell>
          <cell r="AA72">
            <v>8142740</v>
          </cell>
          <cell r="AB72">
            <v>0</v>
          </cell>
          <cell r="AD72">
            <v>2</v>
          </cell>
        </row>
        <row r="73">
          <cell r="A73" t="str">
            <v>Woodstock Hydro Services Inc.</v>
          </cell>
          <cell r="C73">
            <v>14299</v>
          </cell>
          <cell r="D73">
            <v>1247</v>
          </cell>
          <cell r="E73">
            <v>199</v>
          </cell>
          <cell r="F73">
            <v>0</v>
          </cell>
          <cell r="G73">
            <v>0</v>
          </cell>
          <cell r="H73">
            <v>15745</v>
          </cell>
          <cell r="J73">
            <v>0</v>
          </cell>
          <cell r="K73">
            <v>29</v>
          </cell>
          <cell r="L73">
            <v>29</v>
          </cell>
          <cell r="N73">
            <v>147</v>
          </cell>
          <cell r="O73">
            <v>102</v>
          </cell>
          <cell r="P73">
            <v>249</v>
          </cell>
          <cell r="Q73">
            <v>0.40963855421686746</v>
          </cell>
          <cell r="R73">
            <v>393971046</v>
          </cell>
          <cell r="S73">
            <v>12763</v>
          </cell>
          <cell r="T73">
            <v>11250109</v>
          </cell>
          <cell r="U73">
            <v>405233918</v>
          </cell>
          <cell r="W73">
            <v>74595</v>
          </cell>
          <cell r="X73">
            <v>73084</v>
          </cell>
          <cell r="Y73">
            <v>66877</v>
          </cell>
          <cell r="Z73">
            <v>74595</v>
          </cell>
          <cell r="AA73">
            <v>4108336.25</v>
          </cell>
          <cell r="AB73">
            <v>0</v>
          </cell>
          <cell r="AD73">
            <v>39</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
      <sheetName val="ToC "/>
      <sheetName val="Notes"/>
      <sheetName val="Industry BS"/>
      <sheetName val="Industry IS"/>
      <sheetName val="Industry Gen"/>
      <sheetName val="BS"/>
      <sheetName val="IS"/>
      <sheetName val="Ratios"/>
      <sheetName val="General"/>
      <sheetName val="Unit SQR"/>
      <sheetName val="Stats by Class"/>
      <sheetName val="System Reliability"/>
      <sheetName val="Glossary"/>
      <sheetName val="IS transpose"/>
      <sheetName val="General transpo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A1" t="str">
            <v xml:space="preserve">General StatisticsFor the year ended December 31                    </v>
          </cell>
          <cell r="C1" t="str">
            <v>Residential</v>
          </cell>
          <cell r="D1" t="str">
            <v>General Service &lt; 50 kW</v>
          </cell>
          <cell r="E1" t="str">
            <v>General Service &gt;= 50 kW</v>
          </cell>
          <cell r="F1" t="str">
            <v>Large User</v>
          </cell>
          <cell r="G1" t="str">
            <v>Sub Transmission Customers</v>
          </cell>
          <cell r="H1" t="str">
            <v>Total Customers</v>
          </cell>
          <cell r="J1" t="str">
            <v>Rural Service Area (sq km)</v>
          </cell>
          <cell r="K1" t="str">
            <v>Urban Service Area (sq km)</v>
          </cell>
          <cell r="L1" t="str">
            <v>Total Service Area (sq km)</v>
          </cell>
          <cell r="N1" t="str">
            <v>Overhead km of Line</v>
          </cell>
          <cell r="O1" t="str">
            <v>Underground km of Line</v>
          </cell>
          <cell r="P1" t="str">
            <v>Total km of Line</v>
          </cell>
          <cell r="Q1" t="str">
            <v>Share fraction of UG - JK addn</v>
          </cell>
          <cell r="R1" t="str">
            <v>Total kWh Delivered (excluding losses)</v>
          </cell>
          <cell r="S1" t="str">
            <v>Total kWh Delivered on Long-Term Load Transfer</v>
          </cell>
          <cell r="T1" t="str">
            <v>Total Distribution Losses (kWh)</v>
          </cell>
          <cell r="U1" t="str">
            <v>Total kWh Supplied</v>
          </cell>
          <cell r="W1" t="str">
            <v>Winter Peak (kW)</v>
          </cell>
          <cell r="X1" t="str">
            <v>Summer Peak (kW)</v>
          </cell>
          <cell r="Y1" t="str">
            <v>Average Peak (kW)</v>
          </cell>
          <cell r="Z1" t="str">
            <v>Higher of Winter &amp; Summer peak JK addn</v>
          </cell>
          <cell r="AA1" t="str">
            <v>Gross Capital Additions for the Year ($)</v>
          </cell>
          <cell r="AB1" t="str">
            <v>High Voltage Capital Additions for the Year ($)</v>
          </cell>
          <cell r="AD1" t="str">
            <v>Full-time Equivalent Number of Employees</v>
          </cell>
        </row>
        <row r="2">
          <cell r="A2" t="str">
            <v>Algoma Power Inc.</v>
          </cell>
          <cell r="C2">
            <v>11635</v>
          </cell>
          <cell r="D2">
            <v>0</v>
          </cell>
          <cell r="E2">
            <v>43</v>
          </cell>
          <cell r="F2">
            <v>0</v>
          </cell>
          <cell r="G2">
            <v>0</v>
          </cell>
          <cell r="H2">
            <v>11678</v>
          </cell>
          <cell r="J2">
            <v>14197</v>
          </cell>
          <cell r="K2">
            <v>3</v>
          </cell>
          <cell r="L2">
            <v>14200</v>
          </cell>
          <cell r="N2">
            <v>1835</v>
          </cell>
          <cell r="O2">
            <v>14</v>
          </cell>
          <cell r="P2">
            <v>1849</v>
          </cell>
          <cell r="Q2">
            <v>7.5716603569497025E-3</v>
          </cell>
          <cell r="R2">
            <v>200913699.96000001</v>
          </cell>
          <cell r="S2">
            <v>0</v>
          </cell>
          <cell r="T2">
            <v>17445883.959999979</v>
          </cell>
          <cell r="U2">
            <v>218359583.91999999</v>
          </cell>
          <cell r="W2">
            <v>44710</v>
          </cell>
          <cell r="X2">
            <v>26190</v>
          </cell>
          <cell r="Y2">
            <v>32284</v>
          </cell>
          <cell r="Z2">
            <v>44710</v>
          </cell>
          <cell r="AA2">
            <v>10888962.529999999</v>
          </cell>
          <cell r="AB2">
            <v>0</v>
          </cell>
          <cell r="AD2">
            <v>61</v>
          </cell>
        </row>
        <row r="3">
          <cell r="A3" t="str">
            <v>Atikokan Hydro Inc.</v>
          </cell>
          <cell r="C3">
            <v>1402</v>
          </cell>
          <cell r="D3">
            <v>233</v>
          </cell>
          <cell r="E3">
            <v>18</v>
          </cell>
          <cell r="F3">
            <v>0</v>
          </cell>
          <cell r="G3">
            <v>0</v>
          </cell>
          <cell r="H3">
            <v>1653</v>
          </cell>
          <cell r="J3">
            <v>0</v>
          </cell>
          <cell r="K3">
            <v>380</v>
          </cell>
          <cell r="L3">
            <v>380</v>
          </cell>
          <cell r="N3">
            <v>90</v>
          </cell>
          <cell r="O3">
            <v>2</v>
          </cell>
          <cell r="P3">
            <v>92</v>
          </cell>
          <cell r="Q3">
            <v>2.1739130434782608E-2</v>
          </cell>
          <cell r="R3">
            <v>32367961.210000001</v>
          </cell>
          <cell r="S3">
            <v>2330.79</v>
          </cell>
          <cell r="T3">
            <v>2436377.200000002</v>
          </cell>
          <cell r="U3">
            <v>34806669.200000003</v>
          </cell>
          <cell r="W3">
            <v>5905</v>
          </cell>
          <cell r="X3">
            <v>5811</v>
          </cell>
          <cell r="Y3">
            <v>5352</v>
          </cell>
          <cell r="Z3">
            <v>5905</v>
          </cell>
          <cell r="AA3">
            <v>268667</v>
          </cell>
          <cell r="AB3">
            <v>0</v>
          </cell>
          <cell r="AD3">
            <v>8</v>
          </cell>
        </row>
        <row r="4">
          <cell r="A4" t="str">
            <v>Bluewater Power Distribution Corporation</v>
          </cell>
          <cell r="C4">
            <v>32326</v>
          </cell>
          <cell r="D4">
            <v>3495</v>
          </cell>
          <cell r="E4">
            <v>384</v>
          </cell>
          <cell r="F4">
            <v>3</v>
          </cell>
          <cell r="G4">
            <v>0</v>
          </cell>
          <cell r="H4">
            <v>36208</v>
          </cell>
          <cell r="J4">
            <v>147</v>
          </cell>
          <cell r="K4">
            <v>54</v>
          </cell>
          <cell r="L4">
            <v>201</v>
          </cell>
          <cell r="N4">
            <v>572</v>
          </cell>
          <cell r="O4">
            <v>211</v>
          </cell>
          <cell r="P4">
            <v>783</v>
          </cell>
          <cell r="Q4">
            <v>0.26947637292464877</v>
          </cell>
          <cell r="R4">
            <v>989692085</v>
          </cell>
          <cell r="S4">
            <v>383055</v>
          </cell>
          <cell r="T4">
            <v>27455025</v>
          </cell>
          <cell r="U4">
            <v>1017530165</v>
          </cell>
          <cell r="W4">
            <v>132997</v>
          </cell>
          <cell r="X4">
            <v>149532</v>
          </cell>
          <cell r="Y4">
            <v>129516</v>
          </cell>
          <cell r="Z4">
            <v>149532</v>
          </cell>
          <cell r="AA4">
            <v>7641889</v>
          </cell>
          <cell r="AB4">
            <v>0</v>
          </cell>
          <cell r="AD4">
            <v>110</v>
          </cell>
        </row>
        <row r="5">
          <cell r="A5" t="str">
            <v>Brant County Power Inc.</v>
          </cell>
          <cell r="C5">
            <v>8631</v>
          </cell>
          <cell r="D5">
            <v>1297</v>
          </cell>
          <cell r="E5">
            <v>130</v>
          </cell>
          <cell r="F5">
            <v>0</v>
          </cell>
          <cell r="G5">
            <v>0</v>
          </cell>
          <cell r="H5">
            <v>10058</v>
          </cell>
          <cell r="J5">
            <v>242</v>
          </cell>
          <cell r="K5">
            <v>14</v>
          </cell>
          <cell r="L5">
            <v>256</v>
          </cell>
          <cell r="N5">
            <v>471</v>
          </cell>
          <cell r="O5">
            <v>85</v>
          </cell>
          <cell r="P5">
            <v>556</v>
          </cell>
          <cell r="Q5">
            <v>0.15287769784172661</v>
          </cell>
          <cell r="R5">
            <v>274482249</v>
          </cell>
          <cell r="S5">
            <v>758113</v>
          </cell>
          <cell r="T5">
            <v>18275675</v>
          </cell>
          <cell r="U5">
            <v>293516037</v>
          </cell>
          <cell r="W5">
            <v>51938</v>
          </cell>
          <cell r="X5">
            <v>57253</v>
          </cell>
          <cell r="Y5">
            <v>47520</v>
          </cell>
          <cell r="Z5">
            <v>57253</v>
          </cell>
          <cell r="AA5">
            <v>2441837</v>
          </cell>
          <cell r="AB5">
            <v>0</v>
          </cell>
          <cell r="AD5">
            <v>23</v>
          </cell>
        </row>
        <row r="6">
          <cell r="A6" t="str">
            <v>Brantford Power Inc.</v>
          </cell>
          <cell r="C6">
            <v>35892</v>
          </cell>
          <cell r="D6">
            <v>2793</v>
          </cell>
          <cell r="E6">
            <v>442</v>
          </cell>
          <cell r="F6">
            <v>0</v>
          </cell>
          <cell r="G6">
            <v>0</v>
          </cell>
          <cell r="H6">
            <v>39127</v>
          </cell>
          <cell r="J6">
            <v>0</v>
          </cell>
          <cell r="K6">
            <v>74</v>
          </cell>
          <cell r="L6">
            <v>74</v>
          </cell>
          <cell r="N6">
            <v>266</v>
          </cell>
          <cell r="O6">
            <v>232</v>
          </cell>
          <cell r="P6">
            <v>498</v>
          </cell>
          <cell r="Q6">
            <v>0.46586345381526106</v>
          </cell>
          <cell r="R6">
            <v>973165873</v>
          </cell>
          <cell r="S6">
            <v>0</v>
          </cell>
          <cell r="T6">
            <v>22437981</v>
          </cell>
          <cell r="U6">
            <v>995603854</v>
          </cell>
          <cell r="W6">
            <v>145629</v>
          </cell>
          <cell r="X6">
            <v>175113</v>
          </cell>
          <cell r="Y6">
            <v>144853</v>
          </cell>
          <cell r="Z6">
            <v>175113</v>
          </cell>
          <cell r="AA6">
            <v>4502042</v>
          </cell>
          <cell r="AB6">
            <v>0</v>
          </cell>
          <cell r="AD6">
            <v>58</v>
          </cell>
        </row>
        <row r="7">
          <cell r="A7" t="str">
            <v>Burlington Hydro Inc.</v>
          </cell>
          <cell r="C7">
            <v>60366</v>
          </cell>
          <cell r="D7">
            <v>5259</v>
          </cell>
          <cell r="E7">
            <v>1031</v>
          </cell>
          <cell r="F7">
            <v>0</v>
          </cell>
          <cell r="G7">
            <v>0</v>
          </cell>
          <cell r="H7">
            <v>66656</v>
          </cell>
          <cell r="J7">
            <v>90</v>
          </cell>
          <cell r="K7">
            <v>98</v>
          </cell>
          <cell r="L7">
            <v>188</v>
          </cell>
          <cell r="N7">
            <v>865</v>
          </cell>
          <cell r="O7">
            <v>671</v>
          </cell>
          <cell r="P7">
            <v>1536</v>
          </cell>
          <cell r="Q7">
            <v>0.43684895833333331</v>
          </cell>
          <cell r="R7">
            <v>1614949528</v>
          </cell>
          <cell r="S7">
            <v>1174676</v>
          </cell>
          <cell r="T7">
            <v>57559623</v>
          </cell>
          <cell r="U7">
            <v>1673683827</v>
          </cell>
          <cell r="W7">
            <v>270992</v>
          </cell>
          <cell r="X7">
            <v>338828</v>
          </cell>
          <cell r="Y7">
            <v>273189</v>
          </cell>
          <cell r="Z7">
            <v>338828</v>
          </cell>
          <cell r="AA7">
            <v>10253246.300000001</v>
          </cell>
          <cell r="AB7">
            <v>0</v>
          </cell>
          <cell r="AD7">
            <v>91</v>
          </cell>
        </row>
        <row r="8">
          <cell r="A8" t="str">
            <v>Cambridge and North Dumfries Hydro Inc.</v>
          </cell>
          <cell r="C8">
            <v>47501</v>
          </cell>
          <cell r="D8">
            <v>4887</v>
          </cell>
          <cell r="E8">
            <v>716</v>
          </cell>
          <cell r="F8">
            <v>2</v>
          </cell>
          <cell r="G8">
            <v>0</v>
          </cell>
          <cell r="H8">
            <v>53106</v>
          </cell>
          <cell r="J8">
            <v>216</v>
          </cell>
          <cell r="K8">
            <v>90</v>
          </cell>
          <cell r="L8">
            <v>306</v>
          </cell>
          <cell r="N8">
            <v>722</v>
          </cell>
          <cell r="O8">
            <v>440</v>
          </cell>
          <cell r="P8">
            <v>1162</v>
          </cell>
          <cell r="Q8">
            <v>0.37865748709122204</v>
          </cell>
          <cell r="R8">
            <v>1481702519</v>
          </cell>
          <cell r="S8">
            <v>290380</v>
          </cell>
          <cell r="T8">
            <v>15418666</v>
          </cell>
          <cell r="U8">
            <v>1497411565</v>
          </cell>
          <cell r="W8">
            <v>234781</v>
          </cell>
          <cell r="X8">
            <v>281526</v>
          </cell>
          <cell r="Y8">
            <v>237551</v>
          </cell>
          <cell r="Z8">
            <v>281526</v>
          </cell>
          <cell r="AA8">
            <v>13417473</v>
          </cell>
          <cell r="AB8">
            <v>0</v>
          </cell>
          <cell r="AD8">
            <v>110</v>
          </cell>
        </row>
        <row r="9">
          <cell r="A9" t="str">
            <v>Canadian Niagara Power Inc.</v>
          </cell>
          <cell r="C9">
            <v>25999</v>
          </cell>
          <cell r="D9">
            <v>2496</v>
          </cell>
          <cell r="E9">
            <v>218</v>
          </cell>
          <cell r="F9">
            <v>0</v>
          </cell>
          <cell r="G9">
            <v>0</v>
          </cell>
          <cell r="H9">
            <v>28713</v>
          </cell>
          <cell r="J9">
            <v>284</v>
          </cell>
          <cell r="K9">
            <v>73</v>
          </cell>
          <cell r="L9">
            <v>357</v>
          </cell>
          <cell r="N9">
            <v>947</v>
          </cell>
          <cell r="O9">
            <v>81</v>
          </cell>
          <cell r="P9">
            <v>1028</v>
          </cell>
          <cell r="Q9">
            <v>7.8793774319066145E-2</v>
          </cell>
          <cell r="R9">
            <v>473917459.97000003</v>
          </cell>
          <cell r="S9">
            <v>258116.61</v>
          </cell>
          <cell r="T9">
            <v>25547002.989999998</v>
          </cell>
          <cell r="U9">
            <v>499722579.57000005</v>
          </cell>
          <cell r="W9">
            <v>93232</v>
          </cell>
          <cell r="X9">
            <v>94320</v>
          </cell>
          <cell r="Y9">
            <v>79503</v>
          </cell>
          <cell r="Z9">
            <v>94320</v>
          </cell>
          <cell r="AA9">
            <v>9293758.25</v>
          </cell>
          <cell r="AB9">
            <v>0</v>
          </cell>
          <cell r="AD9">
            <v>83</v>
          </cell>
        </row>
        <row r="10">
          <cell r="A10" t="str">
            <v>Centre Wellington Hydro Ltd.</v>
          </cell>
          <cell r="C10">
            <v>5967</v>
          </cell>
          <cell r="D10">
            <v>742</v>
          </cell>
          <cell r="E10">
            <v>48</v>
          </cell>
          <cell r="F10">
            <v>0</v>
          </cell>
          <cell r="G10">
            <v>0</v>
          </cell>
          <cell r="H10">
            <v>6757</v>
          </cell>
          <cell r="J10">
            <v>0</v>
          </cell>
          <cell r="K10">
            <v>10</v>
          </cell>
          <cell r="L10">
            <v>10</v>
          </cell>
          <cell r="N10">
            <v>79</v>
          </cell>
          <cell r="O10">
            <v>72</v>
          </cell>
          <cell r="P10">
            <v>151</v>
          </cell>
          <cell r="Q10">
            <v>0.47682119205298013</v>
          </cell>
          <cell r="R10">
            <v>140965486.65000001</v>
          </cell>
          <cell r="S10">
            <v>60218.6</v>
          </cell>
          <cell r="T10">
            <v>6270490.2500000028</v>
          </cell>
          <cell r="U10">
            <v>147296195.5</v>
          </cell>
          <cell r="W10">
            <v>26279</v>
          </cell>
          <cell r="X10">
            <v>28656</v>
          </cell>
          <cell r="Y10">
            <v>17389</v>
          </cell>
          <cell r="Z10">
            <v>28656</v>
          </cell>
          <cell r="AA10">
            <v>1884000.9</v>
          </cell>
          <cell r="AB10">
            <v>32714.01</v>
          </cell>
          <cell r="AD10">
            <v>14</v>
          </cell>
        </row>
        <row r="11">
          <cell r="A11" t="str">
            <v>Chapleau Public Utilities Corporation</v>
          </cell>
          <cell r="C11">
            <v>1059</v>
          </cell>
          <cell r="D11">
            <v>157</v>
          </cell>
          <cell r="E11">
            <v>13</v>
          </cell>
          <cell r="F11">
            <v>0</v>
          </cell>
          <cell r="G11">
            <v>0</v>
          </cell>
          <cell r="H11">
            <v>1229</v>
          </cell>
          <cell r="J11">
            <v>0</v>
          </cell>
          <cell r="K11">
            <v>2</v>
          </cell>
          <cell r="L11">
            <v>2</v>
          </cell>
          <cell r="N11">
            <v>26</v>
          </cell>
          <cell r="O11">
            <v>1</v>
          </cell>
          <cell r="P11">
            <v>27</v>
          </cell>
          <cell r="Q11">
            <v>3.7037037037037035E-2</v>
          </cell>
          <cell r="R11">
            <v>24687903</v>
          </cell>
          <cell r="S11">
            <v>1115461</v>
          </cell>
          <cell r="T11">
            <v>1822142</v>
          </cell>
          <cell r="U11">
            <v>27625506</v>
          </cell>
          <cell r="W11">
            <v>7029</v>
          </cell>
          <cell r="X11">
            <v>4548</v>
          </cell>
          <cell r="Y11">
            <v>4230</v>
          </cell>
          <cell r="Z11">
            <v>7029</v>
          </cell>
          <cell r="AA11">
            <v>101174.61</v>
          </cell>
          <cell r="AB11">
            <v>0</v>
          </cell>
          <cell r="AD11">
            <v>5</v>
          </cell>
        </row>
        <row r="12">
          <cell r="A12" t="str">
            <v>COLLUS PowerStream Corp.</v>
          </cell>
          <cell r="C12">
            <v>14715</v>
          </cell>
          <cell r="D12">
            <v>1742</v>
          </cell>
          <cell r="E12">
            <v>126</v>
          </cell>
          <cell r="F12">
            <v>0</v>
          </cell>
          <cell r="G12">
            <v>0</v>
          </cell>
          <cell r="H12">
            <v>16583</v>
          </cell>
          <cell r="J12">
            <v>0</v>
          </cell>
          <cell r="K12">
            <v>45</v>
          </cell>
          <cell r="L12">
            <v>45</v>
          </cell>
          <cell r="N12">
            <v>219</v>
          </cell>
          <cell r="O12">
            <v>135</v>
          </cell>
          <cell r="P12">
            <v>354</v>
          </cell>
          <cell r="Q12">
            <v>0.38135593220338981</v>
          </cell>
          <cell r="R12">
            <v>298909967</v>
          </cell>
          <cell r="S12">
            <v>32353</v>
          </cell>
          <cell r="T12">
            <v>15502781.149999976</v>
          </cell>
          <cell r="U12">
            <v>314445101.14999998</v>
          </cell>
          <cell r="W12">
            <v>58082</v>
          </cell>
          <cell r="X12">
            <v>49771</v>
          </cell>
          <cell r="Y12">
            <v>46852</v>
          </cell>
          <cell r="Z12">
            <v>58082</v>
          </cell>
          <cell r="AA12">
            <v>2443137</v>
          </cell>
          <cell r="AB12">
            <v>0</v>
          </cell>
          <cell r="AD12">
            <v>16</v>
          </cell>
        </row>
        <row r="13">
          <cell r="A13" t="str">
            <v>Cooperative Hydro Embrun Inc.</v>
          </cell>
          <cell r="C13">
            <v>1884</v>
          </cell>
          <cell r="D13">
            <v>164</v>
          </cell>
          <cell r="E13">
            <v>11</v>
          </cell>
          <cell r="F13">
            <v>0</v>
          </cell>
          <cell r="G13">
            <v>0</v>
          </cell>
          <cell r="H13">
            <v>2059</v>
          </cell>
          <cell r="J13">
            <v>0</v>
          </cell>
          <cell r="K13">
            <v>5</v>
          </cell>
          <cell r="L13">
            <v>5</v>
          </cell>
          <cell r="N13">
            <v>17</v>
          </cell>
          <cell r="O13">
            <v>19</v>
          </cell>
          <cell r="P13">
            <v>36</v>
          </cell>
          <cell r="Q13">
            <v>0.52777777777777779</v>
          </cell>
          <cell r="R13">
            <v>28755563</v>
          </cell>
          <cell r="S13">
            <v>0</v>
          </cell>
          <cell r="T13">
            <v>1237470</v>
          </cell>
          <cell r="U13">
            <v>29993033</v>
          </cell>
          <cell r="W13">
            <v>6635</v>
          </cell>
          <cell r="X13">
            <v>5776</v>
          </cell>
          <cell r="Y13">
            <v>5579</v>
          </cell>
          <cell r="Z13">
            <v>6635</v>
          </cell>
          <cell r="AA13">
            <v>369452</v>
          </cell>
          <cell r="AB13">
            <v>270288</v>
          </cell>
          <cell r="AD13">
            <v>3</v>
          </cell>
        </row>
        <row r="14">
          <cell r="A14" t="str">
            <v>E.L.K. Energy Inc.</v>
          </cell>
          <cell r="C14">
            <v>10242</v>
          </cell>
          <cell r="D14">
            <v>1360</v>
          </cell>
          <cell r="E14">
            <v>102</v>
          </cell>
          <cell r="F14">
            <v>0</v>
          </cell>
          <cell r="G14">
            <v>0</v>
          </cell>
          <cell r="H14">
            <v>11704</v>
          </cell>
          <cell r="J14">
            <v>0</v>
          </cell>
          <cell r="K14">
            <v>22</v>
          </cell>
          <cell r="L14">
            <v>22</v>
          </cell>
          <cell r="N14">
            <v>89</v>
          </cell>
          <cell r="O14">
            <v>68</v>
          </cell>
          <cell r="P14">
            <v>157</v>
          </cell>
          <cell r="Q14">
            <v>0.43312101910828027</v>
          </cell>
          <cell r="R14">
            <v>242671011</v>
          </cell>
          <cell r="S14">
            <v>0</v>
          </cell>
          <cell r="T14">
            <v>5047843</v>
          </cell>
          <cell r="U14">
            <v>247718854</v>
          </cell>
          <cell r="W14">
            <v>50739</v>
          </cell>
          <cell r="X14">
            <v>59146</v>
          </cell>
          <cell r="Y14">
            <v>45843</v>
          </cell>
          <cell r="Z14">
            <v>59146</v>
          </cell>
          <cell r="AA14">
            <v>1080986.26</v>
          </cell>
          <cell r="AB14">
            <v>0</v>
          </cell>
          <cell r="AD14">
            <v>20</v>
          </cell>
        </row>
        <row r="15">
          <cell r="A15" t="str">
            <v>Enersource Hydro Mississauga Inc.</v>
          </cell>
          <cell r="C15">
            <v>181140</v>
          </cell>
          <cell r="D15">
            <v>17894</v>
          </cell>
          <cell r="E15">
            <v>4423</v>
          </cell>
          <cell r="F15">
            <v>9</v>
          </cell>
          <cell r="G15">
            <v>0</v>
          </cell>
          <cell r="H15">
            <v>203466</v>
          </cell>
          <cell r="J15">
            <v>0</v>
          </cell>
          <cell r="K15">
            <v>292</v>
          </cell>
          <cell r="L15">
            <v>292</v>
          </cell>
          <cell r="N15">
            <v>1799</v>
          </cell>
          <cell r="O15">
            <v>3404</v>
          </cell>
          <cell r="P15">
            <v>5203</v>
          </cell>
          <cell r="Q15">
            <v>0.65423793965020183</v>
          </cell>
          <cell r="R15">
            <v>7203088049</v>
          </cell>
          <cell r="S15">
            <v>596656</v>
          </cell>
          <cell r="T15">
            <v>235624389</v>
          </cell>
          <cell r="U15">
            <v>7439309094</v>
          </cell>
          <cell r="W15">
            <v>1105396</v>
          </cell>
          <cell r="X15">
            <v>1391623</v>
          </cell>
          <cell r="Y15">
            <v>1140996</v>
          </cell>
          <cell r="Z15">
            <v>1391623</v>
          </cell>
          <cell r="AA15">
            <v>120666489</v>
          </cell>
          <cell r="AB15">
            <v>40478700</v>
          </cell>
          <cell r="AD15">
            <v>357</v>
          </cell>
        </row>
        <row r="16">
          <cell r="A16" t="str">
            <v>Entegrus Powerlines Inc.</v>
          </cell>
          <cell r="C16">
            <v>36287</v>
          </cell>
          <cell r="D16">
            <v>3913</v>
          </cell>
          <cell r="E16">
            <v>458</v>
          </cell>
          <cell r="F16">
            <v>1</v>
          </cell>
          <cell r="G16">
            <v>0</v>
          </cell>
          <cell r="H16">
            <v>40659</v>
          </cell>
          <cell r="J16">
            <v>0</v>
          </cell>
          <cell r="K16">
            <v>96</v>
          </cell>
          <cell r="L16">
            <v>96</v>
          </cell>
          <cell r="N16">
            <v>680</v>
          </cell>
          <cell r="O16">
            <v>274</v>
          </cell>
          <cell r="P16">
            <v>954</v>
          </cell>
          <cell r="Q16">
            <v>0.28721174004192873</v>
          </cell>
          <cell r="R16">
            <v>927631236</v>
          </cell>
          <cell r="S16">
            <v>2832711</v>
          </cell>
          <cell r="T16">
            <v>41309292</v>
          </cell>
          <cell r="U16">
            <v>971773239</v>
          </cell>
          <cell r="W16">
            <v>136963</v>
          </cell>
          <cell r="X16">
            <v>175602</v>
          </cell>
          <cell r="Y16">
            <v>136612</v>
          </cell>
          <cell r="Z16">
            <v>175602</v>
          </cell>
          <cell r="AA16">
            <v>9347691.0600000005</v>
          </cell>
          <cell r="AB16">
            <v>0</v>
          </cell>
          <cell r="AD16">
            <v>73</v>
          </cell>
        </row>
        <row r="17">
          <cell r="A17" t="str">
            <v>EnWin Utilities Ltd.</v>
          </cell>
          <cell r="C17">
            <v>78520</v>
          </cell>
          <cell r="D17">
            <v>7442</v>
          </cell>
          <cell r="E17">
            <v>1241</v>
          </cell>
          <cell r="F17">
            <v>9</v>
          </cell>
          <cell r="G17">
            <v>0</v>
          </cell>
          <cell r="H17">
            <v>87212</v>
          </cell>
          <cell r="J17">
            <v>0</v>
          </cell>
          <cell r="K17">
            <v>120</v>
          </cell>
          <cell r="L17">
            <v>120</v>
          </cell>
          <cell r="N17">
            <v>670</v>
          </cell>
          <cell r="O17">
            <v>444</v>
          </cell>
          <cell r="P17">
            <v>1114</v>
          </cell>
          <cell r="Q17">
            <v>0.3985637342908438</v>
          </cell>
          <cell r="R17">
            <v>2405385603</v>
          </cell>
          <cell r="S17">
            <v>545160</v>
          </cell>
          <cell r="T17">
            <v>54697060</v>
          </cell>
          <cell r="U17">
            <v>2460627823</v>
          </cell>
          <cell r="W17">
            <v>366300</v>
          </cell>
          <cell r="X17">
            <v>463400</v>
          </cell>
          <cell r="Y17">
            <v>372933</v>
          </cell>
          <cell r="Z17">
            <v>463400</v>
          </cell>
          <cell r="AA17">
            <v>22631448.300000001</v>
          </cell>
          <cell r="AB17">
            <v>322175.53000000003</v>
          </cell>
          <cell r="AD17">
            <v>190</v>
          </cell>
        </row>
        <row r="18">
          <cell r="A18" t="str">
            <v>Erie Thames Powerlines Corporation</v>
          </cell>
          <cell r="C18">
            <v>16474</v>
          </cell>
          <cell r="D18">
            <v>1799</v>
          </cell>
          <cell r="E18">
            <v>160</v>
          </cell>
          <cell r="F18">
            <v>1</v>
          </cell>
          <cell r="G18">
            <v>0</v>
          </cell>
          <cell r="H18">
            <v>18434</v>
          </cell>
          <cell r="J18">
            <v>1830</v>
          </cell>
          <cell r="K18">
            <v>57</v>
          </cell>
          <cell r="L18">
            <v>1887</v>
          </cell>
          <cell r="N18">
            <v>245</v>
          </cell>
          <cell r="O18">
            <v>107</v>
          </cell>
          <cell r="P18">
            <v>352</v>
          </cell>
          <cell r="Q18">
            <v>0.30397727272727271</v>
          </cell>
          <cell r="R18">
            <v>484442056</v>
          </cell>
          <cell r="S18">
            <v>1620998</v>
          </cell>
          <cell r="T18">
            <v>19238838.700000003</v>
          </cell>
          <cell r="U18">
            <v>505301892.69999999</v>
          </cell>
          <cell r="W18">
            <v>78113</v>
          </cell>
          <cell r="X18">
            <v>82552</v>
          </cell>
          <cell r="Y18">
            <v>73550</v>
          </cell>
          <cell r="Z18">
            <v>82552</v>
          </cell>
          <cell r="AA18">
            <v>5928082.3200000003</v>
          </cell>
          <cell r="AB18">
            <v>0</v>
          </cell>
          <cell r="AD18">
            <v>47</v>
          </cell>
        </row>
        <row r="19">
          <cell r="A19" t="str">
            <v>Espanola Regional Hydro Distribution Corporation</v>
          </cell>
          <cell r="C19">
            <v>2854</v>
          </cell>
          <cell r="D19">
            <v>406</v>
          </cell>
          <cell r="E19">
            <v>29</v>
          </cell>
          <cell r="F19">
            <v>0</v>
          </cell>
          <cell r="G19">
            <v>0</v>
          </cell>
          <cell r="H19">
            <v>3289</v>
          </cell>
          <cell r="J19">
            <v>76</v>
          </cell>
          <cell r="K19">
            <v>26</v>
          </cell>
          <cell r="L19">
            <v>102</v>
          </cell>
          <cell r="N19">
            <v>129</v>
          </cell>
          <cell r="O19">
            <v>11</v>
          </cell>
          <cell r="P19">
            <v>140</v>
          </cell>
          <cell r="Q19">
            <v>7.857142857142857E-2</v>
          </cell>
          <cell r="R19">
            <v>58365910.909999996</v>
          </cell>
          <cell r="S19">
            <v>212588</v>
          </cell>
          <cell r="T19">
            <v>1536655.0900000036</v>
          </cell>
          <cell r="U19">
            <v>60115154</v>
          </cell>
          <cell r="W19">
            <v>13571</v>
          </cell>
          <cell r="X19">
            <v>8554</v>
          </cell>
          <cell r="Y19">
            <v>9676</v>
          </cell>
          <cell r="Z19">
            <v>13571</v>
          </cell>
          <cell r="AA19">
            <v>501347.49</v>
          </cell>
          <cell r="AB19">
            <v>445058.1</v>
          </cell>
          <cell r="AD19">
            <v>7</v>
          </cell>
        </row>
        <row r="20">
          <cell r="A20" t="str">
            <v>Essex Powerlines Corporation</v>
          </cell>
          <cell r="C20">
            <v>26713</v>
          </cell>
          <cell r="D20">
            <v>1926</v>
          </cell>
          <cell r="E20">
            <v>253</v>
          </cell>
          <cell r="F20">
            <v>0</v>
          </cell>
          <cell r="G20">
            <v>0</v>
          </cell>
          <cell r="H20">
            <v>28892</v>
          </cell>
          <cell r="J20">
            <v>38</v>
          </cell>
          <cell r="K20">
            <v>66</v>
          </cell>
          <cell r="L20">
            <v>104</v>
          </cell>
          <cell r="N20">
            <v>188</v>
          </cell>
          <cell r="O20">
            <v>260</v>
          </cell>
          <cell r="P20">
            <v>448</v>
          </cell>
          <cell r="Q20">
            <v>0.5803571428571429</v>
          </cell>
          <cell r="R20">
            <v>519330970</v>
          </cell>
          <cell r="S20">
            <v>2682812</v>
          </cell>
          <cell r="T20">
            <v>20433244</v>
          </cell>
          <cell r="U20">
            <v>542447026</v>
          </cell>
          <cell r="W20">
            <v>78040</v>
          </cell>
          <cell r="X20">
            <v>109044</v>
          </cell>
          <cell r="Y20">
            <v>81985</v>
          </cell>
          <cell r="Z20">
            <v>109044</v>
          </cell>
          <cell r="AA20">
            <v>6672825</v>
          </cell>
          <cell r="AB20">
            <v>0</v>
          </cell>
          <cell r="AD20">
            <v>44</v>
          </cell>
        </row>
        <row r="21">
          <cell r="A21" t="str">
            <v>Festival Hydro Inc.</v>
          </cell>
          <cell r="C21">
            <v>18279</v>
          </cell>
          <cell r="D21">
            <v>2061</v>
          </cell>
          <cell r="E21">
            <v>215</v>
          </cell>
          <cell r="F21">
            <v>1</v>
          </cell>
          <cell r="G21">
            <v>0</v>
          </cell>
          <cell r="H21">
            <v>20556</v>
          </cell>
          <cell r="J21">
            <v>0</v>
          </cell>
          <cell r="K21">
            <v>45</v>
          </cell>
          <cell r="L21">
            <v>45</v>
          </cell>
          <cell r="N21">
            <v>165</v>
          </cell>
          <cell r="O21">
            <v>95</v>
          </cell>
          <cell r="P21">
            <v>260</v>
          </cell>
          <cell r="Q21">
            <v>0.36538461538461536</v>
          </cell>
          <cell r="R21">
            <v>605549949.5</v>
          </cell>
          <cell r="S21">
            <v>313436</v>
          </cell>
          <cell r="T21">
            <v>14383340.619999953</v>
          </cell>
          <cell r="U21">
            <v>620246726.12</v>
          </cell>
          <cell r="W21">
            <v>96322</v>
          </cell>
          <cell r="X21">
            <v>104538</v>
          </cell>
          <cell r="Y21">
            <v>70043</v>
          </cell>
          <cell r="Z21">
            <v>104538</v>
          </cell>
          <cell r="AA21">
            <v>3060677</v>
          </cell>
          <cell r="AB21">
            <v>0</v>
          </cell>
          <cell r="AD21">
            <v>43</v>
          </cell>
        </row>
        <row r="22">
          <cell r="A22" t="str">
            <v>Fort Frances Power Corporation</v>
          </cell>
          <cell r="C22">
            <v>3264</v>
          </cell>
          <cell r="D22">
            <v>418</v>
          </cell>
          <cell r="E22">
            <v>47</v>
          </cell>
          <cell r="F22">
            <v>0</v>
          </cell>
          <cell r="G22">
            <v>0</v>
          </cell>
          <cell r="H22">
            <v>3729</v>
          </cell>
          <cell r="J22">
            <v>0</v>
          </cell>
          <cell r="K22">
            <v>26</v>
          </cell>
          <cell r="L22">
            <v>26</v>
          </cell>
          <cell r="N22">
            <v>66</v>
          </cell>
          <cell r="O22">
            <v>10</v>
          </cell>
          <cell r="P22">
            <v>76</v>
          </cell>
          <cell r="Q22">
            <v>0.13157894736842105</v>
          </cell>
          <cell r="R22">
            <v>73420400.799999997</v>
          </cell>
          <cell r="S22">
            <v>0</v>
          </cell>
          <cell r="T22">
            <v>3671027.200000003</v>
          </cell>
          <cell r="U22">
            <v>77091428</v>
          </cell>
          <cell r="W22">
            <v>16796</v>
          </cell>
          <cell r="X22">
            <v>12502</v>
          </cell>
          <cell r="Y22">
            <v>12354</v>
          </cell>
          <cell r="Z22">
            <v>16796</v>
          </cell>
          <cell r="AA22">
            <v>200666.73</v>
          </cell>
          <cell r="AB22">
            <v>0</v>
          </cell>
          <cell r="AD22">
            <v>9</v>
          </cell>
        </row>
        <row r="23">
          <cell r="A23" t="str">
            <v>Greater Sudbury Hydro Inc.</v>
          </cell>
          <cell r="C23">
            <v>42746</v>
          </cell>
          <cell r="D23">
            <v>4032</v>
          </cell>
          <cell r="E23">
            <v>520</v>
          </cell>
          <cell r="F23">
            <v>0</v>
          </cell>
          <cell r="G23">
            <v>0</v>
          </cell>
          <cell r="H23">
            <v>47298</v>
          </cell>
          <cell r="J23">
            <v>120</v>
          </cell>
          <cell r="K23">
            <v>290</v>
          </cell>
          <cell r="L23">
            <v>410</v>
          </cell>
          <cell r="N23">
            <v>753</v>
          </cell>
          <cell r="O23">
            <v>248</v>
          </cell>
          <cell r="P23">
            <v>1001</v>
          </cell>
          <cell r="Q23">
            <v>0.24775224775224775</v>
          </cell>
          <cell r="R23">
            <v>886052176.25</v>
          </cell>
          <cell r="S23">
            <v>479792</v>
          </cell>
          <cell r="T23">
            <v>41413101.75</v>
          </cell>
          <cell r="U23">
            <v>927945070</v>
          </cell>
          <cell r="W23">
            <v>185132</v>
          </cell>
          <cell r="X23">
            <v>141509</v>
          </cell>
          <cell r="Y23">
            <v>140150</v>
          </cell>
          <cell r="Z23">
            <v>185132</v>
          </cell>
          <cell r="AA23">
            <v>8891797.0600000005</v>
          </cell>
          <cell r="AB23">
            <v>0</v>
          </cell>
          <cell r="AD23">
            <v>65</v>
          </cell>
        </row>
        <row r="24">
          <cell r="A24" t="str">
            <v>Grimsby Power Incorporated</v>
          </cell>
          <cell r="C24">
            <v>10267</v>
          </cell>
          <cell r="D24">
            <v>767</v>
          </cell>
          <cell r="E24">
            <v>111</v>
          </cell>
          <cell r="F24">
            <v>0</v>
          </cell>
          <cell r="G24">
            <v>0</v>
          </cell>
          <cell r="H24">
            <v>11145</v>
          </cell>
          <cell r="J24">
            <v>50</v>
          </cell>
          <cell r="K24">
            <v>19</v>
          </cell>
          <cell r="L24">
            <v>69</v>
          </cell>
          <cell r="N24">
            <v>168</v>
          </cell>
          <cell r="O24">
            <v>76</v>
          </cell>
          <cell r="P24">
            <v>244</v>
          </cell>
          <cell r="Q24">
            <v>0.31147540983606559</v>
          </cell>
          <cell r="R24">
            <v>180134311</v>
          </cell>
          <cell r="S24">
            <v>46730</v>
          </cell>
          <cell r="T24">
            <v>8613606</v>
          </cell>
          <cell r="U24">
            <v>188794647</v>
          </cell>
          <cell r="W24">
            <v>30907</v>
          </cell>
          <cell r="X24">
            <v>41662</v>
          </cell>
          <cell r="Y24">
            <v>21019</v>
          </cell>
          <cell r="Z24">
            <v>41662</v>
          </cell>
          <cell r="AA24">
            <v>2611360.4300000002</v>
          </cell>
          <cell r="AB24">
            <v>0</v>
          </cell>
          <cell r="AD24">
            <v>19</v>
          </cell>
        </row>
        <row r="25">
          <cell r="A25" t="str">
            <v>Guelph Hydro Electric Systems Inc.</v>
          </cell>
          <cell r="C25">
            <v>49132</v>
          </cell>
          <cell r="D25">
            <v>4035</v>
          </cell>
          <cell r="E25">
            <v>617</v>
          </cell>
          <cell r="F25">
            <v>5</v>
          </cell>
          <cell r="G25">
            <v>0</v>
          </cell>
          <cell r="H25">
            <v>53789</v>
          </cell>
          <cell r="J25">
            <v>0</v>
          </cell>
          <cell r="K25">
            <v>93</v>
          </cell>
          <cell r="L25">
            <v>93</v>
          </cell>
          <cell r="N25">
            <v>430</v>
          </cell>
          <cell r="O25">
            <v>703</v>
          </cell>
          <cell r="P25">
            <v>1133</v>
          </cell>
          <cell r="Q25">
            <v>0.62047661076787286</v>
          </cell>
          <cell r="R25">
            <v>1772328644.7</v>
          </cell>
          <cell r="S25">
            <v>0</v>
          </cell>
          <cell r="T25">
            <v>12851698.700000048</v>
          </cell>
          <cell r="U25">
            <v>1785180343.4000001</v>
          </cell>
          <cell r="W25">
            <v>269316</v>
          </cell>
          <cell r="X25">
            <v>292675</v>
          </cell>
          <cell r="Y25">
            <v>262958</v>
          </cell>
          <cell r="Z25">
            <v>292675</v>
          </cell>
          <cell r="AA25">
            <v>13947373</v>
          </cell>
          <cell r="AB25">
            <v>21800</v>
          </cell>
          <cell r="AD25">
            <v>124</v>
          </cell>
        </row>
        <row r="26">
          <cell r="A26" t="str">
            <v>Haldimand County Hydro Inc.</v>
          </cell>
          <cell r="C26">
            <v>18899</v>
          </cell>
          <cell r="D26">
            <v>2347</v>
          </cell>
          <cell r="E26">
            <v>161</v>
          </cell>
          <cell r="F26">
            <v>0</v>
          </cell>
          <cell r="G26">
            <v>0</v>
          </cell>
          <cell r="H26">
            <v>21407</v>
          </cell>
          <cell r="J26">
            <v>1216</v>
          </cell>
          <cell r="K26">
            <v>36</v>
          </cell>
          <cell r="L26">
            <v>1252</v>
          </cell>
          <cell r="N26">
            <v>1636</v>
          </cell>
          <cell r="O26">
            <v>97</v>
          </cell>
          <cell r="P26">
            <v>1733</v>
          </cell>
          <cell r="Q26">
            <v>5.5972302365839582E-2</v>
          </cell>
          <cell r="R26">
            <v>420586297</v>
          </cell>
          <cell r="S26">
            <v>2144297</v>
          </cell>
          <cell r="T26">
            <v>21959073</v>
          </cell>
          <cell r="U26">
            <v>444689667</v>
          </cell>
          <cell r="W26">
            <v>71660</v>
          </cell>
          <cell r="X26">
            <v>73744</v>
          </cell>
          <cell r="Y26">
            <v>63371</v>
          </cell>
          <cell r="Z26">
            <v>73744</v>
          </cell>
          <cell r="AA26">
            <v>9950843.9000000004</v>
          </cell>
          <cell r="AB26">
            <v>0</v>
          </cell>
          <cell r="AD26">
            <v>55</v>
          </cell>
        </row>
        <row r="27">
          <cell r="A27" t="str">
            <v>Halton Hills Hydro Inc.</v>
          </cell>
          <cell r="C27">
            <v>19801</v>
          </cell>
          <cell r="D27">
            <v>1920</v>
          </cell>
          <cell r="E27">
            <v>208</v>
          </cell>
          <cell r="F27">
            <v>0</v>
          </cell>
          <cell r="G27">
            <v>0</v>
          </cell>
          <cell r="H27">
            <v>21929</v>
          </cell>
          <cell r="J27">
            <v>255</v>
          </cell>
          <cell r="K27">
            <v>26</v>
          </cell>
          <cell r="L27">
            <v>281</v>
          </cell>
          <cell r="N27">
            <v>902</v>
          </cell>
          <cell r="O27">
            <v>654</v>
          </cell>
          <cell r="P27">
            <v>1556</v>
          </cell>
          <cell r="Q27">
            <v>0.42030848329048842</v>
          </cell>
          <cell r="R27">
            <v>510232248</v>
          </cell>
          <cell r="S27">
            <v>2047441</v>
          </cell>
          <cell r="T27">
            <v>18098519</v>
          </cell>
          <cell r="U27">
            <v>530378208</v>
          </cell>
          <cell r="W27">
            <v>88688</v>
          </cell>
          <cell r="X27">
            <v>101316</v>
          </cell>
          <cell r="Y27">
            <v>86547</v>
          </cell>
          <cell r="Z27">
            <v>101316</v>
          </cell>
          <cell r="AA27">
            <v>8295868</v>
          </cell>
          <cell r="AB27">
            <v>0</v>
          </cell>
          <cell r="AD27">
            <v>51</v>
          </cell>
        </row>
        <row r="28">
          <cell r="A28" t="str">
            <v>Hearst Power Distribution Company Limited</v>
          </cell>
          <cell r="C28">
            <v>2259</v>
          </cell>
          <cell r="D28">
            <v>399</v>
          </cell>
          <cell r="E28">
            <v>45</v>
          </cell>
          <cell r="F28">
            <v>0</v>
          </cell>
          <cell r="G28">
            <v>0</v>
          </cell>
          <cell r="H28">
            <v>2703</v>
          </cell>
          <cell r="J28">
            <v>0</v>
          </cell>
          <cell r="K28">
            <v>93</v>
          </cell>
          <cell r="L28">
            <v>93</v>
          </cell>
          <cell r="N28">
            <v>57</v>
          </cell>
          <cell r="O28">
            <v>11</v>
          </cell>
          <cell r="P28">
            <v>68</v>
          </cell>
          <cell r="Q28">
            <v>0.16176470588235295</v>
          </cell>
          <cell r="R28">
            <v>84671632</v>
          </cell>
          <cell r="S28">
            <v>32915</v>
          </cell>
          <cell r="T28">
            <v>697661.54999999702</v>
          </cell>
          <cell r="U28">
            <v>85402208.549999997</v>
          </cell>
          <cell r="W28">
            <v>16408</v>
          </cell>
          <cell r="X28">
            <v>14866</v>
          </cell>
          <cell r="Y28">
            <v>13706</v>
          </cell>
          <cell r="Z28">
            <v>16408</v>
          </cell>
          <cell r="AA28">
            <v>188878</v>
          </cell>
          <cell r="AB28">
            <v>0</v>
          </cell>
          <cell r="AD28">
            <v>7</v>
          </cell>
        </row>
        <row r="29">
          <cell r="A29" t="str">
            <v>Horizon Utilities Corporation</v>
          </cell>
          <cell r="C29">
            <v>221272</v>
          </cell>
          <cell r="D29">
            <v>18661</v>
          </cell>
          <cell r="E29">
            <v>2042</v>
          </cell>
          <cell r="F29">
            <v>11</v>
          </cell>
          <cell r="G29">
            <v>0</v>
          </cell>
          <cell r="H29">
            <v>241986</v>
          </cell>
          <cell r="J29">
            <v>88</v>
          </cell>
          <cell r="K29">
            <v>342</v>
          </cell>
          <cell r="L29">
            <v>430</v>
          </cell>
          <cell r="N29">
            <v>1526</v>
          </cell>
          <cell r="O29">
            <v>1986</v>
          </cell>
          <cell r="P29">
            <v>3512</v>
          </cell>
          <cell r="Q29">
            <v>0.56548974943052388</v>
          </cell>
          <cell r="R29">
            <v>5422294443</v>
          </cell>
          <cell r="S29">
            <v>2770603</v>
          </cell>
          <cell r="T29">
            <v>123836335</v>
          </cell>
          <cell r="U29">
            <v>5548901381</v>
          </cell>
          <cell r="W29">
            <v>824299</v>
          </cell>
          <cell r="X29">
            <v>980087</v>
          </cell>
          <cell r="Y29">
            <v>825280</v>
          </cell>
          <cell r="Z29">
            <v>980087</v>
          </cell>
          <cell r="AA29">
            <v>51750516</v>
          </cell>
          <cell r="AB29">
            <v>0</v>
          </cell>
          <cell r="AD29">
            <v>332</v>
          </cell>
        </row>
        <row r="30">
          <cell r="A30" t="str">
            <v>Hydro 2000 Inc.</v>
          </cell>
          <cell r="C30">
            <v>1071</v>
          </cell>
          <cell r="D30">
            <v>143</v>
          </cell>
          <cell r="E30">
            <v>11</v>
          </cell>
          <cell r="F30">
            <v>0</v>
          </cell>
          <cell r="G30">
            <v>0</v>
          </cell>
          <cell r="H30">
            <v>1225</v>
          </cell>
          <cell r="J30">
            <v>0</v>
          </cell>
          <cell r="K30">
            <v>9</v>
          </cell>
          <cell r="L30">
            <v>9</v>
          </cell>
          <cell r="N30">
            <v>18</v>
          </cell>
          <cell r="O30">
            <v>3</v>
          </cell>
          <cell r="P30">
            <v>21</v>
          </cell>
          <cell r="Q30">
            <v>0.14285714285714285</v>
          </cell>
          <cell r="R30">
            <v>22895952.27</v>
          </cell>
          <cell r="S30">
            <v>111451</v>
          </cell>
          <cell r="T30">
            <v>638164.19000000134</v>
          </cell>
          <cell r="U30">
            <v>23645567.460000001</v>
          </cell>
          <cell r="W30">
            <v>5587</v>
          </cell>
          <cell r="X30">
            <v>3625</v>
          </cell>
          <cell r="Y30">
            <v>3872</v>
          </cell>
          <cell r="Z30">
            <v>5587</v>
          </cell>
          <cell r="AA30">
            <v>36024.82</v>
          </cell>
          <cell r="AB30">
            <v>0</v>
          </cell>
          <cell r="AD30">
            <v>3</v>
          </cell>
        </row>
        <row r="31">
          <cell r="A31" t="str">
            <v>Hydro Hawkesbury Inc.</v>
          </cell>
          <cell r="C31">
            <v>4815</v>
          </cell>
          <cell r="D31">
            <v>609</v>
          </cell>
          <cell r="E31">
            <v>86</v>
          </cell>
          <cell r="F31">
            <v>0</v>
          </cell>
          <cell r="G31">
            <v>0</v>
          </cell>
          <cell r="H31">
            <v>5510</v>
          </cell>
          <cell r="J31">
            <v>0</v>
          </cell>
          <cell r="K31">
            <v>8</v>
          </cell>
          <cell r="L31">
            <v>8</v>
          </cell>
          <cell r="N31">
            <v>57</v>
          </cell>
          <cell r="O31">
            <v>11</v>
          </cell>
          <cell r="P31">
            <v>68</v>
          </cell>
          <cell r="Q31">
            <v>0.16176470588235295</v>
          </cell>
          <cell r="R31">
            <v>140355207</v>
          </cell>
          <cell r="S31">
            <v>0</v>
          </cell>
          <cell r="T31">
            <v>4973413</v>
          </cell>
          <cell r="U31">
            <v>145328620</v>
          </cell>
          <cell r="W31">
            <v>33170</v>
          </cell>
          <cell r="X31">
            <v>28983</v>
          </cell>
          <cell r="Y31">
            <v>25440</v>
          </cell>
          <cell r="Z31">
            <v>33170</v>
          </cell>
          <cell r="AA31">
            <v>612705.76</v>
          </cell>
          <cell r="AB31">
            <v>0</v>
          </cell>
          <cell r="AD31">
            <v>7</v>
          </cell>
        </row>
        <row r="32">
          <cell r="A32" t="str">
            <v>Hydro One Brampton Networks Inc.</v>
          </cell>
          <cell r="C32">
            <v>143095</v>
          </cell>
          <cell r="D32">
            <v>9374</v>
          </cell>
          <cell r="E32">
            <v>1630</v>
          </cell>
          <cell r="F32">
            <v>6</v>
          </cell>
          <cell r="G32">
            <v>0</v>
          </cell>
          <cell r="H32">
            <v>154105</v>
          </cell>
          <cell r="J32">
            <v>0</v>
          </cell>
          <cell r="K32">
            <v>269</v>
          </cell>
          <cell r="L32">
            <v>269</v>
          </cell>
          <cell r="N32">
            <v>800</v>
          </cell>
          <cell r="O32">
            <v>2466</v>
          </cell>
          <cell r="P32">
            <v>3266</v>
          </cell>
          <cell r="Q32">
            <v>0.75505205143906917</v>
          </cell>
          <cell r="R32">
            <v>3947397387.7600002</v>
          </cell>
          <cell r="S32">
            <v>746863.87</v>
          </cell>
          <cell r="T32">
            <v>114214958.79999998</v>
          </cell>
          <cell r="U32">
            <v>4062359210.4300003</v>
          </cell>
          <cell r="W32">
            <v>624463</v>
          </cell>
          <cell r="X32">
            <v>796948</v>
          </cell>
          <cell r="Y32">
            <v>640855</v>
          </cell>
          <cell r="Z32">
            <v>796948</v>
          </cell>
          <cell r="AA32">
            <v>51142767</v>
          </cell>
          <cell r="AB32">
            <v>0</v>
          </cell>
          <cell r="AD32">
            <v>231</v>
          </cell>
        </row>
        <row r="33">
          <cell r="A33" t="str">
            <v>Hydro One Networks Inc.</v>
          </cell>
          <cell r="C33">
            <v>1141369</v>
          </cell>
          <cell r="D33">
            <v>107260</v>
          </cell>
          <cell r="E33">
            <v>7901</v>
          </cell>
          <cell r="F33">
            <v>0</v>
          </cell>
          <cell r="G33">
            <v>486</v>
          </cell>
          <cell r="H33">
            <v>1257016</v>
          </cell>
          <cell r="J33">
            <v>960123</v>
          </cell>
          <cell r="K33">
            <v>677</v>
          </cell>
          <cell r="L33">
            <v>960800</v>
          </cell>
          <cell r="N33">
            <v>112031</v>
          </cell>
          <cell r="O33">
            <v>9178</v>
          </cell>
          <cell r="P33">
            <v>121209</v>
          </cell>
          <cell r="Q33">
            <v>7.5720449801582393E-2</v>
          </cell>
          <cell r="R33">
            <v>24117389179</v>
          </cell>
          <cell r="S33">
            <v>35951521.030000001</v>
          </cell>
          <cell r="T33">
            <v>1401232905.97</v>
          </cell>
          <cell r="U33">
            <v>25554573606</v>
          </cell>
          <cell r="W33">
            <v>4243390</v>
          </cell>
          <cell r="X33">
            <v>3693585</v>
          </cell>
          <cell r="Y33">
            <v>3547840</v>
          </cell>
          <cell r="Z33">
            <v>4243390</v>
          </cell>
          <cell r="AA33">
            <v>815961122.20000005</v>
          </cell>
          <cell r="AB33">
            <v>758757564.5</v>
          </cell>
          <cell r="AD33">
            <v>2968</v>
          </cell>
        </row>
        <row r="34">
          <cell r="A34" t="str">
            <v>Hydro Ottawa Limited</v>
          </cell>
          <cell r="C34">
            <v>296036</v>
          </cell>
          <cell r="D34">
            <v>24563</v>
          </cell>
          <cell r="E34">
            <v>3310</v>
          </cell>
          <cell r="F34">
            <v>10</v>
          </cell>
          <cell r="G34">
            <v>0</v>
          </cell>
          <cell r="H34">
            <v>323919</v>
          </cell>
          <cell r="J34">
            <v>650</v>
          </cell>
          <cell r="K34">
            <v>454</v>
          </cell>
          <cell r="L34">
            <v>1104</v>
          </cell>
          <cell r="N34">
            <v>2723</v>
          </cell>
          <cell r="O34">
            <v>2849</v>
          </cell>
          <cell r="P34">
            <v>5572</v>
          </cell>
          <cell r="Q34">
            <v>0.5113065326633166</v>
          </cell>
          <cell r="R34">
            <v>7411152715.8599997</v>
          </cell>
          <cell r="S34">
            <v>4498699</v>
          </cell>
          <cell r="T34">
            <v>246245673.19000012</v>
          </cell>
          <cell r="U34">
            <v>7661897088.0500002</v>
          </cell>
          <cell r="W34">
            <v>1201968</v>
          </cell>
          <cell r="X34">
            <v>1374915</v>
          </cell>
          <cell r="Y34">
            <v>1143884</v>
          </cell>
          <cell r="Z34">
            <v>1374915</v>
          </cell>
          <cell r="AA34">
            <v>147267262</v>
          </cell>
          <cell r="AB34">
            <v>2184163</v>
          </cell>
          <cell r="AD34">
            <v>622</v>
          </cell>
        </row>
        <row r="35">
          <cell r="A35" t="str">
            <v>Innpower Corporation</v>
          </cell>
          <cell r="C35">
            <v>15073</v>
          </cell>
          <cell r="D35">
            <v>1010</v>
          </cell>
          <cell r="E35">
            <v>74</v>
          </cell>
          <cell r="F35">
            <v>0</v>
          </cell>
          <cell r="G35">
            <v>0</v>
          </cell>
          <cell r="H35">
            <v>16157</v>
          </cell>
          <cell r="J35">
            <v>219</v>
          </cell>
          <cell r="K35">
            <v>73</v>
          </cell>
          <cell r="L35">
            <v>292</v>
          </cell>
          <cell r="N35">
            <v>660</v>
          </cell>
          <cell r="O35">
            <v>173</v>
          </cell>
          <cell r="P35">
            <v>833</v>
          </cell>
          <cell r="Q35">
            <v>0.20768307322929172</v>
          </cell>
          <cell r="R35">
            <v>239321427</v>
          </cell>
          <cell r="S35">
            <v>1158299</v>
          </cell>
          <cell r="T35">
            <v>10801448.239999998</v>
          </cell>
          <cell r="U35">
            <v>251281174.24000001</v>
          </cell>
          <cell r="W35">
            <v>50975</v>
          </cell>
          <cell r="X35">
            <v>50214</v>
          </cell>
          <cell r="Y35">
            <v>44523</v>
          </cell>
          <cell r="Z35">
            <v>50975</v>
          </cell>
          <cell r="AA35">
            <v>19803244</v>
          </cell>
          <cell r="AB35">
            <v>0</v>
          </cell>
          <cell r="AD35">
            <v>40</v>
          </cell>
        </row>
        <row r="36">
          <cell r="A36" t="str">
            <v>Kenora Hydro Electric Corporation Ltd.</v>
          </cell>
          <cell r="C36">
            <v>4756</v>
          </cell>
          <cell r="D36">
            <v>750</v>
          </cell>
          <cell r="E36">
            <v>63</v>
          </cell>
          <cell r="F36">
            <v>0</v>
          </cell>
          <cell r="G36">
            <v>0</v>
          </cell>
          <cell r="H36">
            <v>5569</v>
          </cell>
          <cell r="J36">
            <v>0</v>
          </cell>
          <cell r="K36">
            <v>24</v>
          </cell>
          <cell r="L36">
            <v>24</v>
          </cell>
          <cell r="N36">
            <v>88</v>
          </cell>
          <cell r="O36">
            <v>10</v>
          </cell>
          <cell r="P36">
            <v>98</v>
          </cell>
          <cell r="Q36">
            <v>0.10204081632653061</v>
          </cell>
          <cell r="R36">
            <v>100701247</v>
          </cell>
          <cell r="S36">
            <v>0</v>
          </cell>
          <cell r="T36">
            <v>3857737</v>
          </cell>
          <cell r="U36">
            <v>104558984</v>
          </cell>
          <cell r="W36">
            <v>20693</v>
          </cell>
          <cell r="X36">
            <v>17195</v>
          </cell>
          <cell r="Y36">
            <v>16221</v>
          </cell>
          <cell r="Z36">
            <v>20693</v>
          </cell>
          <cell r="AA36">
            <v>643008</v>
          </cell>
          <cell r="AB36">
            <v>0</v>
          </cell>
          <cell r="AD36">
            <v>12</v>
          </cell>
        </row>
        <row r="37">
          <cell r="A37" t="str">
            <v>Kingston Hydro Corporation</v>
          </cell>
          <cell r="C37">
            <v>24171</v>
          </cell>
          <cell r="D37">
            <v>2969</v>
          </cell>
          <cell r="E37">
            <v>324</v>
          </cell>
          <cell r="F37">
            <v>3</v>
          </cell>
          <cell r="G37">
            <v>0</v>
          </cell>
          <cell r="H37">
            <v>27467</v>
          </cell>
          <cell r="J37">
            <v>0</v>
          </cell>
          <cell r="K37">
            <v>35</v>
          </cell>
          <cell r="L37">
            <v>35</v>
          </cell>
          <cell r="N37">
            <v>231</v>
          </cell>
          <cell r="O37">
            <v>125</v>
          </cell>
          <cell r="P37">
            <v>356</v>
          </cell>
          <cell r="Q37">
            <v>0.351123595505618</v>
          </cell>
          <cell r="R37">
            <v>698976218.24000001</v>
          </cell>
          <cell r="S37">
            <v>0</v>
          </cell>
          <cell r="T37">
            <v>26919467.139999986</v>
          </cell>
          <cell r="U37">
            <v>725895685.38</v>
          </cell>
          <cell r="W37">
            <v>130791</v>
          </cell>
          <cell r="X37">
            <v>114395</v>
          </cell>
          <cell r="Y37">
            <v>110163</v>
          </cell>
          <cell r="Z37">
            <v>130791</v>
          </cell>
          <cell r="AA37">
            <v>3206336.66</v>
          </cell>
          <cell r="AB37">
            <v>0</v>
          </cell>
          <cell r="AD37">
            <v>0</v>
          </cell>
        </row>
        <row r="38">
          <cell r="A38" t="str">
            <v>Kitchener-Wilmot Hydro Inc.</v>
          </cell>
          <cell r="C38">
            <v>83642</v>
          </cell>
          <cell r="D38">
            <v>7818</v>
          </cell>
          <cell r="E38">
            <v>943</v>
          </cell>
          <cell r="F38">
            <v>1</v>
          </cell>
          <cell r="G38">
            <v>0</v>
          </cell>
          <cell r="H38">
            <v>92404</v>
          </cell>
          <cell r="J38">
            <v>284</v>
          </cell>
          <cell r="K38">
            <v>125</v>
          </cell>
          <cell r="L38">
            <v>409</v>
          </cell>
          <cell r="N38">
            <v>1012</v>
          </cell>
          <cell r="O38">
            <v>906</v>
          </cell>
          <cell r="P38">
            <v>1918</v>
          </cell>
          <cell r="Q38">
            <v>0.47236704900938475</v>
          </cell>
          <cell r="R38">
            <v>1785564201</v>
          </cell>
          <cell r="S38">
            <v>1501581</v>
          </cell>
          <cell r="T38">
            <v>68311749</v>
          </cell>
          <cell r="U38">
            <v>1855377531</v>
          </cell>
          <cell r="W38">
            <v>293132</v>
          </cell>
          <cell r="X38">
            <v>328007</v>
          </cell>
          <cell r="Y38">
            <v>284684</v>
          </cell>
          <cell r="Z38">
            <v>328007</v>
          </cell>
          <cell r="AA38">
            <v>21918728</v>
          </cell>
          <cell r="AB38">
            <v>-431617</v>
          </cell>
          <cell r="AD38">
            <v>182</v>
          </cell>
        </row>
        <row r="39">
          <cell r="A39" t="str">
            <v>Lakefront Utilities Inc.</v>
          </cell>
          <cell r="C39">
            <v>8917</v>
          </cell>
          <cell r="D39">
            <v>1082</v>
          </cell>
          <cell r="E39">
            <v>126</v>
          </cell>
          <cell r="F39">
            <v>0</v>
          </cell>
          <cell r="G39">
            <v>0</v>
          </cell>
          <cell r="H39">
            <v>10125</v>
          </cell>
          <cell r="J39">
            <v>0</v>
          </cell>
          <cell r="K39">
            <v>28</v>
          </cell>
          <cell r="L39">
            <v>28</v>
          </cell>
          <cell r="N39">
            <v>142</v>
          </cell>
          <cell r="O39">
            <v>50</v>
          </cell>
          <cell r="P39">
            <v>192</v>
          </cell>
          <cell r="Q39">
            <v>0.26041666666666669</v>
          </cell>
          <cell r="R39">
            <v>238340474.94999999</v>
          </cell>
          <cell r="S39">
            <v>206557</v>
          </cell>
          <cell r="T39">
            <v>8676134.5700000171</v>
          </cell>
          <cell r="U39">
            <v>247223166.52000001</v>
          </cell>
          <cell r="W39">
            <v>42548</v>
          </cell>
          <cell r="X39">
            <v>41683</v>
          </cell>
          <cell r="Y39">
            <v>38140</v>
          </cell>
          <cell r="Z39">
            <v>42548</v>
          </cell>
          <cell r="AA39">
            <v>1829241.96</v>
          </cell>
          <cell r="AB39">
            <v>0</v>
          </cell>
          <cell r="AD39">
            <v>16</v>
          </cell>
        </row>
        <row r="40">
          <cell r="A40" t="str">
            <v>Lakeland Power Distribution Ltd.</v>
          </cell>
          <cell r="C40">
            <v>11057</v>
          </cell>
          <cell r="D40">
            <v>2138</v>
          </cell>
          <cell r="E40">
            <v>150</v>
          </cell>
          <cell r="F40">
            <v>0</v>
          </cell>
          <cell r="G40">
            <v>0</v>
          </cell>
          <cell r="H40">
            <v>13345</v>
          </cell>
          <cell r="J40">
            <v>144</v>
          </cell>
          <cell r="K40">
            <v>19</v>
          </cell>
          <cell r="L40">
            <v>163</v>
          </cell>
          <cell r="N40">
            <v>277</v>
          </cell>
          <cell r="O40">
            <v>90</v>
          </cell>
          <cell r="P40">
            <v>367</v>
          </cell>
          <cell r="Q40">
            <v>0.24523160762942781</v>
          </cell>
          <cell r="R40">
            <v>288348516</v>
          </cell>
          <cell r="S40">
            <v>669398</v>
          </cell>
          <cell r="T40">
            <v>13474685</v>
          </cell>
          <cell r="U40">
            <v>302492599</v>
          </cell>
          <cell r="W40">
            <v>57404</v>
          </cell>
          <cell r="X40">
            <v>43127</v>
          </cell>
          <cell r="Y40">
            <v>40996</v>
          </cell>
          <cell r="Z40">
            <v>57404</v>
          </cell>
          <cell r="AA40">
            <v>3088920.45</v>
          </cell>
          <cell r="AB40">
            <v>0</v>
          </cell>
          <cell r="AD40">
            <v>23</v>
          </cell>
        </row>
        <row r="41">
          <cell r="A41" t="str">
            <v>London Hydro Inc.</v>
          </cell>
          <cell r="C41">
            <v>139861</v>
          </cell>
          <cell r="D41">
            <v>12485</v>
          </cell>
          <cell r="E41">
            <v>1598</v>
          </cell>
          <cell r="F41">
            <v>3</v>
          </cell>
          <cell r="G41">
            <v>0</v>
          </cell>
          <cell r="H41">
            <v>153947</v>
          </cell>
          <cell r="J41">
            <v>260</v>
          </cell>
          <cell r="K41">
            <v>163</v>
          </cell>
          <cell r="L41">
            <v>423</v>
          </cell>
          <cell r="N41">
            <v>1367</v>
          </cell>
          <cell r="O41">
            <v>1499</v>
          </cell>
          <cell r="P41">
            <v>2866</v>
          </cell>
          <cell r="Q41">
            <v>0.52302861130495459</v>
          </cell>
          <cell r="R41">
            <v>3182447417</v>
          </cell>
          <cell r="S41">
            <v>190459</v>
          </cell>
          <cell r="T41">
            <v>90392517</v>
          </cell>
          <cell r="U41">
            <v>3273030393</v>
          </cell>
          <cell r="W41">
            <v>514046</v>
          </cell>
          <cell r="X41">
            <v>638017</v>
          </cell>
          <cell r="Y41">
            <v>508251</v>
          </cell>
          <cell r="Z41">
            <v>638017</v>
          </cell>
          <cell r="AA41">
            <v>33025844.109999999</v>
          </cell>
          <cell r="AB41">
            <v>0</v>
          </cell>
          <cell r="AD41">
            <v>309</v>
          </cell>
        </row>
        <row r="42">
          <cell r="A42" t="str">
            <v>Midland Power Utility Corporation</v>
          </cell>
          <cell r="C42">
            <v>6212</v>
          </cell>
          <cell r="D42">
            <v>776</v>
          </cell>
          <cell r="E42">
            <v>108</v>
          </cell>
          <cell r="F42">
            <v>0</v>
          </cell>
          <cell r="G42">
            <v>0</v>
          </cell>
          <cell r="H42">
            <v>7096</v>
          </cell>
          <cell r="J42">
            <v>0</v>
          </cell>
          <cell r="K42">
            <v>20</v>
          </cell>
          <cell r="L42">
            <v>20</v>
          </cell>
          <cell r="N42">
            <v>84</v>
          </cell>
          <cell r="O42">
            <v>45</v>
          </cell>
          <cell r="P42">
            <v>129</v>
          </cell>
          <cell r="Q42">
            <v>0.34883720930232559</v>
          </cell>
          <cell r="R42">
            <v>189177699</v>
          </cell>
          <cell r="S42">
            <v>0</v>
          </cell>
          <cell r="T42">
            <v>6438608</v>
          </cell>
          <cell r="U42">
            <v>195616307</v>
          </cell>
          <cell r="W42">
            <v>33444</v>
          </cell>
          <cell r="X42">
            <v>34138</v>
          </cell>
          <cell r="Y42">
            <v>31013</v>
          </cell>
          <cell r="Z42">
            <v>34138</v>
          </cell>
          <cell r="AA42">
            <v>590217.77</v>
          </cell>
          <cell r="AB42">
            <v>0</v>
          </cell>
          <cell r="AD42">
            <v>17</v>
          </cell>
        </row>
        <row r="43">
          <cell r="A43" t="str">
            <v>Milton Hydro Distribution Inc.</v>
          </cell>
          <cell r="C43">
            <v>32992</v>
          </cell>
          <cell r="D43">
            <v>2570</v>
          </cell>
          <cell r="E43">
            <v>300</v>
          </cell>
          <cell r="F43">
            <v>3</v>
          </cell>
          <cell r="G43">
            <v>0</v>
          </cell>
          <cell r="H43">
            <v>35865</v>
          </cell>
          <cell r="J43">
            <v>315</v>
          </cell>
          <cell r="K43">
            <v>56</v>
          </cell>
          <cell r="L43">
            <v>371</v>
          </cell>
          <cell r="N43">
            <v>588</v>
          </cell>
          <cell r="O43">
            <v>433</v>
          </cell>
          <cell r="P43">
            <v>1021</v>
          </cell>
          <cell r="Q43">
            <v>0.42409402546523017</v>
          </cell>
          <cell r="R43">
            <v>850296362</v>
          </cell>
          <cell r="S43">
            <v>1817321</v>
          </cell>
          <cell r="T43">
            <v>26962270</v>
          </cell>
          <cell r="U43">
            <v>879075953</v>
          </cell>
          <cell r="W43">
            <v>140401</v>
          </cell>
          <cell r="X43">
            <v>166331</v>
          </cell>
          <cell r="Y43">
            <v>138091</v>
          </cell>
          <cell r="Z43">
            <v>166331</v>
          </cell>
          <cell r="AA43">
            <v>15617439</v>
          </cell>
          <cell r="AB43">
            <v>0</v>
          </cell>
          <cell r="AD43">
            <v>56</v>
          </cell>
        </row>
        <row r="44">
          <cell r="A44" t="str">
            <v>Newmarket-Tay Power Distribution Ltd.</v>
          </cell>
          <cell r="C44">
            <v>31620</v>
          </cell>
          <cell r="D44">
            <v>3184</v>
          </cell>
          <cell r="E44">
            <v>367</v>
          </cell>
          <cell r="F44">
            <v>0</v>
          </cell>
          <cell r="G44">
            <v>0</v>
          </cell>
          <cell r="H44">
            <v>35171</v>
          </cell>
          <cell r="J44">
            <v>3</v>
          </cell>
          <cell r="K44">
            <v>71</v>
          </cell>
          <cell r="L44">
            <v>74</v>
          </cell>
          <cell r="N44">
            <v>363</v>
          </cell>
          <cell r="O44">
            <v>492</v>
          </cell>
          <cell r="P44">
            <v>855</v>
          </cell>
          <cell r="Q44">
            <v>0.57543859649122808</v>
          </cell>
          <cell r="R44">
            <v>651341099</v>
          </cell>
          <cell r="S44">
            <v>0</v>
          </cell>
          <cell r="T44">
            <v>24260850.75</v>
          </cell>
          <cell r="U44">
            <v>675601949.75</v>
          </cell>
          <cell r="W44">
            <v>114329</v>
          </cell>
          <cell r="X44">
            <v>139280</v>
          </cell>
          <cell r="Y44">
            <v>76290</v>
          </cell>
          <cell r="Z44">
            <v>139280</v>
          </cell>
          <cell r="AA44">
            <v>14686359.93</v>
          </cell>
          <cell r="AB44">
            <v>0</v>
          </cell>
          <cell r="AD44">
            <v>56</v>
          </cell>
        </row>
        <row r="45">
          <cell r="A45" t="str">
            <v>Niagara Peninsula Energy Inc.</v>
          </cell>
          <cell r="C45">
            <v>47518</v>
          </cell>
          <cell r="D45">
            <v>4471</v>
          </cell>
          <cell r="E45">
            <v>781</v>
          </cell>
          <cell r="F45">
            <v>0</v>
          </cell>
          <cell r="G45">
            <v>0</v>
          </cell>
          <cell r="H45">
            <v>52770</v>
          </cell>
          <cell r="J45">
            <v>759</v>
          </cell>
          <cell r="K45">
            <v>68</v>
          </cell>
          <cell r="L45">
            <v>827</v>
          </cell>
          <cell r="N45">
            <v>1458</v>
          </cell>
          <cell r="O45">
            <v>519</v>
          </cell>
          <cell r="P45">
            <v>1977</v>
          </cell>
          <cell r="Q45">
            <v>0.26251896813353565</v>
          </cell>
          <cell r="R45">
            <v>1203184319</v>
          </cell>
          <cell r="S45">
            <v>2320368</v>
          </cell>
          <cell r="T45">
            <v>37994643</v>
          </cell>
          <cell r="U45">
            <v>1243499330</v>
          </cell>
          <cell r="W45">
            <v>195204</v>
          </cell>
          <cell r="X45">
            <v>245124</v>
          </cell>
          <cell r="Y45">
            <v>192720</v>
          </cell>
          <cell r="Z45">
            <v>245124</v>
          </cell>
          <cell r="AA45">
            <v>14979924.810000001</v>
          </cell>
          <cell r="AB45">
            <v>0</v>
          </cell>
          <cell r="AD45">
            <v>125</v>
          </cell>
        </row>
        <row r="46">
          <cell r="A46" t="str">
            <v>Niagara-on-the-Lake Hydro Inc.</v>
          </cell>
          <cell r="C46">
            <v>7551</v>
          </cell>
          <cell r="D46">
            <v>1336</v>
          </cell>
          <cell r="E46">
            <v>121</v>
          </cell>
          <cell r="F46">
            <v>0</v>
          </cell>
          <cell r="G46">
            <v>0</v>
          </cell>
          <cell r="H46">
            <v>9008</v>
          </cell>
          <cell r="J46">
            <v>119</v>
          </cell>
          <cell r="K46">
            <v>14</v>
          </cell>
          <cell r="L46">
            <v>133</v>
          </cell>
          <cell r="N46">
            <v>235</v>
          </cell>
          <cell r="O46">
            <v>98</v>
          </cell>
          <cell r="P46">
            <v>333</v>
          </cell>
          <cell r="Q46">
            <v>0.29429429429429427</v>
          </cell>
          <cell r="R46">
            <v>197043768.75999999</v>
          </cell>
          <cell r="S46">
            <v>105904.49</v>
          </cell>
          <cell r="T46">
            <v>4612649.1199999955</v>
          </cell>
          <cell r="U46">
            <v>201762322.37</v>
          </cell>
          <cell r="W46">
            <v>31939</v>
          </cell>
          <cell r="X46">
            <v>42709</v>
          </cell>
          <cell r="Y46">
            <v>31907</v>
          </cell>
          <cell r="Z46">
            <v>42709</v>
          </cell>
          <cell r="AA46">
            <v>1713212.55</v>
          </cell>
          <cell r="AB46">
            <v>0</v>
          </cell>
          <cell r="AD46">
            <v>16</v>
          </cell>
        </row>
        <row r="47">
          <cell r="A47" t="str">
            <v>North Bay Hydro Distribution Limited</v>
          </cell>
          <cell r="C47">
            <v>21093</v>
          </cell>
          <cell r="D47">
            <v>2648</v>
          </cell>
          <cell r="E47">
            <v>255</v>
          </cell>
          <cell r="F47">
            <v>0</v>
          </cell>
          <cell r="G47">
            <v>0</v>
          </cell>
          <cell r="H47">
            <v>23996</v>
          </cell>
          <cell r="J47">
            <v>279</v>
          </cell>
          <cell r="K47">
            <v>51</v>
          </cell>
          <cell r="L47">
            <v>330</v>
          </cell>
          <cell r="N47">
            <v>496</v>
          </cell>
          <cell r="O47">
            <v>76</v>
          </cell>
          <cell r="P47">
            <v>572</v>
          </cell>
          <cell r="Q47">
            <v>0.13286713286713286</v>
          </cell>
          <cell r="R47">
            <v>516728999</v>
          </cell>
          <cell r="S47">
            <v>0</v>
          </cell>
          <cell r="T47">
            <v>21594197</v>
          </cell>
          <cell r="U47">
            <v>538323196</v>
          </cell>
          <cell r="W47">
            <v>106743</v>
          </cell>
          <cell r="X47">
            <v>82078</v>
          </cell>
          <cell r="Y47">
            <v>80901</v>
          </cell>
          <cell r="Z47">
            <v>106743</v>
          </cell>
          <cell r="AA47">
            <v>6896610.3099999996</v>
          </cell>
          <cell r="AB47">
            <v>0</v>
          </cell>
          <cell r="AD47">
            <v>45</v>
          </cell>
        </row>
        <row r="48">
          <cell r="A48" t="str">
            <v>Northern Ontario Wires Inc.</v>
          </cell>
          <cell r="C48">
            <v>5219</v>
          </cell>
          <cell r="D48">
            <v>785</v>
          </cell>
          <cell r="E48">
            <v>71</v>
          </cell>
          <cell r="F48">
            <v>0</v>
          </cell>
          <cell r="G48">
            <v>0</v>
          </cell>
          <cell r="H48">
            <v>6075</v>
          </cell>
          <cell r="J48">
            <v>0</v>
          </cell>
          <cell r="K48">
            <v>28</v>
          </cell>
          <cell r="L48">
            <v>28</v>
          </cell>
          <cell r="N48">
            <v>367</v>
          </cell>
          <cell r="O48">
            <v>3</v>
          </cell>
          <cell r="P48">
            <v>370</v>
          </cell>
          <cell r="Q48">
            <v>8.1081081081081086E-3</v>
          </cell>
          <cell r="R48">
            <v>121772951</v>
          </cell>
          <cell r="S48">
            <v>0</v>
          </cell>
          <cell r="T48">
            <v>6535378</v>
          </cell>
          <cell r="U48">
            <v>128308329</v>
          </cell>
          <cell r="W48">
            <v>23679</v>
          </cell>
          <cell r="X48">
            <v>19641</v>
          </cell>
          <cell r="Y48">
            <v>19931</v>
          </cell>
          <cell r="Z48">
            <v>23679</v>
          </cell>
          <cell r="AA48">
            <v>424755</v>
          </cell>
          <cell r="AB48">
            <v>0</v>
          </cell>
          <cell r="AD48">
            <v>4</v>
          </cell>
        </row>
        <row r="49">
          <cell r="A49" t="str">
            <v>Oakville Hydro Electricity Distribution Inc.</v>
          </cell>
          <cell r="C49">
            <v>61231</v>
          </cell>
          <cell r="D49">
            <v>5197</v>
          </cell>
          <cell r="E49">
            <v>959</v>
          </cell>
          <cell r="F49">
            <v>0</v>
          </cell>
          <cell r="G49">
            <v>0</v>
          </cell>
          <cell r="H49">
            <v>67387</v>
          </cell>
          <cell r="J49">
            <v>36</v>
          </cell>
          <cell r="K49">
            <v>107</v>
          </cell>
          <cell r="L49">
            <v>143</v>
          </cell>
          <cell r="N49">
            <v>487</v>
          </cell>
          <cell r="O49">
            <v>1359</v>
          </cell>
          <cell r="P49">
            <v>1846</v>
          </cell>
          <cell r="Q49">
            <v>0.73618634886240519</v>
          </cell>
          <cell r="R49">
            <v>1574155733.6500001</v>
          </cell>
          <cell r="S49">
            <v>621868.74</v>
          </cell>
          <cell r="T49">
            <v>58051685.089999922</v>
          </cell>
          <cell r="U49">
            <v>1632829287.48</v>
          </cell>
          <cell r="W49">
            <v>262334</v>
          </cell>
          <cell r="X49">
            <v>340880</v>
          </cell>
          <cell r="Y49">
            <v>269928</v>
          </cell>
          <cell r="Z49">
            <v>340880</v>
          </cell>
          <cell r="AA49">
            <v>15777343.210000001</v>
          </cell>
          <cell r="AB49">
            <v>1202397.71</v>
          </cell>
          <cell r="AD49">
            <v>114</v>
          </cell>
        </row>
        <row r="50">
          <cell r="A50" t="str">
            <v>Orangeville Hydro Limited</v>
          </cell>
          <cell r="C50">
            <v>10570</v>
          </cell>
          <cell r="D50">
            <v>1132</v>
          </cell>
          <cell r="E50">
            <v>138</v>
          </cell>
          <cell r="F50">
            <v>0</v>
          </cell>
          <cell r="G50">
            <v>0</v>
          </cell>
          <cell r="H50">
            <v>11840</v>
          </cell>
          <cell r="J50">
            <v>0</v>
          </cell>
          <cell r="K50">
            <v>17</v>
          </cell>
          <cell r="L50">
            <v>17</v>
          </cell>
          <cell r="N50">
            <v>78</v>
          </cell>
          <cell r="O50">
            <v>131</v>
          </cell>
          <cell r="P50">
            <v>209</v>
          </cell>
          <cell r="Q50">
            <v>0.62679425837320579</v>
          </cell>
          <cell r="R50">
            <v>244733765</v>
          </cell>
          <cell r="S50">
            <v>1213737</v>
          </cell>
          <cell r="T50">
            <v>6464488</v>
          </cell>
          <cell r="U50">
            <v>252411990</v>
          </cell>
          <cell r="W50">
            <v>43641</v>
          </cell>
          <cell r="X50">
            <v>45023</v>
          </cell>
          <cell r="Y50">
            <v>40332</v>
          </cell>
          <cell r="Z50">
            <v>45023</v>
          </cell>
          <cell r="AA50">
            <v>1293107</v>
          </cell>
          <cell r="AB50">
            <v>0</v>
          </cell>
          <cell r="AD50">
            <v>21</v>
          </cell>
        </row>
        <row r="51">
          <cell r="A51" t="str">
            <v>Orillia Power Distribution Corporation</v>
          </cell>
          <cell r="C51">
            <v>11916</v>
          </cell>
          <cell r="D51">
            <v>1361</v>
          </cell>
          <cell r="E51">
            <v>168</v>
          </cell>
          <cell r="F51">
            <v>0</v>
          </cell>
          <cell r="G51">
            <v>0</v>
          </cell>
          <cell r="H51">
            <v>13445</v>
          </cell>
          <cell r="J51">
            <v>0</v>
          </cell>
          <cell r="K51">
            <v>27</v>
          </cell>
          <cell r="L51">
            <v>27</v>
          </cell>
          <cell r="N51">
            <v>171</v>
          </cell>
          <cell r="O51">
            <v>62</v>
          </cell>
          <cell r="P51">
            <v>233</v>
          </cell>
          <cell r="Q51">
            <v>0.26609442060085836</v>
          </cell>
          <cell r="R51">
            <v>304359501</v>
          </cell>
          <cell r="S51">
            <v>0</v>
          </cell>
          <cell r="T51">
            <v>10321208</v>
          </cell>
          <cell r="U51">
            <v>314680709</v>
          </cell>
          <cell r="W51">
            <v>56062</v>
          </cell>
          <cell r="X51">
            <v>51596</v>
          </cell>
          <cell r="Y51">
            <v>48157</v>
          </cell>
          <cell r="Z51">
            <v>56062</v>
          </cell>
          <cell r="AA51">
            <v>2239251</v>
          </cell>
          <cell r="AB51">
            <v>0</v>
          </cell>
          <cell r="AD51">
            <v>34</v>
          </cell>
        </row>
        <row r="52">
          <cell r="A52" t="str">
            <v>Oshawa PUC Networks Inc.</v>
          </cell>
          <cell r="C52">
            <v>51467</v>
          </cell>
          <cell r="D52">
            <v>3964</v>
          </cell>
          <cell r="E52">
            <v>517</v>
          </cell>
          <cell r="F52">
            <v>1</v>
          </cell>
          <cell r="G52">
            <v>0</v>
          </cell>
          <cell r="H52">
            <v>55949</v>
          </cell>
          <cell r="J52">
            <v>78</v>
          </cell>
          <cell r="K52">
            <v>71</v>
          </cell>
          <cell r="L52">
            <v>149</v>
          </cell>
          <cell r="N52">
            <v>521</v>
          </cell>
          <cell r="O52">
            <v>441</v>
          </cell>
          <cell r="P52">
            <v>962</v>
          </cell>
          <cell r="Q52">
            <v>0.45841995841995842</v>
          </cell>
          <cell r="R52">
            <v>1070779248</v>
          </cell>
          <cell r="S52">
            <v>0</v>
          </cell>
          <cell r="T52">
            <v>52561784</v>
          </cell>
          <cell r="U52">
            <v>1123341032</v>
          </cell>
          <cell r="W52">
            <v>203457</v>
          </cell>
          <cell r="X52">
            <v>211375</v>
          </cell>
          <cell r="Y52">
            <v>184624</v>
          </cell>
          <cell r="Z52">
            <v>211375</v>
          </cell>
          <cell r="AA52">
            <v>15178835</v>
          </cell>
          <cell r="AB52">
            <v>0</v>
          </cell>
          <cell r="AD52">
            <v>78</v>
          </cell>
        </row>
        <row r="53">
          <cell r="A53" t="str">
            <v>Ottawa River Power Corporation</v>
          </cell>
          <cell r="C53">
            <v>9441</v>
          </cell>
          <cell r="D53">
            <v>1301</v>
          </cell>
          <cell r="E53">
            <v>150</v>
          </cell>
          <cell r="F53">
            <v>0</v>
          </cell>
          <cell r="G53">
            <v>0</v>
          </cell>
          <cell r="H53">
            <v>10892</v>
          </cell>
          <cell r="J53">
            <v>0</v>
          </cell>
          <cell r="K53">
            <v>35</v>
          </cell>
          <cell r="L53">
            <v>35</v>
          </cell>
          <cell r="N53">
            <v>152</v>
          </cell>
          <cell r="O53">
            <v>26</v>
          </cell>
          <cell r="P53">
            <v>178</v>
          </cell>
          <cell r="Q53">
            <v>0.14606741573033707</v>
          </cell>
          <cell r="R53">
            <v>184785032</v>
          </cell>
          <cell r="S53">
            <v>14434</v>
          </cell>
          <cell r="T53">
            <v>7318901</v>
          </cell>
          <cell r="U53">
            <v>192118367</v>
          </cell>
          <cell r="W53">
            <v>34706</v>
          </cell>
          <cell r="X53">
            <v>31003</v>
          </cell>
          <cell r="Y53">
            <v>28383</v>
          </cell>
          <cell r="Z53">
            <v>34706</v>
          </cell>
          <cell r="AA53">
            <v>959680</v>
          </cell>
          <cell r="AB53">
            <v>0</v>
          </cell>
          <cell r="AD53">
            <v>27</v>
          </cell>
        </row>
        <row r="54">
          <cell r="A54" t="str">
            <v>Peterborough Distribution Incorporated</v>
          </cell>
          <cell r="C54">
            <v>32441</v>
          </cell>
          <cell r="D54">
            <v>3513</v>
          </cell>
          <cell r="E54">
            <v>361</v>
          </cell>
          <cell r="F54">
            <v>2</v>
          </cell>
          <cell r="G54">
            <v>0</v>
          </cell>
          <cell r="H54">
            <v>36317</v>
          </cell>
          <cell r="J54">
            <v>0</v>
          </cell>
          <cell r="K54">
            <v>64</v>
          </cell>
          <cell r="L54">
            <v>64</v>
          </cell>
          <cell r="N54">
            <v>383</v>
          </cell>
          <cell r="O54">
            <v>180</v>
          </cell>
          <cell r="P54">
            <v>563</v>
          </cell>
          <cell r="Q54">
            <v>0.31971580817051509</v>
          </cell>
          <cell r="R54">
            <v>781487935</v>
          </cell>
          <cell r="S54">
            <v>0</v>
          </cell>
          <cell r="T54">
            <v>41175296</v>
          </cell>
          <cell r="U54">
            <v>822663231</v>
          </cell>
          <cell r="W54">
            <v>138321</v>
          </cell>
          <cell r="X54">
            <v>142939</v>
          </cell>
          <cell r="Y54">
            <v>124178</v>
          </cell>
          <cell r="Z54">
            <v>142939</v>
          </cell>
          <cell r="AA54">
            <v>7704000</v>
          </cell>
          <cell r="AB54">
            <v>0</v>
          </cell>
          <cell r="AD54">
            <v>1</v>
          </cell>
        </row>
        <row r="55">
          <cell r="A55" t="str">
            <v>PowerStream Inc.</v>
          </cell>
          <cell r="C55">
            <v>321424</v>
          </cell>
          <cell r="D55">
            <v>32425</v>
          </cell>
          <cell r="E55">
            <v>4921</v>
          </cell>
          <cell r="F55">
            <v>2</v>
          </cell>
          <cell r="G55">
            <v>0</v>
          </cell>
          <cell r="H55">
            <v>358772</v>
          </cell>
          <cell r="J55">
            <v>303</v>
          </cell>
          <cell r="K55">
            <v>503</v>
          </cell>
          <cell r="L55">
            <v>806</v>
          </cell>
          <cell r="N55">
            <v>2505</v>
          </cell>
          <cell r="O55">
            <v>5157</v>
          </cell>
          <cell r="P55">
            <v>7662</v>
          </cell>
          <cell r="Q55">
            <v>0.67306186374314803</v>
          </cell>
          <cell r="R55">
            <v>8442415392</v>
          </cell>
          <cell r="S55">
            <v>2646004</v>
          </cell>
          <cell r="T55">
            <v>309258354</v>
          </cell>
          <cell r="U55">
            <v>8754319750</v>
          </cell>
          <cell r="W55">
            <v>1378446</v>
          </cell>
          <cell r="X55">
            <v>1781484</v>
          </cell>
          <cell r="Y55">
            <v>1411998</v>
          </cell>
          <cell r="Z55">
            <v>1781484</v>
          </cell>
          <cell r="AA55">
            <v>140708683</v>
          </cell>
          <cell r="AB55">
            <v>1227744</v>
          </cell>
          <cell r="AD55">
            <v>587</v>
          </cell>
        </row>
        <row r="56">
          <cell r="A56" t="str">
            <v>PUC Distribution Inc.</v>
          </cell>
          <cell r="C56">
            <v>29595</v>
          </cell>
          <cell r="D56">
            <v>3416</v>
          </cell>
          <cell r="E56">
            <v>375</v>
          </cell>
          <cell r="F56">
            <v>0</v>
          </cell>
          <cell r="G56">
            <v>0</v>
          </cell>
          <cell r="H56">
            <v>33386</v>
          </cell>
          <cell r="J56">
            <v>284</v>
          </cell>
          <cell r="K56">
            <v>58</v>
          </cell>
          <cell r="L56">
            <v>342</v>
          </cell>
          <cell r="N56">
            <v>622</v>
          </cell>
          <cell r="O56">
            <v>122</v>
          </cell>
          <cell r="P56">
            <v>744</v>
          </cell>
          <cell r="Q56">
            <v>0.16397849462365591</v>
          </cell>
          <cell r="R56">
            <v>669387526.70000005</v>
          </cell>
          <cell r="S56">
            <v>0</v>
          </cell>
          <cell r="T56">
            <v>29129850.299999952</v>
          </cell>
          <cell r="U56">
            <v>698517377</v>
          </cell>
          <cell r="W56">
            <v>138336</v>
          </cell>
          <cell r="X56">
            <v>91679</v>
          </cell>
          <cell r="Y56">
            <v>103894</v>
          </cell>
          <cell r="Z56">
            <v>138336</v>
          </cell>
          <cell r="AA56">
            <v>6710692.2199999997</v>
          </cell>
          <cell r="AB56">
            <v>100182.61</v>
          </cell>
          <cell r="AD56">
            <v>0</v>
          </cell>
        </row>
        <row r="57">
          <cell r="A57" t="str">
            <v>Renfrew Hydro Inc.</v>
          </cell>
          <cell r="C57">
            <v>3779</v>
          </cell>
          <cell r="D57">
            <v>430</v>
          </cell>
          <cell r="E57">
            <v>61</v>
          </cell>
          <cell r="F57">
            <v>0</v>
          </cell>
          <cell r="G57">
            <v>0</v>
          </cell>
          <cell r="H57">
            <v>4270</v>
          </cell>
          <cell r="J57">
            <v>0</v>
          </cell>
          <cell r="K57">
            <v>13</v>
          </cell>
          <cell r="L57">
            <v>13</v>
          </cell>
          <cell r="N57">
            <v>72</v>
          </cell>
          <cell r="O57">
            <v>7</v>
          </cell>
          <cell r="P57">
            <v>79</v>
          </cell>
          <cell r="Q57">
            <v>8.8607594936708861E-2</v>
          </cell>
          <cell r="R57">
            <v>86807085</v>
          </cell>
          <cell r="S57">
            <v>0</v>
          </cell>
          <cell r="T57">
            <v>4106409</v>
          </cell>
          <cell r="U57">
            <v>90913494</v>
          </cell>
          <cell r="W57">
            <v>15138</v>
          </cell>
          <cell r="X57">
            <v>16080</v>
          </cell>
          <cell r="Y57">
            <v>13178</v>
          </cell>
          <cell r="Z57">
            <v>16080</v>
          </cell>
          <cell r="AA57">
            <v>510990.37</v>
          </cell>
          <cell r="AB57">
            <v>0</v>
          </cell>
          <cell r="AD57">
            <v>10</v>
          </cell>
        </row>
        <row r="58">
          <cell r="A58" t="str">
            <v>Rideau St. Lawrence Distribution Inc.</v>
          </cell>
          <cell r="C58">
            <v>5054</v>
          </cell>
          <cell r="D58">
            <v>742</v>
          </cell>
          <cell r="E58">
            <v>64</v>
          </cell>
          <cell r="F58">
            <v>0</v>
          </cell>
          <cell r="G58">
            <v>0</v>
          </cell>
          <cell r="H58">
            <v>5860</v>
          </cell>
          <cell r="J58">
            <v>7</v>
          </cell>
          <cell r="K58">
            <v>11</v>
          </cell>
          <cell r="L58">
            <v>18</v>
          </cell>
          <cell r="N58">
            <v>93</v>
          </cell>
          <cell r="O58">
            <v>12</v>
          </cell>
          <cell r="P58">
            <v>105</v>
          </cell>
          <cell r="Q58">
            <v>0.11428571428571428</v>
          </cell>
          <cell r="R58">
            <v>103763288</v>
          </cell>
          <cell r="S58">
            <v>451984</v>
          </cell>
          <cell r="T58">
            <v>8469114</v>
          </cell>
          <cell r="U58">
            <v>112684386</v>
          </cell>
          <cell r="W58">
            <v>21723</v>
          </cell>
          <cell r="X58">
            <v>28953</v>
          </cell>
          <cell r="Y58">
            <v>20491</v>
          </cell>
          <cell r="Z58">
            <v>28953</v>
          </cell>
          <cell r="AA58">
            <v>598916.9</v>
          </cell>
          <cell r="AB58">
            <v>0</v>
          </cell>
          <cell r="AD58">
            <v>15</v>
          </cell>
        </row>
        <row r="59">
          <cell r="A59" t="str">
            <v>Sioux Lookout Hydro Inc.</v>
          </cell>
          <cell r="C59">
            <v>2339</v>
          </cell>
          <cell r="D59">
            <v>391</v>
          </cell>
          <cell r="E59">
            <v>50</v>
          </cell>
          <cell r="F59">
            <v>0</v>
          </cell>
          <cell r="G59">
            <v>0</v>
          </cell>
          <cell r="H59">
            <v>2780</v>
          </cell>
          <cell r="J59">
            <v>530</v>
          </cell>
          <cell r="K59">
            <v>6</v>
          </cell>
          <cell r="L59">
            <v>536</v>
          </cell>
          <cell r="N59">
            <v>256</v>
          </cell>
          <cell r="O59">
            <v>19</v>
          </cell>
          <cell r="P59">
            <v>275</v>
          </cell>
          <cell r="Q59">
            <v>6.9090909090909092E-2</v>
          </cell>
          <cell r="R59">
            <v>79373806.090000004</v>
          </cell>
          <cell r="S59">
            <v>383219</v>
          </cell>
          <cell r="T59">
            <v>3711606.6999999988</v>
          </cell>
          <cell r="U59">
            <v>83468631.790000007</v>
          </cell>
          <cell r="W59">
            <v>21167</v>
          </cell>
          <cell r="X59">
            <v>10244</v>
          </cell>
          <cell r="Y59">
            <v>13827</v>
          </cell>
          <cell r="Z59">
            <v>21167</v>
          </cell>
          <cell r="AA59">
            <v>300614.28000000003</v>
          </cell>
          <cell r="AB59">
            <v>0</v>
          </cell>
          <cell r="AD59">
            <v>9</v>
          </cell>
        </row>
        <row r="60">
          <cell r="A60" t="str">
            <v>St. Thomas Energy Inc.</v>
          </cell>
          <cell r="C60">
            <v>15207</v>
          </cell>
          <cell r="D60">
            <v>1733</v>
          </cell>
          <cell r="E60">
            <v>132</v>
          </cell>
          <cell r="F60">
            <v>0</v>
          </cell>
          <cell r="G60">
            <v>0</v>
          </cell>
          <cell r="H60">
            <v>17072</v>
          </cell>
          <cell r="J60">
            <v>0</v>
          </cell>
          <cell r="K60">
            <v>33</v>
          </cell>
          <cell r="L60">
            <v>33</v>
          </cell>
          <cell r="N60">
            <v>140</v>
          </cell>
          <cell r="O60">
            <v>122</v>
          </cell>
          <cell r="P60">
            <v>262</v>
          </cell>
          <cell r="Q60">
            <v>0.46564885496183206</v>
          </cell>
          <cell r="R60">
            <v>270575018.33999997</v>
          </cell>
          <cell r="S60">
            <v>137324.91</v>
          </cell>
          <cell r="T60">
            <v>9859742.520000007</v>
          </cell>
          <cell r="U60">
            <v>280572085.76999998</v>
          </cell>
          <cell r="W60">
            <v>46062</v>
          </cell>
          <cell r="X60">
            <v>57151</v>
          </cell>
          <cell r="Y60">
            <v>45900</v>
          </cell>
          <cell r="Z60">
            <v>57151</v>
          </cell>
          <cell r="AA60">
            <v>2514762</v>
          </cell>
          <cell r="AB60">
            <v>0</v>
          </cell>
          <cell r="AD60">
            <v>30</v>
          </cell>
        </row>
        <row r="61">
          <cell r="A61" t="str">
            <v>Thunder Bay Hydro Electricity Distribution Inc.</v>
          </cell>
          <cell r="C61">
            <v>45445</v>
          </cell>
          <cell r="D61">
            <v>4687</v>
          </cell>
          <cell r="E61">
            <v>482</v>
          </cell>
          <cell r="F61">
            <v>0</v>
          </cell>
          <cell r="G61">
            <v>0</v>
          </cell>
          <cell r="H61">
            <v>50614</v>
          </cell>
          <cell r="J61">
            <v>208</v>
          </cell>
          <cell r="K61">
            <v>179</v>
          </cell>
          <cell r="L61">
            <v>387</v>
          </cell>
          <cell r="N61">
            <v>923</v>
          </cell>
          <cell r="O61">
            <v>258</v>
          </cell>
          <cell r="P61">
            <v>1181</v>
          </cell>
          <cell r="Q61">
            <v>0.21845893310753597</v>
          </cell>
          <cell r="R61">
            <v>936666094</v>
          </cell>
          <cell r="S61">
            <v>366658</v>
          </cell>
          <cell r="T61">
            <v>39139722</v>
          </cell>
          <cell r="U61">
            <v>976172474</v>
          </cell>
          <cell r="W61">
            <v>178517</v>
          </cell>
          <cell r="X61">
            <v>139618</v>
          </cell>
          <cell r="Y61">
            <v>124660</v>
          </cell>
          <cell r="Z61">
            <v>178517</v>
          </cell>
          <cell r="AA61">
            <v>11735209</v>
          </cell>
          <cell r="AB61">
            <v>0</v>
          </cell>
          <cell r="AD61">
            <v>134</v>
          </cell>
        </row>
        <row r="62">
          <cell r="A62" t="str">
            <v>Tillsonburg Hydro Inc.</v>
          </cell>
          <cell r="C62">
            <v>6291</v>
          </cell>
          <cell r="D62">
            <v>674</v>
          </cell>
          <cell r="E62">
            <v>94</v>
          </cell>
          <cell r="F62">
            <v>0</v>
          </cell>
          <cell r="G62">
            <v>0</v>
          </cell>
          <cell r="H62">
            <v>7059</v>
          </cell>
          <cell r="J62">
            <v>2</v>
          </cell>
          <cell r="K62">
            <v>22</v>
          </cell>
          <cell r="L62">
            <v>24</v>
          </cell>
          <cell r="N62">
            <v>78</v>
          </cell>
          <cell r="O62">
            <v>56</v>
          </cell>
          <cell r="P62">
            <v>134</v>
          </cell>
          <cell r="Q62">
            <v>0.41791044776119401</v>
          </cell>
          <cell r="R62">
            <v>195607591.28</v>
          </cell>
          <cell r="S62">
            <v>299874.02</v>
          </cell>
          <cell r="T62">
            <v>4920450.2499999925</v>
          </cell>
          <cell r="U62">
            <v>200827915.55000001</v>
          </cell>
          <cell r="W62">
            <v>30652</v>
          </cell>
          <cell r="X62">
            <v>37922</v>
          </cell>
          <cell r="Y62">
            <v>31889</v>
          </cell>
          <cell r="Z62">
            <v>37922</v>
          </cell>
          <cell r="AA62">
            <v>591806.13</v>
          </cell>
          <cell r="AB62">
            <v>0</v>
          </cell>
          <cell r="AD62">
            <v>19</v>
          </cell>
        </row>
        <row r="63">
          <cell r="A63" t="str">
            <v>Toronto Hydro-Electric System Limited</v>
          </cell>
          <cell r="C63">
            <v>675898</v>
          </cell>
          <cell r="D63">
            <v>71427</v>
          </cell>
          <cell r="E63">
            <v>10940</v>
          </cell>
          <cell r="F63">
            <v>46</v>
          </cell>
          <cell r="G63">
            <v>0</v>
          </cell>
          <cell r="H63">
            <v>758311</v>
          </cell>
          <cell r="J63">
            <v>0</v>
          </cell>
          <cell r="K63">
            <v>630</v>
          </cell>
          <cell r="L63">
            <v>630</v>
          </cell>
          <cell r="N63">
            <v>4105</v>
          </cell>
          <cell r="O63">
            <v>6243</v>
          </cell>
          <cell r="P63">
            <v>10348</v>
          </cell>
          <cell r="Q63">
            <v>0.60330498647081565</v>
          </cell>
          <cell r="R63">
            <v>24301428944</v>
          </cell>
          <cell r="S63">
            <v>4893826.5599999996</v>
          </cell>
          <cell r="T63">
            <v>820735908.32000184</v>
          </cell>
          <cell r="U63">
            <v>25127058678.880005</v>
          </cell>
          <cell r="W63">
            <v>4020868</v>
          </cell>
          <cell r="X63">
            <v>4404382</v>
          </cell>
          <cell r="Y63">
            <v>3817051</v>
          </cell>
          <cell r="Z63">
            <v>4404382</v>
          </cell>
          <cell r="AA63">
            <v>465402573.64999998</v>
          </cell>
          <cell r="AB63">
            <v>0</v>
          </cell>
          <cell r="AD63">
            <v>1484</v>
          </cell>
        </row>
        <row r="64">
          <cell r="A64" t="str">
            <v>Veridian Connections Inc.</v>
          </cell>
          <cell r="C64">
            <v>108502</v>
          </cell>
          <cell r="D64">
            <v>8909</v>
          </cell>
          <cell r="E64">
            <v>1067</v>
          </cell>
          <cell r="F64">
            <v>3</v>
          </cell>
          <cell r="G64">
            <v>0</v>
          </cell>
          <cell r="H64">
            <v>118481</v>
          </cell>
          <cell r="J64">
            <v>386</v>
          </cell>
          <cell r="K64">
            <v>253</v>
          </cell>
          <cell r="L64">
            <v>639</v>
          </cell>
          <cell r="N64">
            <v>1445</v>
          </cell>
          <cell r="O64">
            <v>803</v>
          </cell>
          <cell r="P64">
            <v>2248</v>
          </cell>
          <cell r="Q64">
            <v>0.35720640569395018</v>
          </cell>
          <cell r="R64">
            <v>2545130934</v>
          </cell>
          <cell r="S64">
            <v>920516</v>
          </cell>
          <cell r="T64">
            <v>124446520</v>
          </cell>
          <cell r="U64">
            <v>2670497970</v>
          </cell>
          <cell r="W64">
            <v>432644</v>
          </cell>
          <cell r="X64">
            <v>470705</v>
          </cell>
          <cell r="Y64">
            <v>402030</v>
          </cell>
          <cell r="Z64">
            <v>470705</v>
          </cell>
          <cell r="AA64">
            <v>27485460</v>
          </cell>
          <cell r="AB64">
            <v>0</v>
          </cell>
          <cell r="AD64">
            <v>222</v>
          </cell>
        </row>
        <row r="65">
          <cell r="A65" t="str">
            <v>Wasaga Distribution Inc.</v>
          </cell>
          <cell r="C65">
            <v>12350</v>
          </cell>
          <cell r="D65">
            <v>785</v>
          </cell>
          <cell r="E65">
            <v>37</v>
          </cell>
          <cell r="F65">
            <v>0</v>
          </cell>
          <cell r="G65">
            <v>0</v>
          </cell>
          <cell r="H65">
            <v>13172</v>
          </cell>
          <cell r="J65">
            <v>8</v>
          </cell>
          <cell r="K65">
            <v>53</v>
          </cell>
          <cell r="L65">
            <v>61</v>
          </cell>
          <cell r="N65">
            <v>161</v>
          </cell>
          <cell r="O65">
            <v>124</v>
          </cell>
          <cell r="P65">
            <v>285</v>
          </cell>
          <cell r="Q65">
            <v>0.43508771929824563</v>
          </cell>
          <cell r="R65">
            <v>123943738</v>
          </cell>
          <cell r="S65">
            <v>263438</v>
          </cell>
          <cell r="T65">
            <v>6163124.3700000001</v>
          </cell>
          <cell r="U65">
            <v>130370300.37</v>
          </cell>
          <cell r="W65">
            <v>27603</v>
          </cell>
          <cell r="X65">
            <v>29681</v>
          </cell>
          <cell r="Y65">
            <v>23396</v>
          </cell>
          <cell r="Z65">
            <v>29681</v>
          </cell>
          <cell r="AA65">
            <v>1040957.28</v>
          </cell>
          <cell r="AB65">
            <v>0</v>
          </cell>
          <cell r="AD65">
            <v>18</v>
          </cell>
        </row>
        <row r="66">
          <cell r="A66" t="str">
            <v>Waterloo North Hydro Inc.</v>
          </cell>
          <cell r="C66">
            <v>49094</v>
          </cell>
          <cell r="D66">
            <v>5619</v>
          </cell>
          <cell r="E66">
            <v>702</v>
          </cell>
          <cell r="F66">
            <v>1</v>
          </cell>
          <cell r="G66">
            <v>0</v>
          </cell>
          <cell r="H66">
            <v>55416</v>
          </cell>
          <cell r="J66">
            <v>607</v>
          </cell>
          <cell r="K66">
            <v>65</v>
          </cell>
          <cell r="L66">
            <v>672</v>
          </cell>
          <cell r="N66">
            <v>1086</v>
          </cell>
          <cell r="O66">
            <v>532</v>
          </cell>
          <cell r="P66">
            <v>1618</v>
          </cell>
          <cell r="Q66">
            <v>0.32880098887515452</v>
          </cell>
          <cell r="R66">
            <v>1457885364</v>
          </cell>
          <cell r="S66">
            <v>3188357</v>
          </cell>
          <cell r="T66">
            <v>49275025</v>
          </cell>
          <cell r="U66">
            <v>1510348746</v>
          </cell>
          <cell r="W66">
            <v>242869</v>
          </cell>
          <cell r="X66">
            <v>269427</v>
          </cell>
          <cell r="Y66">
            <v>233665</v>
          </cell>
          <cell r="Z66">
            <v>269427</v>
          </cell>
          <cell r="AA66">
            <v>20238920</v>
          </cell>
          <cell r="AB66">
            <v>521840</v>
          </cell>
          <cell r="AD66">
            <v>133</v>
          </cell>
        </row>
        <row r="67">
          <cell r="A67" t="str">
            <v>Welland Hydro-Electric System Corp.</v>
          </cell>
          <cell r="C67">
            <v>20735</v>
          </cell>
          <cell r="D67">
            <v>1775</v>
          </cell>
          <cell r="E67">
            <v>156</v>
          </cell>
          <cell r="F67">
            <v>0</v>
          </cell>
          <cell r="G67">
            <v>0</v>
          </cell>
          <cell r="H67">
            <v>22666</v>
          </cell>
          <cell r="J67">
            <v>0</v>
          </cell>
          <cell r="K67">
            <v>81</v>
          </cell>
          <cell r="L67">
            <v>81</v>
          </cell>
          <cell r="N67">
            <v>338</v>
          </cell>
          <cell r="O67">
            <v>142</v>
          </cell>
          <cell r="P67">
            <v>480</v>
          </cell>
          <cell r="Q67">
            <v>0.29583333333333334</v>
          </cell>
          <cell r="R67">
            <v>356091977</v>
          </cell>
          <cell r="S67">
            <v>693995</v>
          </cell>
          <cell r="T67">
            <v>16388953</v>
          </cell>
          <cell r="U67">
            <v>373174925</v>
          </cell>
          <cell r="W67">
            <v>63168</v>
          </cell>
          <cell r="X67">
            <v>73422</v>
          </cell>
          <cell r="Y67">
            <v>60622</v>
          </cell>
          <cell r="Z67">
            <v>73422</v>
          </cell>
          <cell r="AA67">
            <v>2506400</v>
          </cell>
          <cell r="AB67">
            <v>0</v>
          </cell>
          <cell r="AD67">
            <v>40</v>
          </cell>
        </row>
        <row r="68">
          <cell r="A68" t="str">
            <v>Wellington North Power Inc.</v>
          </cell>
          <cell r="C68">
            <v>3218</v>
          </cell>
          <cell r="D68">
            <v>467</v>
          </cell>
          <cell r="E68">
            <v>40</v>
          </cell>
          <cell r="F68">
            <v>0</v>
          </cell>
          <cell r="G68">
            <v>0</v>
          </cell>
          <cell r="H68">
            <v>3725</v>
          </cell>
          <cell r="J68">
            <v>0</v>
          </cell>
          <cell r="K68">
            <v>14</v>
          </cell>
          <cell r="L68">
            <v>14</v>
          </cell>
          <cell r="N68">
            <v>66</v>
          </cell>
          <cell r="O68">
            <v>10</v>
          </cell>
          <cell r="P68">
            <v>76</v>
          </cell>
          <cell r="Q68">
            <v>0.13157894736842105</v>
          </cell>
          <cell r="R68">
            <v>105356697.44</v>
          </cell>
          <cell r="S68">
            <v>43351</v>
          </cell>
          <cell r="T68">
            <v>6780680.7300000042</v>
          </cell>
          <cell r="U68">
            <v>112180729.17</v>
          </cell>
          <cell r="W68">
            <v>17359</v>
          </cell>
          <cell r="X68">
            <v>16660</v>
          </cell>
          <cell r="Y68">
            <v>16068</v>
          </cell>
          <cell r="Z68">
            <v>17359</v>
          </cell>
          <cell r="AA68">
            <v>817661.33</v>
          </cell>
          <cell r="AB68">
            <v>0</v>
          </cell>
          <cell r="AD68">
            <v>13</v>
          </cell>
        </row>
        <row r="69">
          <cell r="A69" t="str">
            <v>West Coast Huron Energy Inc.</v>
          </cell>
          <cell r="C69">
            <v>3298</v>
          </cell>
          <cell r="D69">
            <v>467</v>
          </cell>
          <cell r="E69">
            <v>46</v>
          </cell>
          <cell r="F69">
            <v>1</v>
          </cell>
          <cell r="G69">
            <v>0</v>
          </cell>
          <cell r="H69">
            <v>3812</v>
          </cell>
          <cell r="J69">
            <v>0</v>
          </cell>
          <cell r="K69">
            <v>8</v>
          </cell>
          <cell r="L69">
            <v>8</v>
          </cell>
          <cell r="N69">
            <v>47</v>
          </cell>
          <cell r="O69">
            <v>14</v>
          </cell>
          <cell r="P69">
            <v>61</v>
          </cell>
          <cell r="Q69">
            <v>0.22950819672131148</v>
          </cell>
          <cell r="R69">
            <v>150711769.59999999</v>
          </cell>
          <cell r="S69">
            <v>0</v>
          </cell>
          <cell r="T69">
            <v>3716602.0500000119</v>
          </cell>
          <cell r="U69">
            <v>154428371.65000001</v>
          </cell>
          <cell r="W69">
            <v>26128</v>
          </cell>
          <cell r="X69">
            <v>26490</v>
          </cell>
          <cell r="Y69">
            <v>24666</v>
          </cell>
          <cell r="Z69">
            <v>26490</v>
          </cell>
          <cell r="AA69">
            <v>1057149</v>
          </cell>
          <cell r="AB69">
            <v>0</v>
          </cell>
          <cell r="AD69">
            <v>10</v>
          </cell>
        </row>
        <row r="70">
          <cell r="A70" t="str">
            <v>Westario Power Inc.</v>
          </cell>
          <cell r="C70">
            <v>20188</v>
          </cell>
          <cell r="D70">
            <v>2528</v>
          </cell>
          <cell r="E70">
            <v>238</v>
          </cell>
          <cell r="F70">
            <v>0</v>
          </cell>
          <cell r="G70">
            <v>0</v>
          </cell>
          <cell r="H70">
            <v>22954</v>
          </cell>
          <cell r="J70">
            <v>0</v>
          </cell>
          <cell r="K70">
            <v>64</v>
          </cell>
          <cell r="L70">
            <v>64</v>
          </cell>
          <cell r="N70">
            <v>376</v>
          </cell>
          <cell r="O70">
            <v>146</v>
          </cell>
          <cell r="P70">
            <v>522</v>
          </cell>
          <cell r="Q70">
            <v>0.27969348659003829</v>
          </cell>
          <cell r="R70">
            <v>430497706</v>
          </cell>
          <cell r="S70">
            <v>2686757</v>
          </cell>
          <cell r="T70">
            <v>27949404</v>
          </cell>
          <cell r="U70">
            <v>461133867</v>
          </cell>
          <cell r="W70">
            <v>93376</v>
          </cell>
          <cell r="X70">
            <v>66441</v>
          </cell>
          <cell r="Y70">
            <v>68524</v>
          </cell>
          <cell r="Z70">
            <v>93376</v>
          </cell>
          <cell r="AA70">
            <v>4112933</v>
          </cell>
          <cell r="AB70">
            <v>0</v>
          </cell>
          <cell r="AD70">
            <v>34</v>
          </cell>
        </row>
        <row r="71">
          <cell r="A71" t="str">
            <v>Whitby Hydro Electric Corporation</v>
          </cell>
          <cell r="C71">
            <v>39251</v>
          </cell>
          <cell r="D71">
            <v>2179</v>
          </cell>
          <cell r="E71">
            <v>368</v>
          </cell>
          <cell r="F71">
            <v>0</v>
          </cell>
          <cell r="G71">
            <v>0</v>
          </cell>
          <cell r="H71">
            <v>41798</v>
          </cell>
          <cell r="J71">
            <v>75</v>
          </cell>
          <cell r="K71">
            <v>73</v>
          </cell>
          <cell r="L71">
            <v>148</v>
          </cell>
          <cell r="N71">
            <v>501</v>
          </cell>
          <cell r="O71">
            <v>583</v>
          </cell>
          <cell r="P71">
            <v>1084</v>
          </cell>
          <cell r="Q71">
            <v>0.53782287822878228</v>
          </cell>
          <cell r="R71">
            <v>860533652</v>
          </cell>
          <cell r="S71">
            <v>0</v>
          </cell>
          <cell r="T71">
            <v>32213988</v>
          </cell>
          <cell r="U71">
            <v>892747640</v>
          </cell>
          <cell r="W71">
            <v>147008</v>
          </cell>
          <cell r="X71">
            <v>181742</v>
          </cell>
          <cell r="Y71">
            <v>142856</v>
          </cell>
          <cell r="Z71">
            <v>181742</v>
          </cell>
          <cell r="AA71">
            <v>15742522</v>
          </cell>
          <cell r="AB71">
            <v>0</v>
          </cell>
          <cell r="AD71">
            <v>2</v>
          </cell>
        </row>
        <row r="72">
          <cell r="A72" t="str">
            <v>Woodstock Hydro Services Inc.</v>
          </cell>
          <cell r="C72">
            <v>14507</v>
          </cell>
          <cell r="D72">
            <v>1261</v>
          </cell>
          <cell r="E72">
            <v>198</v>
          </cell>
          <cell r="F72">
            <v>0</v>
          </cell>
          <cell r="G72">
            <v>0</v>
          </cell>
          <cell r="H72">
            <v>15966</v>
          </cell>
          <cell r="J72">
            <v>0</v>
          </cell>
          <cell r="K72">
            <v>29</v>
          </cell>
          <cell r="L72">
            <v>29</v>
          </cell>
          <cell r="N72">
            <v>142</v>
          </cell>
          <cell r="O72">
            <v>113</v>
          </cell>
          <cell r="P72">
            <v>255</v>
          </cell>
          <cell r="Q72">
            <v>0.44313725490196076</v>
          </cell>
          <cell r="R72">
            <v>390904149</v>
          </cell>
          <cell r="S72">
            <v>0</v>
          </cell>
          <cell r="T72">
            <v>14562450</v>
          </cell>
          <cell r="U72">
            <v>405466599</v>
          </cell>
          <cell r="W72">
            <v>78368</v>
          </cell>
          <cell r="X72">
            <v>79787</v>
          </cell>
          <cell r="Y72">
            <v>68509</v>
          </cell>
          <cell r="Z72">
            <v>79787</v>
          </cell>
          <cell r="AA72">
            <v>2434524.89</v>
          </cell>
          <cell r="AB72">
            <v>0</v>
          </cell>
          <cell r="AD72">
            <v>35</v>
          </cell>
        </row>
        <row r="73">
          <cell r="Z73">
            <v>0</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
      <sheetName val="ToC "/>
      <sheetName val="Notes"/>
      <sheetName val="Snapshot"/>
      <sheetName val="Industry BS"/>
      <sheetName val="Industry IS"/>
      <sheetName val="Industry Gen"/>
      <sheetName val="BS"/>
      <sheetName val="IS"/>
      <sheetName val="Ratios"/>
      <sheetName val="General"/>
      <sheetName val="Unitized"/>
      <sheetName val="Stats by Class"/>
      <sheetName val="SQR"/>
      <sheetName val="System Reliability"/>
      <sheetName val="Glossary"/>
      <sheetName val="Sheet1"/>
    </sheetNames>
    <sheetDataSet>
      <sheetData sheetId="0"/>
      <sheetData sheetId="1"/>
      <sheetData sheetId="2"/>
      <sheetData sheetId="3"/>
      <sheetData sheetId="4"/>
      <sheetData sheetId="5"/>
      <sheetData sheetId="6"/>
      <sheetData sheetId="7"/>
      <sheetData sheetId="8">
        <row r="1">
          <cell r="A1" t="str">
            <v>Income StatementFor the year ended December 31</v>
          </cell>
          <cell r="B1" t="str">
            <v>Algoma Power Inc.</v>
          </cell>
          <cell r="C1" t="str">
            <v>Atikokan Hydro Inc.</v>
          </cell>
          <cell r="D1" t="str">
            <v>Bluewater Power Distribution Corporation</v>
          </cell>
          <cell r="E1" t="str">
            <v>Brantford Power Inc.</v>
          </cell>
          <cell r="F1" t="str">
            <v>Burlington Hydro Inc.</v>
          </cell>
          <cell r="G1" t="str">
            <v>Canadian Niagara Power Inc.</v>
          </cell>
          <cell r="H1" t="str">
            <v>Centre Wellington Hydro Ltd.</v>
          </cell>
          <cell r="I1" t="str">
            <v>Chapleau Public Utilities Corporation</v>
          </cell>
          <cell r="J1" t="str">
            <v>COLLUS PowerStream Corp.</v>
          </cell>
          <cell r="K1" t="str">
            <v>Cooperative Hydro Embrun Inc.</v>
          </cell>
          <cell r="L1" t="str">
            <v>E.L.K. Energy Inc.</v>
          </cell>
          <cell r="M1" t="str">
            <v>Energy+ Inc.</v>
          </cell>
          <cell r="N1" t="str">
            <v>Enersource Hydro Mississauga Inc.</v>
          </cell>
          <cell r="O1" t="str">
            <v>Entegrus Powerlines Inc.</v>
          </cell>
          <cell r="P1" t="str">
            <v>EnWin Utilities Ltd.</v>
          </cell>
          <cell r="Q1" t="str">
            <v>Erie Thames Powerlines Corporation</v>
          </cell>
          <cell r="R1" t="str">
            <v>Espanola Regional Hydro Distribution Corporation</v>
          </cell>
          <cell r="S1" t="str">
            <v>Essex Powerlines Corporation</v>
          </cell>
          <cell r="T1" t="str">
            <v>Festival Hydro Inc.</v>
          </cell>
          <cell r="U1" t="str">
            <v>Fort Frances Power Corporation</v>
          </cell>
          <cell r="V1" t="str">
            <v>Greater Sudbury Hydro Inc.</v>
          </cell>
          <cell r="W1" t="str">
            <v>Grimsby Power Incorporated</v>
          </cell>
          <cell r="X1" t="str">
            <v>Guelph Hydro Electric Systems Inc.</v>
          </cell>
          <cell r="Y1" t="str">
            <v>Halton Hills Hydro Inc.</v>
          </cell>
          <cell r="Z1" t="str">
            <v>Hearst Power Distribution Company Limited</v>
          </cell>
          <cell r="AA1" t="str">
            <v>Horizon Utilities Corporation</v>
          </cell>
          <cell r="AB1" t="str">
            <v>Hydro 2000 Inc.</v>
          </cell>
          <cell r="AC1" t="str">
            <v>Hydro Hawkesbury Inc.</v>
          </cell>
          <cell r="AD1" t="str">
            <v>Hydro One Brampton Networks Inc.</v>
          </cell>
          <cell r="AE1" t="str">
            <v>Hydro One Networks Inc.</v>
          </cell>
          <cell r="AF1" t="str">
            <v>Hydro Ottawa Limited</v>
          </cell>
          <cell r="AG1" t="str">
            <v>Innpower Corporation</v>
          </cell>
          <cell r="AH1" t="str">
            <v>Kenora Hydro Electric Corporation Ltd.</v>
          </cell>
          <cell r="AI1" t="str">
            <v>Kingston Hydro Corporation</v>
          </cell>
          <cell r="AJ1" t="str">
            <v>Kitchener-Wilmot Hydro Inc.</v>
          </cell>
          <cell r="AK1" t="str">
            <v>Lakefront Utilities Inc.</v>
          </cell>
          <cell r="AL1" t="str">
            <v>Lakeland Power Distribution Ltd.</v>
          </cell>
          <cell r="AM1" t="str">
            <v>London Hydro Inc.</v>
          </cell>
          <cell r="AN1" t="str">
            <v>Midland Power Utility Corporation</v>
          </cell>
          <cell r="AO1" t="str">
            <v>Milton Hydro Distribution Inc.</v>
          </cell>
          <cell r="AP1" t="str">
            <v>Newmarket-Tay Power Distribution Ltd.</v>
          </cell>
          <cell r="AQ1" t="str">
            <v>Niagara Peninsula Energy Inc.</v>
          </cell>
          <cell r="AR1" t="str">
            <v>Niagara-on-the-Lake Hydro Inc.</v>
          </cell>
          <cell r="AS1" t="str">
            <v>North Bay Hydro Distribution Limited</v>
          </cell>
          <cell r="AT1" t="str">
            <v>Northern Ontario Wires Inc.</v>
          </cell>
          <cell r="AU1" t="str">
            <v>Oakville Hydro Electricity Distribution Inc.</v>
          </cell>
          <cell r="AV1" t="str">
            <v>Orangeville Hydro Limited</v>
          </cell>
          <cell r="AW1" t="str">
            <v>Orillia Power Distribution Corporation</v>
          </cell>
          <cell r="AX1" t="str">
            <v>Oshawa PUC Networks Inc.</v>
          </cell>
          <cell r="AY1" t="str">
            <v>Ottawa River Power Corporation</v>
          </cell>
          <cell r="AZ1" t="str">
            <v>Peterborough Distribution Incorporated</v>
          </cell>
          <cell r="BA1" t="str">
            <v>PowerStream Inc.</v>
          </cell>
          <cell r="BB1" t="str">
            <v>PUC Distribution Inc.</v>
          </cell>
          <cell r="BC1" t="str">
            <v>Renfrew Hydro Inc.</v>
          </cell>
          <cell r="BD1" t="str">
            <v>Rideau St. Lawrence Distribution Inc.</v>
          </cell>
          <cell r="BE1" t="str">
            <v>Sioux Lookout Hydro Inc.</v>
          </cell>
          <cell r="BF1" t="str">
            <v>St. Thomas Energy Inc.</v>
          </cell>
          <cell r="BG1" t="str">
            <v>Thunder Bay Hydro Electricity Distribution Inc.</v>
          </cell>
          <cell r="BH1" t="str">
            <v>Tillsonburg Hydro Inc.</v>
          </cell>
          <cell r="BI1" t="str">
            <v>Toronto Hydro-Electric System Limited</v>
          </cell>
          <cell r="BJ1" t="str">
            <v>Veridian Connections Inc.</v>
          </cell>
          <cell r="BK1" t="str">
            <v>Wasaga Distribution Inc.</v>
          </cell>
          <cell r="BL1" t="str">
            <v>Waterloo North Hydro Inc.</v>
          </cell>
          <cell r="BM1" t="str">
            <v>Welland Hydro-Electric System Corp.</v>
          </cell>
          <cell r="BN1" t="str">
            <v>Wellington North Power Inc.</v>
          </cell>
          <cell r="BO1" t="str">
            <v>West Coast Huron Energy Inc.</v>
          </cell>
          <cell r="BP1" t="str">
            <v>Westario Power Inc.</v>
          </cell>
          <cell r="BQ1" t="str">
            <v>Whitby Hydro Electric Corporation</v>
          </cell>
          <cell r="BR1" t="str">
            <v xml:space="preserve">Total Industry </v>
          </cell>
        </row>
        <row r="4">
          <cell r="A4" t="str">
            <v>Power and Distribution Revenue</v>
          </cell>
          <cell r="B4">
            <v>47459880.380000003</v>
          </cell>
          <cell r="C4">
            <v>6225131.9899999993</v>
          </cell>
          <cell r="D4">
            <v>129617343.41999999</v>
          </cell>
          <cell r="E4">
            <v>138004212.40000001</v>
          </cell>
          <cell r="F4">
            <v>250723869.91</v>
          </cell>
          <cell r="G4">
            <v>80932478.060000002</v>
          </cell>
          <cell r="H4">
            <v>22326551.310000002</v>
          </cell>
          <cell r="I4">
            <v>4045081.5999999996</v>
          </cell>
          <cell r="J4">
            <v>43396961.709999993</v>
          </cell>
          <cell r="K4">
            <v>4663295.67</v>
          </cell>
          <cell r="L4">
            <v>33956529.920000002</v>
          </cell>
          <cell r="M4">
            <v>238397073.40000001</v>
          </cell>
          <cell r="N4">
            <v>1026384371.4829999</v>
          </cell>
          <cell r="O4">
            <v>139232107.47</v>
          </cell>
          <cell r="P4">
            <v>334094632.57999998</v>
          </cell>
          <cell r="Q4">
            <v>70067199.929999992</v>
          </cell>
          <cell r="R4">
            <v>9488529.3599999994</v>
          </cell>
          <cell r="S4">
            <v>83704838.609999985</v>
          </cell>
          <cell r="T4">
            <v>89518859.219999999</v>
          </cell>
          <cell r="U4">
            <v>11386324.659999996</v>
          </cell>
          <cell r="V4">
            <v>138439207.03999999</v>
          </cell>
          <cell r="W4">
            <v>27214574.899999999</v>
          </cell>
          <cell r="X4">
            <v>240302271.38</v>
          </cell>
          <cell r="Y4">
            <v>78690635.959999993</v>
          </cell>
          <cell r="Z4">
            <v>11831765.510000002</v>
          </cell>
          <cell r="AA4">
            <v>723252911.89999998</v>
          </cell>
          <cell r="AB4">
            <v>3390799.6299999994</v>
          </cell>
          <cell r="AC4">
            <v>12377142</v>
          </cell>
          <cell r="AD4">
            <v>591176318.88999999</v>
          </cell>
          <cell r="AE4">
            <v>4533337720.3299999</v>
          </cell>
          <cell r="AF4">
            <v>1130037269.51</v>
          </cell>
          <cell r="AG4">
            <v>42829830.800000004</v>
          </cell>
          <cell r="AH4">
            <v>15023502</v>
          </cell>
          <cell r="AI4">
            <v>98658643</v>
          </cell>
          <cell r="AJ4">
            <v>268902750.58999997</v>
          </cell>
          <cell r="AK4">
            <v>35461728.790000007</v>
          </cell>
          <cell r="AL4">
            <v>46993778.760000005</v>
          </cell>
          <cell r="AM4">
            <v>488163590.28000009</v>
          </cell>
          <cell r="AN4">
            <v>22720913.840000004</v>
          </cell>
          <cell r="AO4">
            <v>130597737</v>
          </cell>
          <cell r="AP4">
            <v>100188590.76000001</v>
          </cell>
          <cell r="AQ4">
            <v>194053615.24000001</v>
          </cell>
          <cell r="AR4">
            <v>31093762.049999997</v>
          </cell>
          <cell r="AS4">
            <v>74373835.450000003</v>
          </cell>
          <cell r="AT4">
            <v>18808770.980000004</v>
          </cell>
          <cell r="AU4">
            <v>233445735.10999998</v>
          </cell>
          <cell r="AV4">
            <v>38200976.979999997</v>
          </cell>
          <cell r="AW4">
            <v>47745319</v>
          </cell>
          <cell r="AX4">
            <v>161855898.79999998</v>
          </cell>
          <cell r="AY4">
            <v>29754636.539999999</v>
          </cell>
          <cell r="AZ4">
            <v>118036875.48</v>
          </cell>
          <cell r="BA4">
            <v>1301272967.4099998</v>
          </cell>
          <cell r="BB4">
            <v>97514347.580000013</v>
          </cell>
          <cell r="BC4">
            <v>13723083.029999997</v>
          </cell>
          <cell r="BD4">
            <v>16894082.199999996</v>
          </cell>
          <cell r="BE4">
            <v>10491850.99</v>
          </cell>
          <cell r="BF4">
            <v>44468026.560000002</v>
          </cell>
          <cell r="BG4">
            <v>136562588.89000002</v>
          </cell>
          <cell r="BH4">
            <v>29530515.940000005</v>
          </cell>
          <cell r="BI4">
            <v>3885992334.1800003</v>
          </cell>
          <cell r="BJ4">
            <v>374559004</v>
          </cell>
          <cell r="BK4">
            <v>20866951.23</v>
          </cell>
          <cell r="BL4">
            <v>220340937</v>
          </cell>
          <cell r="BM4">
            <v>57513491.300000012</v>
          </cell>
          <cell r="BN4">
            <v>15160220.800000001</v>
          </cell>
          <cell r="BO4">
            <v>13603740</v>
          </cell>
          <cell r="BP4">
            <v>67057382</v>
          </cell>
          <cell r="BQ4">
            <v>137845090.81999999</v>
          </cell>
          <cell r="BR4">
            <v>18893982995.513</v>
          </cell>
        </row>
        <row r="6">
          <cell r="A6" t="str">
            <v>Cost of Power and Related Costs</v>
          </cell>
          <cell r="B6">
            <v>24749482.760000002</v>
          </cell>
          <cell r="C6">
            <v>4891254.8499999996</v>
          </cell>
          <cell r="D6">
            <v>108110149.64</v>
          </cell>
          <cell r="E6">
            <v>121260801.62</v>
          </cell>
          <cell r="F6">
            <v>221163949.60000002</v>
          </cell>
          <cell r="G6">
            <v>63239709.25</v>
          </cell>
          <cell r="H6">
            <v>19179013.970000003</v>
          </cell>
          <cell r="I6">
            <v>3263340.3199999994</v>
          </cell>
          <cell r="J6">
            <v>36667054.919999994</v>
          </cell>
          <cell r="K6">
            <v>3838438.95</v>
          </cell>
          <cell r="L6">
            <v>30683183.850000001</v>
          </cell>
          <cell r="M6">
            <v>205119062.41</v>
          </cell>
          <cell r="N6">
            <v>897270594.46000004</v>
          </cell>
          <cell r="O6">
            <v>121128610.57000001</v>
          </cell>
          <cell r="P6">
            <v>281993088.33999997</v>
          </cell>
          <cell r="Q6">
            <v>60034317.859999999</v>
          </cell>
          <cell r="R6">
            <v>7846388.1899999985</v>
          </cell>
          <cell r="S6">
            <v>71601477.089999989</v>
          </cell>
          <cell r="T6">
            <v>78718904.75999999</v>
          </cell>
          <cell r="U6">
            <v>9564814.9500000011</v>
          </cell>
          <cell r="V6">
            <v>115764113.22</v>
          </cell>
          <cell r="W6">
            <v>22644068.170000002</v>
          </cell>
          <cell r="X6">
            <v>210656254.91</v>
          </cell>
          <cell r="Y6">
            <v>68889508.080000013</v>
          </cell>
          <cell r="Z6">
            <v>10719015.160000002</v>
          </cell>
          <cell r="AA6">
            <v>610882333.37</v>
          </cell>
          <cell r="AB6">
            <v>2894613.7399999993</v>
          </cell>
          <cell r="AC6">
            <v>10793746.589999998</v>
          </cell>
          <cell r="AD6">
            <v>519676389.47999996</v>
          </cell>
          <cell r="AE6">
            <v>3292355290.73</v>
          </cell>
          <cell r="AF6">
            <v>965239128.72000003</v>
          </cell>
          <cell r="AG6">
            <v>33579166.789999999</v>
          </cell>
          <cell r="AH6">
            <v>12312448</v>
          </cell>
          <cell r="AI6">
            <v>86327013</v>
          </cell>
          <cell r="AJ6">
            <v>228584621.19</v>
          </cell>
          <cell r="AK6">
            <v>31183723.260000002</v>
          </cell>
          <cell r="AL6">
            <v>39007688.120000005</v>
          </cell>
          <cell r="AM6">
            <v>423091925.36000001</v>
          </cell>
          <cell r="AN6">
            <v>18903832.260000002</v>
          </cell>
          <cell r="AO6">
            <v>114269832</v>
          </cell>
          <cell r="AP6">
            <v>83265219</v>
          </cell>
          <cell r="AQ6">
            <v>165669062.24000001</v>
          </cell>
          <cell r="AR6">
            <v>26282848.139999997</v>
          </cell>
          <cell r="AS6">
            <v>62782581.020000003</v>
          </cell>
          <cell r="AT6">
            <v>15960444.980000002</v>
          </cell>
          <cell r="AU6">
            <v>193072811.42999998</v>
          </cell>
          <cell r="AV6">
            <v>33273555.93</v>
          </cell>
          <cell r="AW6">
            <v>39704706</v>
          </cell>
          <cell r="AX6">
            <v>139494845.58000001</v>
          </cell>
          <cell r="AY6">
            <v>24811183.149999999</v>
          </cell>
          <cell r="AZ6">
            <v>103564881.63000001</v>
          </cell>
          <cell r="BA6">
            <v>1127362377.4200001</v>
          </cell>
          <cell r="BB6">
            <v>81899567.770000011</v>
          </cell>
          <cell r="BC6">
            <v>11820829.719999999</v>
          </cell>
          <cell r="BD6">
            <v>14476879.529999997</v>
          </cell>
          <cell r="BE6">
            <v>8628547.6799999997</v>
          </cell>
          <cell r="BF6">
            <v>37081427.759999998</v>
          </cell>
          <cell r="BG6">
            <v>116753896.63000001</v>
          </cell>
          <cell r="BH6">
            <v>26120389.030000001</v>
          </cell>
          <cell r="BI6">
            <v>3189458386.1599998</v>
          </cell>
          <cell r="BJ6">
            <v>322536491</v>
          </cell>
          <cell r="BK6">
            <v>16918836.73</v>
          </cell>
          <cell r="BL6">
            <v>186434129</v>
          </cell>
          <cell r="BM6">
            <v>48433330.120000005</v>
          </cell>
          <cell r="BN6">
            <v>12571629.25</v>
          </cell>
          <cell r="BO6">
            <v>11271592</v>
          </cell>
          <cell r="BP6">
            <v>57528471</v>
          </cell>
          <cell r="BQ6">
            <v>115778175.85000001</v>
          </cell>
          <cell r="BR6">
            <v>15461055446.26</v>
          </cell>
        </row>
        <row r="8">
          <cell r="A8" t="str">
            <v>Distribution Revenue</v>
          </cell>
          <cell r="B8">
            <v>22710397.620000001</v>
          </cell>
          <cell r="C8">
            <v>1333877.1399999997</v>
          </cell>
          <cell r="D8">
            <v>21507193.779999986</v>
          </cell>
          <cell r="E8">
            <v>16743410.780000001</v>
          </cell>
          <cell r="F8">
            <v>29559920.309999973</v>
          </cell>
          <cell r="G8">
            <v>17692768.810000002</v>
          </cell>
          <cell r="H8">
            <v>3147537.34</v>
          </cell>
          <cell r="I8">
            <v>781741.28000000026</v>
          </cell>
          <cell r="J8">
            <v>6729906.7899999991</v>
          </cell>
          <cell r="K8">
            <v>824856.71999999974</v>
          </cell>
          <cell r="L8">
            <v>3273346.0700000003</v>
          </cell>
          <cell r="M8">
            <v>33278010.99000001</v>
          </cell>
          <cell r="N8">
            <v>129113777.02299988</v>
          </cell>
          <cell r="O8">
            <v>18103496.899999991</v>
          </cell>
          <cell r="P8">
            <v>52101544.24000001</v>
          </cell>
          <cell r="Q8">
            <v>10032882.069999993</v>
          </cell>
          <cell r="R8">
            <v>1642141.1700000009</v>
          </cell>
          <cell r="S8">
            <v>12103361.519999996</v>
          </cell>
          <cell r="T8">
            <v>10799954.460000008</v>
          </cell>
          <cell r="U8">
            <v>1821509.7099999953</v>
          </cell>
          <cell r="V8">
            <v>22675093.819999993</v>
          </cell>
          <cell r="W8">
            <v>4570506.7299999967</v>
          </cell>
          <cell r="X8">
            <v>29646016.469999999</v>
          </cell>
          <cell r="Y8">
            <v>9801127.8799999803</v>
          </cell>
          <cell r="Z8">
            <v>1112750.3499999996</v>
          </cell>
          <cell r="AA8">
            <v>112370578.52999997</v>
          </cell>
          <cell r="AB8">
            <v>496185.89000000013</v>
          </cell>
          <cell r="AC8">
            <v>1583395.410000002</v>
          </cell>
          <cell r="AD8">
            <v>71499929.410000026</v>
          </cell>
          <cell r="AE8">
            <v>1240982429.5999999</v>
          </cell>
          <cell r="AF8">
            <v>164798140.78999996</v>
          </cell>
          <cell r="AG8">
            <v>9250664.0100000054</v>
          </cell>
          <cell r="AH8">
            <v>2711054</v>
          </cell>
          <cell r="AI8">
            <v>12331630</v>
          </cell>
          <cell r="AJ8">
            <v>40318129.399999976</v>
          </cell>
          <cell r="AK8">
            <v>4278005.5300000049</v>
          </cell>
          <cell r="AL8">
            <v>7986090.6400000006</v>
          </cell>
          <cell r="AM8">
            <v>65071664.920000076</v>
          </cell>
          <cell r="AN8">
            <v>3817081.5800000019</v>
          </cell>
          <cell r="AO8">
            <v>16327905</v>
          </cell>
          <cell r="AP8">
            <v>16923371.760000005</v>
          </cell>
          <cell r="AQ8">
            <v>28384553</v>
          </cell>
          <cell r="AR8">
            <v>4810913.91</v>
          </cell>
          <cell r="AS8">
            <v>11591254.43</v>
          </cell>
          <cell r="AT8">
            <v>2848326.0000000019</v>
          </cell>
          <cell r="AU8">
            <v>40372923.680000007</v>
          </cell>
          <cell r="AV8">
            <v>4927421.049999997</v>
          </cell>
          <cell r="AW8">
            <v>8040613</v>
          </cell>
          <cell r="AX8">
            <v>22361053.219999969</v>
          </cell>
          <cell r="AY8">
            <v>4943453.3900000006</v>
          </cell>
          <cell r="AZ8">
            <v>14471993.849999994</v>
          </cell>
          <cell r="BA8">
            <v>173910589.98999977</v>
          </cell>
          <cell r="BB8">
            <v>15614779.810000002</v>
          </cell>
          <cell r="BC8">
            <v>1902253.3099999987</v>
          </cell>
          <cell r="BD8">
            <v>2417202.6699999981</v>
          </cell>
          <cell r="BE8">
            <v>1863303.3100000005</v>
          </cell>
          <cell r="BF8">
            <v>7386598.8000000045</v>
          </cell>
          <cell r="BG8">
            <v>19808692.260000005</v>
          </cell>
          <cell r="BH8">
            <v>3410126.9100000039</v>
          </cell>
          <cell r="BI8">
            <v>696533948.02000046</v>
          </cell>
          <cell r="BJ8">
            <v>52022513</v>
          </cell>
          <cell r="BK8">
            <v>3948114.5</v>
          </cell>
          <cell r="BL8">
            <v>33906808</v>
          </cell>
          <cell r="BM8">
            <v>9080161.1800000072</v>
          </cell>
          <cell r="BN8">
            <v>2588591.5500000007</v>
          </cell>
          <cell r="BO8">
            <v>2332148</v>
          </cell>
          <cell r="BP8">
            <v>9528911</v>
          </cell>
          <cell r="BQ8">
            <v>22066914.969999984</v>
          </cell>
          <cell r="BR8">
            <v>3432927549.2530003</v>
          </cell>
        </row>
        <row r="10">
          <cell r="A10" t="str">
            <v>Other Income (Loss)</v>
          </cell>
          <cell r="B10">
            <v>-144839.87000000008</v>
          </cell>
          <cell r="C10">
            <v>100132.10000000002</v>
          </cell>
          <cell r="D10">
            <v>1697171.6900000004</v>
          </cell>
          <cell r="E10">
            <v>1456002.2299999995</v>
          </cell>
          <cell r="F10">
            <v>2126789.4700000002</v>
          </cell>
          <cell r="G10">
            <v>2941279.0599999996</v>
          </cell>
          <cell r="H10">
            <v>300145.56</v>
          </cell>
          <cell r="I10">
            <v>50522.889999999992</v>
          </cell>
          <cell r="J10">
            <v>633061.48</v>
          </cell>
          <cell r="K10">
            <v>42121.64</v>
          </cell>
          <cell r="L10">
            <v>769728.14</v>
          </cell>
          <cell r="M10">
            <v>2027617.49</v>
          </cell>
          <cell r="N10">
            <v>8237370.320000004</v>
          </cell>
          <cell r="O10">
            <v>2014885.8100000005</v>
          </cell>
          <cell r="P10">
            <v>4617408.5000000009</v>
          </cell>
          <cell r="Q10">
            <v>392735.97</v>
          </cell>
          <cell r="R10">
            <v>135425.82</v>
          </cell>
          <cell r="S10">
            <v>-122642.56000000023</v>
          </cell>
          <cell r="T10">
            <v>841505.37999999989</v>
          </cell>
          <cell r="U10">
            <v>179180.40999999997</v>
          </cell>
          <cell r="V10">
            <v>2895429.5099999993</v>
          </cell>
          <cell r="W10">
            <v>825778.03</v>
          </cell>
          <cell r="X10">
            <v>2924243.87</v>
          </cell>
          <cell r="Y10">
            <v>961317.9099999998</v>
          </cell>
          <cell r="Z10">
            <v>183105.15000000002</v>
          </cell>
          <cell r="AA10">
            <v>4759101.68</v>
          </cell>
          <cell r="AB10">
            <v>54510.850000000006</v>
          </cell>
          <cell r="AC10">
            <v>213537.06000000003</v>
          </cell>
          <cell r="AD10">
            <v>5937846.1700000009</v>
          </cell>
          <cell r="AE10">
            <v>183196611.44999999</v>
          </cell>
          <cell r="AF10">
            <v>13171017.979999993</v>
          </cell>
          <cell r="AG10">
            <v>1002797.5199999997</v>
          </cell>
          <cell r="AH10">
            <v>459729</v>
          </cell>
          <cell r="AI10">
            <v>-2654430</v>
          </cell>
          <cell r="AJ10">
            <v>2619674.09</v>
          </cell>
          <cell r="AK10">
            <v>638554.07000000007</v>
          </cell>
          <cell r="AL10">
            <v>759896.40000000026</v>
          </cell>
          <cell r="AM10">
            <v>6947356.9500000011</v>
          </cell>
          <cell r="AN10">
            <v>402489.15</v>
          </cell>
          <cell r="AO10">
            <v>1877125</v>
          </cell>
          <cell r="AP10">
            <v>-208158.51999999996</v>
          </cell>
          <cell r="AQ10">
            <v>2580305.2800000003</v>
          </cell>
          <cell r="AR10">
            <v>355088.40999999986</v>
          </cell>
          <cell r="AS10">
            <v>406656.61999999988</v>
          </cell>
          <cell r="AT10">
            <v>367405.93000000005</v>
          </cell>
          <cell r="AU10">
            <v>2542944.23</v>
          </cell>
          <cell r="AV10">
            <v>282580.73</v>
          </cell>
          <cell r="AW10">
            <v>-1442279</v>
          </cell>
          <cell r="AX10">
            <v>1853364.1800000002</v>
          </cell>
          <cell r="AY10">
            <v>329118.06</v>
          </cell>
          <cell r="AZ10">
            <v>2003200.5</v>
          </cell>
          <cell r="BA10">
            <v>19409463.280000009</v>
          </cell>
          <cell r="BB10">
            <v>2533523.15</v>
          </cell>
          <cell r="BC10">
            <v>-18714.80999999999</v>
          </cell>
          <cell r="BD10">
            <v>284299.49000000005</v>
          </cell>
          <cell r="BE10">
            <v>136599.49</v>
          </cell>
          <cell r="BF10">
            <v>687664.82000000007</v>
          </cell>
          <cell r="BG10">
            <v>961484.28000000014</v>
          </cell>
          <cell r="BH10">
            <v>291124.08</v>
          </cell>
          <cell r="BI10">
            <v>50187582.850000001</v>
          </cell>
          <cell r="BJ10">
            <v>3956208</v>
          </cell>
          <cell r="BK10">
            <v>520967.7300000001</v>
          </cell>
          <cell r="BL10">
            <v>2333217</v>
          </cell>
          <cell r="BM10">
            <v>768018.7</v>
          </cell>
          <cell r="BN10">
            <v>132757.13000000006</v>
          </cell>
          <cell r="BO10">
            <v>195253</v>
          </cell>
          <cell r="BP10">
            <v>564430</v>
          </cell>
          <cell r="BQ10">
            <v>-645180.75</v>
          </cell>
          <cell r="BR10">
            <v>346840217.22999996</v>
          </cell>
        </row>
        <row r="12">
          <cell r="A12" t="str">
            <v>Expenses</v>
          </cell>
        </row>
        <row r="13">
          <cell r="A13" t="str">
            <v xml:space="preserve">  Operating</v>
          </cell>
          <cell r="B13">
            <v>1296571.74</v>
          </cell>
          <cell r="C13">
            <v>399043.41999999993</v>
          </cell>
          <cell r="D13">
            <v>3833860.54</v>
          </cell>
          <cell r="E13">
            <v>1693709.94</v>
          </cell>
          <cell r="F13">
            <v>5152784.84</v>
          </cell>
          <cell r="G13">
            <v>1693096.21</v>
          </cell>
          <cell r="H13">
            <v>312568.31999999995</v>
          </cell>
          <cell r="I13">
            <v>236332.09</v>
          </cell>
          <cell r="J13">
            <v>754395.57000000007</v>
          </cell>
          <cell r="K13">
            <v>34208.83</v>
          </cell>
          <cell r="L13">
            <v>284288.67</v>
          </cell>
          <cell r="M13">
            <v>2934425.04</v>
          </cell>
          <cell r="N13">
            <v>12376304.000000002</v>
          </cell>
          <cell r="O13">
            <v>1281676.1199999999</v>
          </cell>
          <cell r="P13">
            <v>2445426.0499999998</v>
          </cell>
          <cell r="Q13">
            <v>91573.77</v>
          </cell>
          <cell r="R13">
            <v>293867.49</v>
          </cell>
          <cell r="S13">
            <v>1050289.2817800001</v>
          </cell>
          <cell r="T13">
            <v>904318.26</v>
          </cell>
          <cell r="U13">
            <v>514921.83999999997</v>
          </cell>
          <cell r="V13">
            <v>5954274.0300000003</v>
          </cell>
          <cell r="W13">
            <v>786474.68000000017</v>
          </cell>
          <cell r="X13">
            <v>4843934.57</v>
          </cell>
          <cell r="Y13">
            <v>1460236.96</v>
          </cell>
          <cell r="Z13">
            <v>129460.59</v>
          </cell>
          <cell r="AA13">
            <v>28957360.839999996</v>
          </cell>
          <cell r="AB13">
            <v>28340.82</v>
          </cell>
          <cell r="AC13">
            <v>68472.070000000007</v>
          </cell>
          <cell r="AD13">
            <v>7229707.6300000008</v>
          </cell>
          <cell r="AE13">
            <v>91631017.409999996</v>
          </cell>
          <cell r="AF13">
            <v>17491731.829999998</v>
          </cell>
          <cell r="AG13">
            <v>1352091.26</v>
          </cell>
          <cell r="AH13">
            <v>139803</v>
          </cell>
          <cell r="AI13">
            <v>2074448</v>
          </cell>
          <cell r="AJ13">
            <v>4499778.71</v>
          </cell>
          <cell r="AK13">
            <v>547311.81000000006</v>
          </cell>
          <cell r="AL13">
            <v>340159.5</v>
          </cell>
          <cell r="AM13">
            <v>8748778.6999999993</v>
          </cell>
          <cell r="AN13">
            <v>846831.26</v>
          </cell>
          <cell r="AO13">
            <v>2436465</v>
          </cell>
          <cell r="AP13">
            <v>1497580.6199999999</v>
          </cell>
          <cell r="AQ13">
            <v>4411324.82</v>
          </cell>
          <cell r="AR13">
            <v>654294.7699999999</v>
          </cell>
          <cell r="AS13">
            <v>775642.08000000007</v>
          </cell>
          <cell r="AT13">
            <v>622387.89000000013</v>
          </cell>
          <cell r="AU13">
            <v>7067861.6200000001</v>
          </cell>
          <cell r="AV13">
            <v>406297.92</v>
          </cell>
          <cell r="AW13">
            <v>991247</v>
          </cell>
          <cell r="AX13">
            <v>1646675.27</v>
          </cell>
          <cell r="AY13">
            <v>630729.17000000004</v>
          </cell>
          <cell r="AZ13">
            <v>2517180.9099999997</v>
          </cell>
          <cell r="BA13">
            <v>22891416.689999994</v>
          </cell>
          <cell r="BB13">
            <v>3771352.8</v>
          </cell>
          <cell r="BC13">
            <v>284868.89</v>
          </cell>
          <cell r="BD13">
            <v>247780.89999999997</v>
          </cell>
          <cell r="BE13">
            <v>574153.29999999993</v>
          </cell>
          <cell r="BF13">
            <v>818176.82000000007</v>
          </cell>
          <cell r="BG13">
            <v>3475223.0599999996</v>
          </cell>
          <cell r="BH13">
            <v>498265.7</v>
          </cell>
          <cell r="BI13">
            <v>56904312.850000009</v>
          </cell>
          <cell r="BJ13">
            <v>5905265</v>
          </cell>
          <cell r="BK13">
            <v>97379.3</v>
          </cell>
          <cell r="BL13">
            <v>5986134</v>
          </cell>
          <cell r="BM13">
            <v>1461617.3599999999</v>
          </cell>
          <cell r="BN13">
            <v>442994.91999999993</v>
          </cell>
          <cell r="BO13">
            <v>136320</v>
          </cell>
          <cell r="BP13">
            <v>390384</v>
          </cell>
          <cell r="BQ13">
            <v>3434268.39</v>
          </cell>
          <cell r="BR13">
            <v>345691476.74177998</v>
          </cell>
        </row>
        <row r="14">
          <cell r="A14" t="str">
            <v xml:space="preserve">  Maintenance</v>
          </cell>
          <cell r="B14">
            <v>5064914.8400000008</v>
          </cell>
          <cell r="C14">
            <v>93415.709999999992</v>
          </cell>
          <cell r="D14">
            <v>163254.70000000004</v>
          </cell>
          <cell r="E14">
            <v>1807119.5200000003</v>
          </cell>
          <cell r="F14">
            <v>4198647.51</v>
          </cell>
          <cell r="G14">
            <v>1902723.6300000001</v>
          </cell>
          <cell r="H14">
            <v>354386.45999999996</v>
          </cell>
          <cell r="I14">
            <v>0</v>
          </cell>
          <cell r="J14">
            <v>1727735.5699999998</v>
          </cell>
          <cell r="K14">
            <v>46222.76</v>
          </cell>
          <cell r="L14">
            <v>647045.43999999994</v>
          </cell>
          <cell r="M14">
            <v>2671173.33</v>
          </cell>
          <cell r="N14">
            <v>12057110.91</v>
          </cell>
          <cell r="O14">
            <v>1747848.3400000003</v>
          </cell>
          <cell r="P14">
            <v>2028985.2100000002</v>
          </cell>
          <cell r="Q14">
            <v>286801.81</v>
          </cell>
          <cell r="R14">
            <v>353215.14</v>
          </cell>
          <cell r="S14">
            <v>1439706.7683199998</v>
          </cell>
          <cell r="T14">
            <v>1228752.21</v>
          </cell>
          <cell r="U14">
            <v>307190.97999999992</v>
          </cell>
          <cell r="V14">
            <v>2162162.9599999995</v>
          </cell>
          <cell r="W14">
            <v>661047.79</v>
          </cell>
          <cell r="X14">
            <v>1455020.75</v>
          </cell>
          <cell r="Y14">
            <v>444658.55</v>
          </cell>
          <cell r="Z14">
            <v>282006.47000000003</v>
          </cell>
          <cell r="AA14">
            <v>4597741.99</v>
          </cell>
          <cell r="AB14">
            <v>14113.25</v>
          </cell>
          <cell r="AC14">
            <v>168398.65</v>
          </cell>
          <cell r="AD14">
            <v>4995779.34</v>
          </cell>
          <cell r="AE14">
            <v>248120232.79999998</v>
          </cell>
          <cell r="AF14">
            <v>10563439.699999997</v>
          </cell>
          <cell r="AG14">
            <v>731242.00999999989</v>
          </cell>
          <cell r="AH14">
            <v>570654</v>
          </cell>
          <cell r="AI14">
            <v>1540546</v>
          </cell>
          <cell r="AJ14">
            <v>4998354.1300000008</v>
          </cell>
          <cell r="AK14">
            <v>273923.22000000003</v>
          </cell>
          <cell r="AL14">
            <v>1292350.6599999999</v>
          </cell>
          <cell r="AM14">
            <v>8326377.1399999997</v>
          </cell>
          <cell r="AN14">
            <v>207028.47999999998</v>
          </cell>
          <cell r="AO14">
            <v>1360880</v>
          </cell>
          <cell r="AP14">
            <v>1497958.8</v>
          </cell>
          <cell r="AQ14">
            <v>2203115.31</v>
          </cell>
          <cell r="AR14">
            <v>476273.29999999993</v>
          </cell>
          <cell r="AS14">
            <v>1724297.29</v>
          </cell>
          <cell r="AT14">
            <v>496255.16999999993</v>
          </cell>
          <cell r="AU14">
            <v>2181508.65</v>
          </cell>
          <cell r="AV14">
            <v>501000.79000000004</v>
          </cell>
          <cell r="AW14">
            <v>1000317</v>
          </cell>
          <cell r="AX14">
            <v>1370653.8099999998</v>
          </cell>
          <cell r="AY14">
            <v>613080.62999999989</v>
          </cell>
          <cell r="AZ14">
            <v>573280.5199999999</v>
          </cell>
          <cell r="BA14">
            <v>8547936.2500000019</v>
          </cell>
          <cell r="BB14">
            <v>2206518.4900000002</v>
          </cell>
          <cell r="BC14">
            <v>168606.13</v>
          </cell>
          <cell r="BD14">
            <v>429760.45</v>
          </cell>
          <cell r="BE14">
            <v>194875.38999999998</v>
          </cell>
          <cell r="BF14">
            <v>310047.64999999997</v>
          </cell>
          <cell r="BG14">
            <v>4909263.49</v>
          </cell>
          <cell r="BH14">
            <v>178960.38999999996</v>
          </cell>
          <cell r="BI14">
            <v>63054927.200000003</v>
          </cell>
          <cell r="BJ14">
            <v>3722893</v>
          </cell>
          <cell r="BK14">
            <v>732972.09</v>
          </cell>
          <cell r="BL14">
            <v>1560653</v>
          </cell>
          <cell r="BM14">
            <v>1815063.8000000003</v>
          </cell>
          <cell r="BN14">
            <v>218122.08</v>
          </cell>
          <cell r="BO14">
            <v>297310</v>
          </cell>
          <cell r="BP14">
            <v>1720696</v>
          </cell>
          <cell r="BQ14">
            <v>1923099.85</v>
          </cell>
          <cell r="BR14">
            <v>435521655.25831997</v>
          </cell>
        </row>
        <row r="15">
          <cell r="A15" t="str">
            <v xml:space="preserve">  Administrative</v>
          </cell>
          <cell r="B15">
            <v>5583419.290000001</v>
          </cell>
          <cell r="C15">
            <v>601622.26</v>
          </cell>
          <cell r="D15">
            <v>9764927.2300000004</v>
          </cell>
          <cell r="E15">
            <v>6917502.9000000004</v>
          </cell>
          <cell r="F15">
            <v>8864185.5300000012</v>
          </cell>
          <cell r="G15">
            <v>6012842.4099999992</v>
          </cell>
          <cell r="H15">
            <v>1504231.94</v>
          </cell>
          <cell r="I15">
            <v>514693.74</v>
          </cell>
          <cell r="J15">
            <v>2438380.1199999996</v>
          </cell>
          <cell r="K15">
            <v>522673.5</v>
          </cell>
          <cell r="L15">
            <v>1625228.0799999998</v>
          </cell>
          <cell r="M15">
            <v>11759031.969999997</v>
          </cell>
          <cell r="N15">
            <v>38449639.900000006</v>
          </cell>
          <cell r="O15">
            <v>7500774.8899999997</v>
          </cell>
          <cell r="P15">
            <v>21221448.209999997</v>
          </cell>
          <cell r="Q15">
            <v>5736464.7999999998</v>
          </cell>
          <cell r="R15">
            <v>739498.65999999992</v>
          </cell>
          <cell r="S15">
            <v>4414632.71</v>
          </cell>
          <cell r="T15">
            <v>3609931.3899999997</v>
          </cell>
          <cell r="U15">
            <v>927706.28</v>
          </cell>
          <cell r="V15">
            <v>6387466.6600000001</v>
          </cell>
          <cell r="W15">
            <v>2092876.83</v>
          </cell>
          <cell r="X15">
            <v>8165040.9100000011</v>
          </cell>
          <cell r="Y15">
            <v>4224099.1900000004</v>
          </cell>
          <cell r="Z15">
            <v>636405.27999999991</v>
          </cell>
          <cell r="AA15">
            <v>28109927.73</v>
          </cell>
          <cell r="AB15">
            <v>393414.53999999992</v>
          </cell>
          <cell r="AC15">
            <v>774789.45000000019</v>
          </cell>
          <cell r="AD15">
            <v>19144781</v>
          </cell>
          <cell r="AE15">
            <v>224251703.02000001</v>
          </cell>
          <cell r="AF15">
            <v>54887642.410000004</v>
          </cell>
          <cell r="AG15">
            <v>3740255.1000000006</v>
          </cell>
          <cell r="AH15">
            <v>1335366</v>
          </cell>
          <cell r="AI15">
            <v>3533741</v>
          </cell>
          <cell r="AJ15">
            <v>8006371.9200000009</v>
          </cell>
          <cell r="AK15">
            <v>1543355.34</v>
          </cell>
          <cell r="AL15">
            <v>3263017.14</v>
          </cell>
          <cell r="AM15">
            <v>19280988.34</v>
          </cell>
          <cell r="AN15">
            <v>1524406.97</v>
          </cell>
          <cell r="AO15">
            <v>5856251</v>
          </cell>
          <cell r="AP15">
            <v>4750914.3599999994</v>
          </cell>
          <cell r="AQ15">
            <v>10532079.6</v>
          </cell>
          <cell r="AR15">
            <v>1433395.5200000003</v>
          </cell>
          <cell r="AS15">
            <v>3317507.5100000002</v>
          </cell>
          <cell r="AT15">
            <v>1389372.0899999999</v>
          </cell>
          <cell r="AU15">
            <v>8730863.7100000009</v>
          </cell>
          <cell r="AV15">
            <v>2414908.2100000004</v>
          </cell>
          <cell r="AW15">
            <v>3122018</v>
          </cell>
          <cell r="AX15">
            <v>9528043.2100000009</v>
          </cell>
          <cell r="AY15">
            <v>1690048.2299999997</v>
          </cell>
          <cell r="AZ15">
            <v>6118489.8199999994</v>
          </cell>
          <cell r="BA15">
            <v>60310722.770000011</v>
          </cell>
          <cell r="BB15">
            <v>5387065.8299999991</v>
          </cell>
          <cell r="BC15">
            <v>948838.0900000002</v>
          </cell>
          <cell r="BD15">
            <v>1452665.36</v>
          </cell>
          <cell r="BE15">
            <v>762979.79999999993</v>
          </cell>
          <cell r="BF15">
            <v>3311370.4899999993</v>
          </cell>
          <cell r="BG15">
            <v>7105546.9299999969</v>
          </cell>
          <cell r="BH15">
            <v>2047779.36</v>
          </cell>
          <cell r="BI15">
            <v>126640592.04999998</v>
          </cell>
          <cell r="BJ15">
            <v>17817915</v>
          </cell>
          <cell r="BK15">
            <v>2224529.81</v>
          </cell>
          <cell r="BL15">
            <v>5746284</v>
          </cell>
          <cell r="BM15">
            <v>3466055.84</v>
          </cell>
          <cell r="BN15">
            <v>1096430.9600000002</v>
          </cell>
          <cell r="BO15">
            <v>1400308</v>
          </cell>
          <cell r="BP15">
            <v>3671831</v>
          </cell>
          <cell r="BQ15">
            <v>6503438.0100000007</v>
          </cell>
          <cell r="BR15">
            <v>838782729.20000017</v>
          </cell>
        </row>
        <row r="16">
          <cell r="A16" t="str">
            <v xml:space="preserve">  Depreciation and Amortization</v>
          </cell>
          <cell r="B16">
            <v>3326205.16</v>
          </cell>
          <cell r="C16">
            <v>189853.42</v>
          </cell>
          <cell r="D16">
            <v>4135676.14</v>
          </cell>
          <cell r="E16">
            <v>3153796.52</v>
          </cell>
          <cell r="F16">
            <v>5255670.8099999996</v>
          </cell>
          <cell r="G16">
            <v>4271027.3499999996</v>
          </cell>
          <cell r="H16">
            <v>548179.29</v>
          </cell>
          <cell r="I16">
            <v>52874.3</v>
          </cell>
          <cell r="J16">
            <v>845095.5</v>
          </cell>
          <cell r="K16">
            <v>124119.61</v>
          </cell>
          <cell r="L16">
            <v>343271.24</v>
          </cell>
          <cell r="M16">
            <v>6114160.7300000004</v>
          </cell>
          <cell r="N16">
            <v>33305663.740000002</v>
          </cell>
          <cell r="O16">
            <v>3846009.2</v>
          </cell>
          <cell r="P16">
            <v>10501503.619999999</v>
          </cell>
          <cell r="Q16">
            <v>1712622.3900000001</v>
          </cell>
          <cell r="R16">
            <v>129659.51</v>
          </cell>
          <cell r="S16">
            <v>1493987.6199999999</v>
          </cell>
          <cell r="T16">
            <v>2156996.08</v>
          </cell>
          <cell r="U16">
            <v>210482.65</v>
          </cell>
          <cell r="V16">
            <v>3685265.89</v>
          </cell>
          <cell r="W16">
            <v>1081719.25</v>
          </cell>
          <cell r="X16">
            <v>5645805.2999999998</v>
          </cell>
          <cell r="Y16">
            <v>1795855.98</v>
          </cell>
          <cell r="Z16">
            <v>94345.64</v>
          </cell>
          <cell r="AA16">
            <v>22282559.149999999</v>
          </cell>
          <cell r="AB16">
            <v>52237</v>
          </cell>
          <cell r="AC16">
            <v>194087.18</v>
          </cell>
          <cell r="AD16">
            <v>18203922.98</v>
          </cell>
          <cell r="AE16">
            <v>375051161.92999995</v>
          </cell>
          <cell r="AF16">
            <v>40097278.189999998</v>
          </cell>
          <cell r="AG16">
            <v>2348783.23</v>
          </cell>
          <cell r="AH16">
            <v>678946</v>
          </cell>
          <cell r="AI16">
            <v>-1600252</v>
          </cell>
          <cell r="AJ16">
            <v>8710983.1500000004</v>
          </cell>
          <cell r="AK16">
            <v>1178282.02</v>
          </cell>
          <cell r="AL16">
            <v>1349997.29</v>
          </cell>
          <cell r="AM16">
            <v>17771935.869999997</v>
          </cell>
          <cell r="AN16">
            <v>816330.01</v>
          </cell>
          <cell r="AO16">
            <v>3301468</v>
          </cell>
          <cell r="AP16">
            <v>3068914.11</v>
          </cell>
          <cell r="AQ16">
            <v>6462384.9400000004</v>
          </cell>
          <cell r="AR16">
            <v>741925.46</v>
          </cell>
          <cell r="AS16">
            <v>926479.43</v>
          </cell>
          <cell r="AT16">
            <v>380214.08</v>
          </cell>
          <cell r="AU16">
            <v>8984647.0800000001</v>
          </cell>
          <cell r="AV16">
            <v>651573.74</v>
          </cell>
          <cell r="AW16">
            <v>-246829</v>
          </cell>
          <cell r="AX16">
            <v>4437246.4000000004</v>
          </cell>
          <cell r="AY16">
            <v>1503772.53</v>
          </cell>
          <cell r="AZ16">
            <v>3423805.29</v>
          </cell>
          <cell r="BA16">
            <v>48291288.840000004</v>
          </cell>
          <cell r="BB16">
            <v>4089741.5399999996</v>
          </cell>
          <cell r="BC16">
            <v>270394.20999999996</v>
          </cell>
          <cell r="BD16">
            <v>364321.11</v>
          </cell>
          <cell r="BE16">
            <v>217627.19</v>
          </cell>
          <cell r="BF16">
            <v>1254621.46</v>
          </cell>
          <cell r="BG16">
            <v>3385684.54</v>
          </cell>
          <cell r="BH16">
            <v>327997.31</v>
          </cell>
          <cell r="BI16">
            <v>225905944.89000002</v>
          </cell>
          <cell r="BJ16">
            <v>11349987</v>
          </cell>
          <cell r="BK16">
            <v>542441</v>
          </cell>
          <cell r="BL16">
            <v>8271633</v>
          </cell>
          <cell r="BM16">
            <v>1365712.33</v>
          </cell>
          <cell r="BN16">
            <v>365477.78</v>
          </cell>
          <cell r="BO16">
            <v>279897</v>
          </cell>
          <cell r="BP16">
            <v>1638686</v>
          </cell>
          <cell r="BQ16">
            <v>2742165.15</v>
          </cell>
          <cell r="BR16">
            <v>925455321.3499999</v>
          </cell>
        </row>
        <row r="17">
          <cell r="A17" t="str">
            <v xml:space="preserve">  Financing</v>
          </cell>
          <cell r="B17">
            <v>2731677.19</v>
          </cell>
          <cell r="C17">
            <v>18117.82</v>
          </cell>
          <cell r="D17">
            <v>1490595.5499999998</v>
          </cell>
          <cell r="E17">
            <v>1881988.9900000002</v>
          </cell>
          <cell r="F17">
            <v>3131416.9099999997</v>
          </cell>
          <cell r="G17">
            <v>2482618.2199999997</v>
          </cell>
          <cell r="H17">
            <v>545060.57999999996</v>
          </cell>
          <cell r="I17">
            <v>2425.4899999999998</v>
          </cell>
          <cell r="J17">
            <v>488789.76000000001</v>
          </cell>
          <cell r="K17">
            <v>0</v>
          </cell>
          <cell r="L17">
            <v>100166.31000000001</v>
          </cell>
          <cell r="M17">
            <v>4273946.66</v>
          </cell>
          <cell r="N17">
            <v>18077873.959999997</v>
          </cell>
          <cell r="O17">
            <v>2846129.04</v>
          </cell>
          <cell r="P17">
            <v>2892954.46</v>
          </cell>
          <cell r="Q17">
            <v>1553621.79</v>
          </cell>
          <cell r="R17">
            <v>165261.19999999998</v>
          </cell>
          <cell r="S17">
            <v>946282.35000000009</v>
          </cell>
          <cell r="T17">
            <v>1739453.56</v>
          </cell>
          <cell r="U17">
            <v>3002.3</v>
          </cell>
          <cell r="V17">
            <v>4620875.1399999997</v>
          </cell>
          <cell r="W17">
            <v>488310.18000000005</v>
          </cell>
          <cell r="X17">
            <v>4623748.6899999995</v>
          </cell>
          <cell r="Y17">
            <v>1083976.5999999999</v>
          </cell>
          <cell r="Z17">
            <v>80946.14</v>
          </cell>
          <cell r="AA17">
            <v>7552136.3100000005</v>
          </cell>
          <cell r="AB17">
            <v>2848.08</v>
          </cell>
          <cell r="AC17">
            <v>-4962.7900000000009</v>
          </cell>
          <cell r="AD17">
            <v>11683952.739999998</v>
          </cell>
          <cell r="AE17">
            <v>156107932.96000004</v>
          </cell>
          <cell r="AF17">
            <v>16936740.48</v>
          </cell>
          <cell r="AG17">
            <v>1257050.46</v>
          </cell>
          <cell r="AH17">
            <v>138999</v>
          </cell>
          <cell r="AI17">
            <v>1298829</v>
          </cell>
          <cell r="AJ17">
            <v>4232097.76</v>
          </cell>
          <cell r="AK17">
            <v>703504.61</v>
          </cell>
          <cell r="AL17">
            <v>345731.85000000003</v>
          </cell>
          <cell r="AM17">
            <v>3021405.04</v>
          </cell>
          <cell r="AN17">
            <v>235901.05</v>
          </cell>
          <cell r="AO17">
            <v>2517805</v>
          </cell>
          <cell r="AP17">
            <v>1614464.03</v>
          </cell>
          <cell r="AQ17">
            <v>2576608.8600000003</v>
          </cell>
          <cell r="AR17">
            <v>512010.76</v>
          </cell>
          <cell r="AS17">
            <v>1246749.94</v>
          </cell>
          <cell r="AT17">
            <v>177234.27999999997</v>
          </cell>
          <cell r="AU17">
            <v>6066504.7300000004</v>
          </cell>
          <cell r="AV17">
            <v>357891.57999999996</v>
          </cell>
          <cell r="AW17">
            <v>771100</v>
          </cell>
          <cell r="AX17">
            <v>2206228.2600000002</v>
          </cell>
          <cell r="AY17">
            <v>561403.64</v>
          </cell>
          <cell r="AZ17">
            <v>1724559.3099999998</v>
          </cell>
          <cell r="BA17">
            <v>25547026.149999999</v>
          </cell>
          <cell r="BB17">
            <v>3058063.34</v>
          </cell>
          <cell r="BC17">
            <v>200841.23</v>
          </cell>
          <cell r="BD17">
            <v>92121.07</v>
          </cell>
          <cell r="BE17">
            <v>59881.42</v>
          </cell>
          <cell r="BF17">
            <v>555119.85000000009</v>
          </cell>
          <cell r="BG17">
            <v>944668.6100000001</v>
          </cell>
          <cell r="BH17">
            <v>40556.879999999997</v>
          </cell>
          <cell r="BI17">
            <v>74528581.800000012</v>
          </cell>
          <cell r="BJ17">
            <v>5046716</v>
          </cell>
          <cell r="BK17">
            <v>147480.19</v>
          </cell>
          <cell r="BL17">
            <v>4851251</v>
          </cell>
          <cell r="BM17">
            <v>876389.47</v>
          </cell>
          <cell r="BN17">
            <v>198268.88999999998</v>
          </cell>
          <cell r="BO17">
            <v>222487</v>
          </cell>
          <cell r="BP17">
            <v>487857</v>
          </cell>
          <cell r="BQ17">
            <v>2196829.1799999997</v>
          </cell>
          <cell r="BR17">
            <v>399168104.91000009</v>
          </cell>
        </row>
        <row r="18">
          <cell r="B18">
            <v>18002788.220000003</v>
          </cell>
          <cell r="C18">
            <v>1302052.6299999999</v>
          </cell>
          <cell r="D18">
            <v>19388314.16</v>
          </cell>
          <cell r="E18">
            <v>15454117.869999999</v>
          </cell>
          <cell r="F18">
            <v>26602705.600000001</v>
          </cell>
          <cell r="G18">
            <v>16362307.82</v>
          </cell>
          <cell r="H18">
            <v>3264426.59</v>
          </cell>
          <cell r="I18">
            <v>806325.62</v>
          </cell>
          <cell r="J18">
            <v>6254396.5199999996</v>
          </cell>
          <cell r="K18">
            <v>727224.7</v>
          </cell>
          <cell r="L18">
            <v>2999999.7399999998</v>
          </cell>
          <cell r="M18">
            <v>27752737.729999997</v>
          </cell>
          <cell r="N18">
            <v>114266592.51000001</v>
          </cell>
          <cell r="O18">
            <v>17222437.59</v>
          </cell>
          <cell r="P18">
            <v>39090317.549999997</v>
          </cell>
          <cell r="Q18">
            <v>9381084.5599999987</v>
          </cell>
          <cell r="R18">
            <v>1681502</v>
          </cell>
          <cell r="S18">
            <v>9344898.7300999984</v>
          </cell>
          <cell r="T18">
            <v>9639451.5</v>
          </cell>
          <cell r="U18">
            <v>1963304.0499999998</v>
          </cell>
          <cell r="V18">
            <v>22810044.68</v>
          </cell>
          <cell r="W18">
            <v>5110428.7300000004</v>
          </cell>
          <cell r="X18">
            <v>24733550.219999999</v>
          </cell>
          <cell r="Y18">
            <v>9008827.2799999993</v>
          </cell>
          <cell r="Z18">
            <v>1223164.1199999999</v>
          </cell>
          <cell r="AA18">
            <v>91499726.020000011</v>
          </cell>
          <cell r="AB18">
            <v>490953.68999999994</v>
          </cell>
          <cell r="AC18">
            <v>1200784.56</v>
          </cell>
          <cell r="AD18">
            <v>61258143.689999998</v>
          </cell>
          <cell r="AE18">
            <v>1095162048.1199999</v>
          </cell>
          <cell r="AF18">
            <v>139976832.60999998</v>
          </cell>
          <cell r="AG18">
            <v>9429422.0600000024</v>
          </cell>
          <cell r="AH18">
            <v>2863768</v>
          </cell>
          <cell r="AI18">
            <v>6847312</v>
          </cell>
          <cell r="AJ18">
            <v>30447585.670000002</v>
          </cell>
          <cell r="AK18">
            <v>4246377</v>
          </cell>
          <cell r="AL18">
            <v>6591256.4399999995</v>
          </cell>
          <cell r="AM18">
            <v>57149485.089999996</v>
          </cell>
          <cell r="AN18">
            <v>3630497.7699999996</v>
          </cell>
          <cell r="AO18">
            <v>15472869</v>
          </cell>
          <cell r="AP18">
            <v>12429831.919999998</v>
          </cell>
          <cell r="AQ18">
            <v>26185513.530000001</v>
          </cell>
          <cell r="AR18">
            <v>3817899.8099999996</v>
          </cell>
          <cell r="AS18">
            <v>7990676.25</v>
          </cell>
          <cell r="AT18">
            <v>3065463.51</v>
          </cell>
          <cell r="AU18">
            <v>33031385.790000003</v>
          </cell>
          <cell r="AV18">
            <v>4331672.24</v>
          </cell>
          <cell r="AW18">
            <v>5637853</v>
          </cell>
          <cell r="AX18">
            <v>19188846.950000003</v>
          </cell>
          <cell r="AY18">
            <v>4999034.1999999993</v>
          </cell>
          <cell r="AZ18">
            <v>14357315.85</v>
          </cell>
          <cell r="BA18">
            <v>165588390.70000002</v>
          </cell>
          <cell r="BB18">
            <v>18512742</v>
          </cell>
          <cell r="BC18">
            <v>1873548.5500000003</v>
          </cell>
          <cell r="BD18">
            <v>2586648.8899999997</v>
          </cell>
          <cell r="BE18">
            <v>1809517.0999999996</v>
          </cell>
          <cell r="BF18">
            <v>6249336.2699999996</v>
          </cell>
          <cell r="BG18">
            <v>19820386.629999995</v>
          </cell>
          <cell r="BH18">
            <v>3093559.64</v>
          </cell>
          <cell r="BI18">
            <v>547034358.78999996</v>
          </cell>
          <cell r="BJ18">
            <v>43842776</v>
          </cell>
          <cell r="BK18">
            <v>3744802.39</v>
          </cell>
          <cell r="BL18">
            <v>26415955</v>
          </cell>
          <cell r="BM18">
            <v>8984838.8000000007</v>
          </cell>
          <cell r="BN18">
            <v>2321294.6300000004</v>
          </cell>
          <cell r="BO18">
            <v>2336322</v>
          </cell>
          <cell r="BP18">
            <v>7909454</v>
          </cell>
          <cell r="BQ18">
            <v>16799800.579999998</v>
          </cell>
          <cell r="BR18">
            <v>2944619287.4601002</v>
          </cell>
        </row>
        <row r="19">
          <cell r="A19" t="str">
            <v>OM&amp;ACOST</v>
          </cell>
          <cell r="B19">
            <v>11944905.870000001</v>
          </cell>
          <cell r="C19">
            <v>1094081.3899999999</v>
          </cell>
          <cell r="D19">
            <v>13762042.470000001</v>
          </cell>
          <cell r="E19">
            <v>10418332.359999999</v>
          </cell>
          <cell r="F19">
            <v>18215617.880000003</v>
          </cell>
          <cell r="G19">
            <v>9608662.25</v>
          </cell>
          <cell r="H19">
            <v>2171186.7199999997</v>
          </cell>
          <cell r="I19">
            <v>751025.83</v>
          </cell>
          <cell r="J19">
            <v>4920511.26</v>
          </cell>
          <cell r="K19">
            <v>603105.09</v>
          </cell>
          <cell r="L19">
            <v>2556562.1899999995</v>
          </cell>
          <cell r="M19">
            <v>17364630.339999996</v>
          </cell>
          <cell r="N19">
            <v>62883054.81000001</v>
          </cell>
          <cell r="O19">
            <v>10530299.35</v>
          </cell>
          <cell r="P19">
            <v>25695859.469999999</v>
          </cell>
          <cell r="Q19">
            <v>6114840.3799999999</v>
          </cell>
          <cell r="R19">
            <v>1386581.29</v>
          </cell>
          <cell r="S19">
            <v>6904628.7600999996</v>
          </cell>
          <cell r="T19">
            <v>5743001.8599999994</v>
          </cell>
          <cell r="U19">
            <v>1749819.0999999999</v>
          </cell>
          <cell r="V19">
            <v>14503903.65</v>
          </cell>
          <cell r="W19">
            <v>3540399.3000000003</v>
          </cell>
          <cell r="X19">
            <v>14463996.23</v>
          </cell>
          <cell r="Y19">
            <v>6128994.7000000002</v>
          </cell>
          <cell r="Z19">
            <v>1047872.34</v>
          </cell>
          <cell r="AA19">
            <v>61665030.560000002</v>
          </cell>
          <cell r="AB19">
            <v>435868.60999999993</v>
          </cell>
          <cell r="AC19">
            <v>1011660.1700000002</v>
          </cell>
          <cell r="AD19">
            <v>31370267.969999999</v>
          </cell>
          <cell r="AE19">
            <v>564002953.23000002</v>
          </cell>
          <cell r="AF19">
            <v>82942813.939999998</v>
          </cell>
          <cell r="AG19">
            <v>5823588.370000001</v>
          </cell>
          <cell r="AH19">
            <v>2045823</v>
          </cell>
          <cell r="AI19">
            <v>7148735</v>
          </cell>
          <cell r="AJ19">
            <v>17504504.760000002</v>
          </cell>
          <cell r="AK19">
            <v>2364590.37</v>
          </cell>
          <cell r="AL19">
            <v>4895527.3</v>
          </cell>
          <cell r="AM19">
            <v>36356144.18</v>
          </cell>
          <cell r="AN19">
            <v>2578266.71</v>
          </cell>
          <cell r="AO19">
            <v>9653596</v>
          </cell>
          <cell r="AP19">
            <v>7746453.7799999993</v>
          </cell>
          <cell r="AQ19">
            <v>17146519.73</v>
          </cell>
          <cell r="AR19">
            <v>2563963.59</v>
          </cell>
          <cell r="AS19">
            <v>5817446.8800000008</v>
          </cell>
          <cell r="AT19">
            <v>2508015.15</v>
          </cell>
          <cell r="AU19">
            <v>17980233.98</v>
          </cell>
          <cell r="AV19">
            <v>3322206.9200000004</v>
          </cell>
          <cell r="AW19">
            <v>5113582</v>
          </cell>
          <cell r="AX19">
            <v>12545372.290000001</v>
          </cell>
          <cell r="AY19">
            <v>2933858.0299999993</v>
          </cell>
          <cell r="AZ19">
            <v>9208951.25</v>
          </cell>
          <cell r="BA19">
            <v>91750075.710000008</v>
          </cell>
          <cell r="BB19">
            <v>11364937.119999999</v>
          </cell>
          <cell r="BC19">
            <v>1402313.1100000003</v>
          </cell>
          <cell r="BD19">
            <v>2130206.71</v>
          </cell>
          <cell r="BE19">
            <v>1532008.4899999998</v>
          </cell>
          <cell r="BF19">
            <v>4439594.959999999</v>
          </cell>
          <cell r="BG19">
            <v>15490033.479999997</v>
          </cell>
          <cell r="BH19">
            <v>2725005.45</v>
          </cell>
          <cell r="BI19">
            <v>246599832.09999999</v>
          </cell>
          <cell r="BJ19">
            <v>27446073</v>
          </cell>
          <cell r="BK19">
            <v>3054881.2</v>
          </cell>
          <cell r="BL19">
            <v>13293071</v>
          </cell>
          <cell r="BM19">
            <v>6742737</v>
          </cell>
          <cell r="BN19">
            <v>1757547.96</v>
          </cell>
          <cell r="BO19">
            <v>1833938</v>
          </cell>
          <cell r="BP19">
            <v>5782911</v>
          </cell>
          <cell r="BQ19">
            <v>11860806.25</v>
          </cell>
          <cell r="BR19">
            <v>1619995861.2000999</v>
          </cell>
        </row>
        <row r="20">
          <cell r="A20" t="str">
            <v>Net Income Before Taxes</v>
          </cell>
          <cell r="B20">
            <v>4562769.5299999975</v>
          </cell>
          <cell r="C20">
            <v>131956.60999999987</v>
          </cell>
          <cell r="D20">
            <v>3816051.3099999875</v>
          </cell>
          <cell r="E20">
            <v>2745295.1400000025</v>
          </cell>
          <cell r="F20">
            <v>5084004.1799999699</v>
          </cell>
          <cell r="G20">
            <v>4271740.0500000007</v>
          </cell>
          <cell r="H20">
            <v>183256.31000000006</v>
          </cell>
          <cell r="I20">
            <v>25938.550000000279</v>
          </cell>
          <cell r="J20">
            <v>1108571.75</v>
          </cell>
          <cell r="K20">
            <v>139753.6599999998</v>
          </cell>
          <cell r="L20">
            <v>1043074.4700000007</v>
          </cell>
          <cell r="M20">
            <v>7552890.7500000149</v>
          </cell>
          <cell r="N20">
            <v>23084554.83299987</v>
          </cell>
          <cell r="O20">
            <v>2895945.1199999936</v>
          </cell>
          <cell r="P20">
            <v>17628635.190000013</v>
          </cell>
          <cell r="Q20">
            <v>1044533.4799999949</v>
          </cell>
          <cell r="R20">
            <v>96064.990000000922</v>
          </cell>
          <cell r="S20">
            <v>2635820.2298999969</v>
          </cell>
          <cell r="T20">
            <v>2002008.3400000073</v>
          </cell>
          <cell r="U20">
            <v>37386.069999995409</v>
          </cell>
          <cell r="V20">
            <v>2760478.6499999911</v>
          </cell>
          <cell r="W20">
            <v>285856.02999999654</v>
          </cell>
          <cell r="X20">
            <v>7836710.120000001</v>
          </cell>
          <cell r="Y20">
            <v>1753618.5099999812</v>
          </cell>
          <cell r="Z20">
            <v>72691.379999999655</v>
          </cell>
          <cell r="AA20">
            <v>25629954.189999968</v>
          </cell>
          <cell r="AB20">
            <v>59743.050000000163</v>
          </cell>
          <cell r="AC20">
            <v>596147.91000000201</v>
          </cell>
          <cell r="AD20">
            <v>16179631.89000003</v>
          </cell>
          <cell r="AE20">
            <v>329016992.93000007</v>
          </cell>
          <cell r="AF20">
            <v>37992326.159999967</v>
          </cell>
          <cell r="AG20">
            <v>824039.47000000253</v>
          </cell>
          <cell r="AH20">
            <v>307015</v>
          </cell>
          <cell r="AI20">
            <v>2829888</v>
          </cell>
          <cell r="AJ20">
            <v>12490217.819999978</v>
          </cell>
          <cell r="AK20">
            <v>670182.60000000522</v>
          </cell>
          <cell r="AL20">
            <v>2154730.6000000015</v>
          </cell>
          <cell r="AM20">
            <v>14869536.780000083</v>
          </cell>
          <cell r="AN20">
            <v>589072.96000000276</v>
          </cell>
          <cell r="AO20">
            <v>2732161</v>
          </cell>
          <cell r="AP20">
            <v>4285381.3200000077</v>
          </cell>
          <cell r="AQ20">
            <v>4779344.75</v>
          </cell>
          <cell r="AR20">
            <v>1348102.5100000007</v>
          </cell>
          <cell r="AS20">
            <v>4007234.7999999989</v>
          </cell>
          <cell r="AT20">
            <v>150268.42000000225</v>
          </cell>
          <cell r="AU20">
            <v>9884482.120000001</v>
          </cell>
          <cell r="AV20">
            <v>878329.53999999724</v>
          </cell>
          <cell r="AW20">
            <v>960481</v>
          </cell>
          <cell r="AX20">
            <v>5025570.4499999657</v>
          </cell>
          <cell r="AY20">
            <v>273537.25000000093</v>
          </cell>
          <cell r="AZ20">
            <v>2117878.4999999944</v>
          </cell>
          <cell r="BA20">
            <v>27731662.569999754</v>
          </cell>
          <cell r="BB20">
            <v>-364439.03999999911</v>
          </cell>
          <cell r="BC20">
            <v>9989.9499999983236</v>
          </cell>
          <cell r="BD20">
            <v>114853.26999999862</v>
          </cell>
          <cell r="BE20">
            <v>190385.70000000088</v>
          </cell>
          <cell r="BF20">
            <v>1824927.3500000052</v>
          </cell>
          <cell r="BG20">
            <v>949789.91000001132</v>
          </cell>
          <cell r="BH20">
            <v>607691.35000000382</v>
          </cell>
          <cell r="BI20">
            <v>199687172.08000052</v>
          </cell>
          <cell r="BJ20">
            <v>12135945</v>
          </cell>
          <cell r="BK20">
            <v>724279.84000000032</v>
          </cell>
          <cell r="BL20">
            <v>9824070</v>
          </cell>
          <cell r="BM20">
            <v>863341.08000000566</v>
          </cell>
          <cell r="BN20">
            <v>400054.05000000028</v>
          </cell>
          <cell r="BO20">
            <v>191079</v>
          </cell>
          <cell r="BP20">
            <v>2183887</v>
          </cell>
          <cell r="BQ20">
            <v>4621933.6399999857</v>
          </cell>
          <cell r="BR20">
            <v>835148479.0229001</v>
          </cell>
        </row>
        <row r="22">
          <cell r="A22" t="str">
            <v>PILs and Income Taxes</v>
          </cell>
        </row>
        <row r="23">
          <cell r="A23" t="str">
            <v xml:space="preserve">  Current</v>
          </cell>
          <cell r="B23">
            <v>311560</v>
          </cell>
          <cell r="C23">
            <v>25301</v>
          </cell>
          <cell r="D23">
            <v>399000</v>
          </cell>
          <cell r="E23">
            <v>24949</v>
          </cell>
          <cell r="F23">
            <v>1052812.52</v>
          </cell>
          <cell r="G23">
            <v>738340</v>
          </cell>
          <cell r="H23">
            <v>-15584</v>
          </cell>
          <cell r="I23">
            <v>1902</v>
          </cell>
          <cell r="J23">
            <v>150279.22</v>
          </cell>
          <cell r="K23">
            <v>13540</v>
          </cell>
          <cell r="L23">
            <v>326000.15999999997</v>
          </cell>
          <cell r="M23">
            <v>669321.4</v>
          </cell>
          <cell r="N23">
            <v>1163158</v>
          </cell>
          <cell r="O23">
            <v>455997.63</v>
          </cell>
          <cell r="P23">
            <v>5230315.5</v>
          </cell>
          <cell r="Q23">
            <v>35000</v>
          </cell>
          <cell r="R23">
            <v>-24151</v>
          </cell>
          <cell r="S23">
            <v>170307.95</v>
          </cell>
          <cell r="T23">
            <v>266000.03999999998</v>
          </cell>
          <cell r="U23">
            <v>0</v>
          </cell>
          <cell r="V23">
            <v>316763.2</v>
          </cell>
          <cell r="W23">
            <v>-20000</v>
          </cell>
          <cell r="X23">
            <v>1622621.82</v>
          </cell>
          <cell r="Y23">
            <v>23588.41</v>
          </cell>
          <cell r="Z23">
            <v>3923</v>
          </cell>
          <cell r="AA23">
            <v>4962358.67</v>
          </cell>
          <cell r="AB23">
            <v>2676</v>
          </cell>
          <cell r="AC23">
            <v>216655</v>
          </cell>
          <cell r="AD23">
            <v>3468809</v>
          </cell>
          <cell r="AE23">
            <v>22296223.600000001</v>
          </cell>
          <cell r="AF23">
            <v>3647180</v>
          </cell>
          <cell r="AG23">
            <v>-233375</v>
          </cell>
          <cell r="AH23">
            <v>36374</v>
          </cell>
          <cell r="AI23">
            <v>449183</v>
          </cell>
          <cell r="AJ23">
            <v>2037858.25</v>
          </cell>
          <cell r="AK23">
            <v>79142</v>
          </cell>
          <cell r="AL23">
            <v>431628</v>
          </cell>
          <cell r="AM23">
            <v>1997955.92</v>
          </cell>
          <cell r="AN23">
            <v>188873</v>
          </cell>
          <cell r="AO23">
            <v>-135464</v>
          </cell>
          <cell r="AP23">
            <v>611252</v>
          </cell>
          <cell r="AQ23">
            <v>-188872</v>
          </cell>
          <cell r="AR23">
            <v>164216</v>
          </cell>
          <cell r="AS23">
            <v>165881.39000000001</v>
          </cell>
          <cell r="AT23">
            <v>29370</v>
          </cell>
          <cell r="AU23">
            <v>1964000</v>
          </cell>
          <cell r="AV23">
            <v>135491</v>
          </cell>
          <cell r="AW23">
            <v>913000</v>
          </cell>
          <cell r="AX23">
            <v>339456</v>
          </cell>
          <cell r="AY23">
            <v>185875</v>
          </cell>
          <cell r="AZ23">
            <v>487180</v>
          </cell>
          <cell r="BA23">
            <v>-6441771.6399999997</v>
          </cell>
          <cell r="BB23">
            <v>-44000</v>
          </cell>
          <cell r="BC23">
            <v>17616</v>
          </cell>
          <cell r="BD23">
            <v>-1231</v>
          </cell>
          <cell r="BE23">
            <v>9362</v>
          </cell>
          <cell r="BF23">
            <v>290565</v>
          </cell>
          <cell r="BG23">
            <v>-83881</v>
          </cell>
          <cell r="BH23">
            <v>124499.88</v>
          </cell>
          <cell r="BI23">
            <v>21762400</v>
          </cell>
          <cell r="BJ23">
            <v>1156419</v>
          </cell>
          <cell r="BK23">
            <v>139918</v>
          </cell>
          <cell r="BL23">
            <v>551449</v>
          </cell>
          <cell r="BM23">
            <v>-42968</v>
          </cell>
          <cell r="BN23">
            <v>-23610</v>
          </cell>
          <cell r="BO23">
            <v>23526</v>
          </cell>
          <cell r="BP23">
            <v>102000</v>
          </cell>
          <cell r="BQ23">
            <v>983431.24</v>
          </cell>
          <cell r="BR23">
            <v>75717597.159999996</v>
          </cell>
        </row>
        <row r="24">
          <cell r="A24" t="str">
            <v xml:space="preserve">  Deferred</v>
          </cell>
          <cell r="B24">
            <v>129343</v>
          </cell>
          <cell r="C24">
            <v>0</v>
          </cell>
          <cell r="D24">
            <v>0</v>
          </cell>
          <cell r="E24">
            <v>810230</v>
          </cell>
          <cell r="F24">
            <v>-598518.66</v>
          </cell>
          <cell r="G24">
            <v>63198</v>
          </cell>
          <cell r="H24">
            <v>-12765</v>
          </cell>
          <cell r="I24">
            <v>0</v>
          </cell>
          <cell r="J24">
            <v>0</v>
          </cell>
          <cell r="K24">
            <v>0</v>
          </cell>
          <cell r="L24">
            <v>0</v>
          </cell>
          <cell r="M24">
            <v>-36644</v>
          </cell>
          <cell r="N24">
            <v>134706.57</v>
          </cell>
          <cell r="O24">
            <v>0</v>
          </cell>
          <cell r="P24">
            <v>0</v>
          </cell>
          <cell r="Q24">
            <v>0</v>
          </cell>
          <cell r="R24">
            <v>0</v>
          </cell>
          <cell r="S24">
            <v>0</v>
          </cell>
          <cell r="T24">
            <v>0</v>
          </cell>
          <cell r="U24">
            <v>0</v>
          </cell>
          <cell r="V24">
            <v>-1812789</v>
          </cell>
          <cell r="W24">
            <v>-122785</v>
          </cell>
          <cell r="X24">
            <v>687155</v>
          </cell>
          <cell r="Y24">
            <v>379943</v>
          </cell>
          <cell r="Z24">
            <v>8200</v>
          </cell>
          <cell r="AA24">
            <v>1864967.82</v>
          </cell>
          <cell r="AB24">
            <v>4093</v>
          </cell>
          <cell r="AC24">
            <v>-88378</v>
          </cell>
          <cell r="AD24">
            <v>-989345</v>
          </cell>
          <cell r="AE24">
            <v>36171158.130000003</v>
          </cell>
          <cell r="AF24">
            <v>0</v>
          </cell>
          <cell r="AG24">
            <v>438762.26</v>
          </cell>
          <cell r="AH24">
            <v>0</v>
          </cell>
          <cell r="AI24">
            <v>379824</v>
          </cell>
          <cell r="AJ24">
            <v>-35896</v>
          </cell>
          <cell r="AK24">
            <v>88900</v>
          </cell>
          <cell r="AL24">
            <v>132385</v>
          </cell>
          <cell r="AM24">
            <v>405100</v>
          </cell>
          <cell r="AN24">
            <v>-106573</v>
          </cell>
          <cell r="AO24">
            <v>-85388</v>
          </cell>
          <cell r="AP24">
            <v>569371.27</v>
          </cell>
          <cell r="AQ24">
            <v>-189346</v>
          </cell>
          <cell r="AR24">
            <v>174891</v>
          </cell>
          <cell r="AS24">
            <v>0</v>
          </cell>
          <cell r="AT24">
            <v>-9233</v>
          </cell>
          <cell r="AU24">
            <v>63994.54</v>
          </cell>
          <cell r="AV24">
            <v>0</v>
          </cell>
          <cell r="AW24">
            <v>-1506359</v>
          </cell>
          <cell r="AX24">
            <v>0</v>
          </cell>
          <cell r="AY24">
            <v>0</v>
          </cell>
          <cell r="AZ24">
            <v>20035.45</v>
          </cell>
          <cell r="BA24">
            <v>0</v>
          </cell>
          <cell r="BB24">
            <v>0</v>
          </cell>
          <cell r="BC24">
            <v>32312</v>
          </cell>
          <cell r="BD24">
            <v>24022</v>
          </cell>
          <cell r="BE24">
            <v>25696</v>
          </cell>
          <cell r="BF24">
            <v>0</v>
          </cell>
          <cell r="BG24">
            <v>371562.4</v>
          </cell>
          <cell r="BH24">
            <v>0</v>
          </cell>
          <cell r="BI24">
            <v>179979</v>
          </cell>
          <cell r="BJ24">
            <v>-73450</v>
          </cell>
          <cell r="BK24">
            <v>48296</v>
          </cell>
          <cell r="BL24">
            <v>288927</v>
          </cell>
          <cell r="BM24">
            <v>-81826</v>
          </cell>
          <cell r="BN24">
            <v>0</v>
          </cell>
          <cell r="BO24">
            <v>22970</v>
          </cell>
          <cell r="BP24">
            <v>141000</v>
          </cell>
          <cell r="BQ24">
            <v>0</v>
          </cell>
          <cell r="BR24">
            <v>37911726.780000001</v>
          </cell>
        </row>
        <row r="25">
          <cell r="B25">
            <v>440903</v>
          </cell>
          <cell r="C25">
            <v>25301</v>
          </cell>
          <cell r="D25">
            <v>399000</v>
          </cell>
          <cell r="E25">
            <v>835179</v>
          </cell>
          <cell r="F25">
            <v>454293.86</v>
          </cell>
          <cell r="G25">
            <v>801538</v>
          </cell>
          <cell r="H25">
            <v>-28349</v>
          </cell>
          <cell r="I25">
            <v>1902</v>
          </cell>
          <cell r="J25">
            <v>150279.22</v>
          </cell>
          <cell r="K25">
            <v>13540</v>
          </cell>
          <cell r="L25">
            <v>326000.15999999997</v>
          </cell>
          <cell r="M25">
            <v>632677.4</v>
          </cell>
          <cell r="N25">
            <v>1297864.57</v>
          </cell>
          <cell r="O25">
            <v>455997.63</v>
          </cell>
          <cell r="P25">
            <v>5230315.5</v>
          </cell>
          <cell r="Q25">
            <v>35000</v>
          </cell>
          <cell r="R25">
            <v>-24151</v>
          </cell>
          <cell r="S25">
            <v>170307.95</v>
          </cell>
          <cell r="T25">
            <v>266000.03999999998</v>
          </cell>
          <cell r="U25">
            <v>0</v>
          </cell>
          <cell r="V25">
            <v>-1496025.8</v>
          </cell>
          <cell r="W25">
            <v>-142785</v>
          </cell>
          <cell r="X25">
            <v>2309776.8200000003</v>
          </cell>
          <cell r="Y25">
            <v>403531.41</v>
          </cell>
          <cell r="Z25">
            <v>12123</v>
          </cell>
          <cell r="AA25">
            <v>6827326.4900000002</v>
          </cell>
          <cell r="AB25">
            <v>6769</v>
          </cell>
          <cell r="AC25">
            <v>128277</v>
          </cell>
          <cell r="AD25">
            <v>2479464</v>
          </cell>
          <cell r="AE25">
            <v>58467381.730000004</v>
          </cell>
          <cell r="AF25">
            <v>3647180</v>
          </cell>
          <cell r="AG25">
            <v>205387.26</v>
          </cell>
          <cell r="AH25">
            <v>36374</v>
          </cell>
          <cell r="AI25">
            <v>829007</v>
          </cell>
          <cell r="AJ25">
            <v>2001962.25</v>
          </cell>
          <cell r="AK25">
            <v>168042</v>
          </cell>
          <cell r="AL25">
            <v>564013</v>
          </cell>
          <cell r="AM25">
            <v>2403055.92</v>
          </cell>
          <cell r="AN25">
            <v>82300</v>
          </cell>
          <cell r="AO25">
            <v>-220852</v>
          </cell>
          <cell r="AP25">
            <v>1180623.27</v>
          </cell>
          <cell r="AQ25">
            <v>-378218</v>
          </cell>
          <cell r="AR25">
            <v>339107</v>
          </cell>
          <cell r="AS25">
            <v>165881.39000000001</v>
          </cell>
          <cell r="AT25">
            <v>20137</v>
          </cell>
          <cell r="AU25">
            <v>2027994.54</v>
          </cell>
          <cell r="AV25">
            <v>135491</v>
          </cell>
          <cell r="AW25">
            <v>-593359</v>
          </cell>
          <cell r="AX25">
            <v>339456</v>
          </cell>
          <cell r="AY25">
            <v>185875</v>
          </cell>
          <cell r="AZ25">
            <v>507215.45</v>
          </cell>
          <cell r="BA25">
            <v>-6441771.6399999997</v>
          </cell>
          <cell r="BB25">
            <v>-44000</v>
          </cell>
          <cell r="BC25">
            <v>49928</v>
          </cell>
          <cell r="BD25">
            <v>22791</v>
          </cell>
          <cell r="BE25">
            <v>35058</v>
          </cell>
          <cell r="BF25">
            <v>290565</v>
          </cell>
          <cell r="BG25">
            <v>287681.40000000002</v>
          </cell>
          <cell r="BH25">
            <v>124499.88</v>
          </cell>
          <cell r="BI25">
            <v>21942379</v>
          </cell>
          <cell r="BJ25">
            <v>1082969</v>
          </cell>
          <cell r="BK25">
            <v>188214</v>
          </cell>
          <cell r="BL25">
            <v>840376</v>
          </cell>
          <cell r="BM25">
            <v>-124794</v>
          </cell>
          <cell r="BN25">
            <v>-23610</v>
          </cell>
          <cell r="BO25">
            <v>46496</v>
          </cell>
          <cell r="BP25">
            <v>243000</v>
          </cell>
          <cell r="BQ25">
            <v>983431.24</v>
          </cell>
          <cell r="BR25">
            <v>113629323.94</v>
          </cell>
        </row>
        <row r="27">
          <cell r="A27" t="str">
            <v>Net Income (Loss)</v>
          </cell>
          <cell r="B27">
            <v>4121866.5299999975</v>
          </cell>
          <cell r="C27">
            <v>106655.60999999987</v>
          </cell>
          <cell r="D27">
            <v>3417051.3099999875</v>
          </cell>
          <cell r="E27">
            <v>1910116.1400000025</v>
          </cell>
          <cell r="F27">
            <v>4629710.3199999696</v>
          </cell>
          <cell r="G27">
            <v>3470202.0500000007</v>
          </cell>
          <cell r="H27">
            <v>211605.31000000006</v>
          </cell>
          <cell r="I27">
            <v>24036.550000000279</v>
          </cell>
          <cell r="J27">
            <v>958292.53</v>
          </cell>
          <cell r="K27">
            <v>126213.6599999998</v>
          </cell>
          <cell r="L27">
            <v>717074.31000000075</v>
          </cell>
          <cell r="M27">
            <v>6920213.3500000145</v>
          </cell>
          <cell r="N27">
            <v>21786690.26299987</v>
          </cell>
          <cell r="O27">
            <v>2439947.4899999937</v>
          </cell>
          <cell r="P27">
            <v>12398319.690000013</v>
          </cell>
          <cell r="Q27">
            <v>1009533.4799999949</v>
          </cell>
          <cell r="R27">
            <v>120215.99000000092</v>
          </cell>
          <cell r="S27">
            <v>2465512.2798999967</v>
          </cell>
          <cell r="T27">
            <v>1736008.3000000073</v>
          </cell>
          <cell r="U27">
            <v>37386.069999995409</v>
          </cell>
          <cell r="V27">
            <v>4256504.4499999909</v>
          </cell>
          <cell r="W27">
            <v>428641.02999999654</v>
          </cell>
          <cell r="X27">
            <v>5526933.3000000007</v>
          </cell>
          <cell r="Y27">
            <v>1350087.0999999812</v>
          </cell>
          <cell r="Z27">
            <v>60568.379999999655</v>
          </cell>
          <cell r="AA27">
            <v>18802627.699999966</v>
          </cell>
          <cell r="AB27">
            <v>52974.050000000163</v>
          </cell>
          <cell r="AC27">
            <v>467870.91000000201</v>
          </cell>
          <cell r="AD27">
            <v>13700167.89000003</v>
          </cell>
          <cell r="AE27">
            <v>270549611.20000005</v>
          </cell>
          <cell r="AF27">
            <v>34345146.159999967</v>
          </cell>
          <cell r="AG27">
            <v>618652.21000000252</v>
          </cell>
          <cell r="AH27">
            <v>270641</v>
          </cell>
          <cell r="AI27">
            <v>2000881</v>
          </cell>
          <cell r="AJ27">
            <v>10488255.569999978</v>
          </cell>
          <cell r="AK27">
            <v>502140.60000000522</v>
          </cell>
          <cell r="AL27">
            <v>1590717.6000000015</v>
          </cell>
          <cell r="AM27">
            <v>12466480.860000083</v>
          </cell>
          <cell r="AN27">
            <v>506772.96000000276</v>
          </cell>
          <cell r="AO27">
            <v>2953013</v>
          </cell>
          <cell r="AP27">
            <v>3104758.0500000077</v>
          </cell>
          <cell r="AQ27">
            <v>5157562.75</v>
          </cell>
          <cell r="AR27">
            <v>1008995.5100000007</v>
          </cell>
          <cell r="AS27">
            <v>3841353.4099999988</v>
          </cell>
          <cell r="AT27">
            <v>130131.42000000225</v>
          </cell>
          <cell r="AU27">
            <v>7856487.580000001</v>
          </cell>
          <cell r="AV27">
            <v>742838.53999999724</v>
          </cell>
          <cell r="AW27">
            <v>1553840</v>
          </cell>
          <cell r="AX27">
            <v>4686114.4499999657</v>
          </cell>
          <cell r="AY27">
            <v>87662.250000000931</v>
          </cell>
          <cell r="AZ27">
            <v>1610663.0499999945</v>
          </cell>
          <cell r="BA27">
            <v>34173434.209999755</v>
          </cell>
          <cell r="BB27">
            <v>-320439.03999999911</v>
          </cell>
          <cell r="BC27">
            <v>-39938.050000001676</v>
          </cell>
          <cell r="BD27">
            <v>92062.269999998622</v>
          </cell>
          <cell r="BE27">
            <v>155327.70000000088</v>
          </cell>
          <cell r="BF27">
            <v>1534362.3500000052</v>
          </cell>
          <cell r="BG27">
            <v>662108.5100000113</v>
          </cell>
          <cell r="BH27">
            <v>483191.47000000381</v>
          </cell>
          <cell r="BI27">
            <v>177744793.08000052</v>
          </cell>
          <cell r="BJ27">
            <v>11052976</v>
          </cell>
          <cell r="BK27">
            <v>536065.84000000032</v>
          </cell>
          <cell r="BL27">
            <v>8983694</v>
          </cell>
          <cell r="BM27">
            <v>988135.08000000566</v>
          </cell>
          <cell r="BN27">
            <v>423664.05000000028</v>
          </cell>
          <cell r="BO27">
            <v>144583</v>
          </cell>
          <cell r="BP27">
            <v>1940887</v>
          </cell>
          <cell r="BQ27">
            <v>3638502.3999999855</v>
          </cell>
          <cell r="BR27">
            <v>721519155.08290005</v>
          </cell>
        </row>
        <row r="29">
          <cell r="A29" t="str">
            <v>Other Comprehensive Income (Loss)</v>
          </cell>
          <cell r="B29">
            <v>0</v>
          </cell>
          <cell r="C29">
            <v>0</v>
          </cell>
          <cell r="D29">
            <v>-1888933</v>
          </cell>
          <cell r="E29">
            <v>-23693</v>
          </cell>
          <cell r="F29">
            <v>-156918</v>
          </cell>
          <cell r="G29">
            <v>0</v>
          </cell>
          <cell r="H29">
            <v>-29157.31</v>
          </cell>
          <cell r="I29">
            <v>0</v>
          </cell>
          <cell r="J29">
            <v>-93928</v>
          </cell>
          <cell r="K29">
            <v>0</v>
          </cell>
          <cell r="L29">
            <v>45077</v>
          </cell>
          <cell r="M29">
            <v>-141565</v>
          </cell>
          <cell r="N29">
            <v>641505.57000000007</v>
          </cell>
          <cell r="O29">
            <v>-524826</v>
          </cell>
          <cell r="P29">
            <v>-2120548.5</v>
          </cell>
          <cell r="Q29">
            <v>71968.800000000003</v>
          </cell>
          <cell r="R29">
            <v>-1329</v>
          </cell>
          <cell r="S29">
            <v>0</v>
          </cell>
          <cell r="T29">
            <v>-22973</v>
          </cell>
          <cell r="U29">
            <v>0</v>
          </cell>
          <cell r="V29">
            <v>5027926</v>
          </cell>
          <cell r="W29">
            <v>0</v>
          </cell>
          <cell r="X29">
            <v>378024</v>
          </cell>
          <cell r="Y29">
            <v>0</v>
          </cell>
          <cell r="Z29">
            <v>19637.27</v>
          </cell>
          <cell r="AA29">
            <v>451742.03</v>
          </cell>
          <cell r="AB29">
            <v>0</v>
          </cell>
          <cell r="AC29">
            <v>0</v>
          </cell>
          <cell r="AD29">
            <v>833000</v>
          </cell>
          <cell r="AE29">
            <v>0</v>
          </cell>
          <cell r="AF29">
            <v>0</v>
          </cell>
          <cell r="AG29">
            <v>32926.26</v>
          </cell>
          <cell r="AH29">
            <v>0</v>
          </cell>
          <cell r="AI29">
            <v>130854</v>
          </cell>
          <cell r="AJ29">
            <v>0</v>
          </cell>
          <cell r="AK29">
            <v>0</v>
          </cell>
          <cell r="AL29">
            <v>90382</v>
          </cell>
          <cell r="AM29">
            <v>-293900</v>
          </cell>
          <cell r="AN29">
            <v>0</v>
          </cell>
          <cell r="AO29">
            <v>0</v>
          </cell>
          <cell r="AP29">
            <v>0</v>
          </cell>
          <cell r="AQ29">
            <v>0</v>
          </cell>
          <cell r="AR29">
            <v>0</v>
          </cell>
          <cell r="AS29">
            <v>512276</v>
          </cell>
          <cell r="AT29">
            <v>0</v>
          </cell>
          <cell r="AU29">
            <v>-1043615</v>
          </cell>
          <cell r="AV29">
            <v>0</v>
          </cell>
          <cell r="AW29">
            <v>14865</v>
          </cell>
          <cell r="AX29">
            <v>238000</v>
          </cell>
          <cell r="AY29">
            <v>-25086</v>
          </cell>
          <cell r="AZ29">
            <v>515000</v>
          </cell>
          <cell r="BA29">
            <v>0</v>
          </cell>
          <cell r="BB29">
            <v>0</v>
          </cell>
          <cell r="BC29">
            <v>0</v>
          </cell>
          <cell r="BD29">
            <v>-1801</v>
          </cell>
          <cell r="BE29">
            <v>0</v>
          </cell>
          <cell r="BF29">
            <v>0</v>
          </cell>
          <cell r="BG29">
            <v>0</v>
          </cell>
          <cell r="BH29">
            <v>0</v>
          </cell>
          <cell r="BI29">
            <v>0</v>
          </cell>
          <cell r="BJ29">
            <v>-76548</v>
          </cell>
          <cell r="BK29">
            <v>0</v>
          </cell>
          <cell r="BL29">
            <v>93538</v>
          </cell>
          <cell r="BM29">
            <v>0</v>
          </cell>
          <cell r="BN29">
            <v>0</v>
          </cell>
          <cell r="BO29">
            <v>0</v>
          </cell>
          <cell r="BP29">
            <v>-7617</v>
          </cell>
          <cell r="BQ29">
            <v>0</v>
          </cell>
          <cell r="BR29">
            <v>2644284.1199999992</v>
          </cell>
        </row>
        <row r="31">
          <cell r="A31" t="str">
            <v>Comprehensive Income (Loss)</v>
          </cell>
          <cell r="B31">
            <v>4121866.5299999975</v>
          </cell>
          <cell r="C31">
            <v>106655.60999999987</v>
          </cell>
          <cell r="D31">
            <v>1528118.3099999875</v>
          </cell>
          <cell r="E31">
            <v>1886423.1400000025</v>
          </cell>
          <cell r="F31">
            <v>4472792.3199999696</v>
          </cell>
          <cell r="G31">
            <v>3470202.0500000007</v>
          </cell>
          <cell r="H31">
            <v>182448.00000000006</v>
          </cell>
          <cell r="I31">
            <v>24036.550000000279</v>
          </cell>
          <cell r="J31">
            <v>864364.53</v>
          </cell>
          <cell r="K31">
            <v>126213.6599999998</v>
          </cell>
          <cell r="L31">
            <v>762151.31000000075</v>
          </cell>
          <cell r="M31">
            <v>6778648.3500000145</v>
          </cell>
          <cell r="N31">
            <v>22428195.83299987</v>
          </cell>
          <cell r="O31">
            <v>1915121.4899999937</v>
          </cell>
          <cell r="P31">
            <v>10277771.190000013</v>
          </cell>
          <cell r="Q31">
            <v>1081502.2799999949</v>
          </cell>
          <cell r="R31">
            <v>118886.99000000092</v>
          </cell>
          <cell r="S31">
            <v>2465512.2798999967</v>
          </cell>
          <cell r="T31">
            <v>1713035.3000000073</v>
          </cell>
          <cell r="U31">
            <v>37386.069999995409</v>
          </cell>
          <cell r="V31">
            <v>9284430.4499999918</v>
          </cell>
          <cell r="W31">
            <v>428641.02999999654</v>
          </cell>
          <cell r="X31">
            <v>5904957.3000000007</v>
          </cell>
          <cell r="Y31">
            <v>1350087.0999999812</v>
          </cell>
          <cell r="Z31">
            <v>80205.649999999659</v>
          </cell>
          <cell r="AA31">
            <v>19254369.729999967</v>
          </cell>
          <cell r="AB31">
            <v>52974.050000000163</v>
          </cell>
          <cell r="AC31">
            <v>467870.91000000201</v>
          </cell>
          <cell r="AD31">
            <v>14533167.89000003</v>
          </cell>
          <cell r="AE31">
            <v>270549611.20000005</v>
          </cell>
          <cell r="AF31">
            <v>34345146.159999967</v>
          </cell>
          <cell r="AG31">
            <v>651578.47000000253</v>
          </cell>
          <cell r="AH31">
            <v>270641</v>
          </cell>
          <cell r="AI31">
            <v>2131735</v>
          </cell>
          <cell r="AJ31">
            <v>10488255.569999978</v>
          </cell>
          <cell r="AK31">
            <v>502140.60000000522</v>
          </cell>
          <cell r="AL31">
            <v>1681099.6000000015</v>
          </cell>
          <cell r="AM31">
            <v>12172580.860000083</v>
          </cell>
          <cell r="AN31">
            <v>506772.96000000276</v>
          </cell>
          <cell r="AO31">
            <v>2953013</v>
          </cell>
          <cell r="AP31">
            <v>3104758.0500000077</v>
          </cell>
          <cell r="AQ31">
            <v>5157562.75</v>
          </cell>
          <cell r="AR31">
            <v>1008995.5100000007</v>
          </cell>
          <cell r="AS31">
            <v>4353629.4099999983</v>
          </cell>
          <cell r="AT31">
            <v>130131.42000000225</v>
          </cell>
          <cell r="AU31">
            <v>6812872.580000001</v>
          </cell>
          <cell r="AV31">
            <v>742838.53999999724</v>
          </cell>
          <cell r="AW31">
            <v>1568705</v>
          </cell>
          <cell r="AX31">
            <v>4924114.4499999657</v>
          </cell>
          <cell r="AY31">
            <v>62576.250000000931</v>
          </cell>
          <cell r="AZ31">
            <v>2125663.0499999942</v>
          </cell>
          <cell r="BA31">
            <v>34173434.209999755</v>
          </cell>
          <cell r="BB31">
            <v>-320439.03999999911</v>
          </cell>
          <cell r="BC31">
            <v>-39938.050000001676</v>
          </cell>
          <cell r="BD31">
            <v>90261.269999998622</v>
          </cell>
          <cell r="BE31">
            <v>155327.70000000088</v>
          </cell>
          <cell r="BF31">
            <v>1534362.3500000052</v>
          </cell>
          <cell r="BG31">
            <v>662108.5100000113</v>
          </cell>
          <cell r="BH31">
            <v>483191.47000000381</v>
          </cell>
          <cell r="BI31">
            <v>177744793.08000052</v>
          </cell>
          <cell r="BJ31">
            <v>10976428</v>
          </cell>
          <cell r="BK31">
            <v>536065.84000000032</v>
          </cell>
          <cell r="BL31">
            <v>9077232</v>
          </cell>
          <cell r="BM31">
            <v>988135.08000000566</v>
          </cell>
          <cell r="BN31">
            <v>423664.05000000028</v>
          </cell>
          <cell r="BO31">
            <v>144583</v>
          </cell>
          <cell r="BP31">
            <v>1933270</v>
          </cell>
          <cell r="BQ31">
            <v>3638502.3999999855</v>
          </cell>
          <cell r="BR31">
            <v>724163439.20290005</v>
          </cell>
        </row>
      </sheetData>
      <sheetData sheetId="9"/>
      <sheetData sheetId="10">
        <row r="1">
          <cell r="A1" t="str">
            <v xml:space="preserve">General StatisticsFor the year ended December 31                    </v>
          </cell>
          <cell r="B1" t="str">
            <v>Algoma Power Inc.</v>
          </cell>
          <cell r="C1" t="str">
            <v>Atikokan Hydro Inc.</v>
          </cell>
          <cell r="D1" t="str">
            <v>Bluewater Power Distribution Corporation</v>
          </cell>
          <cell r="E1" t="str">
            <v>Brantford Power Inc.</v>
          </cell>
          <cell r="F1" t="str">
            <v>Burlington Hydro Inc.</v>
          </cell>
          <cell r="G1" t="str">
            <v>Canadian Niagara Power Inc.</v>
          </cell>
          <cell r="H1" t="str">
            <v>Centre Wellington Hydro Ltd.</v>
          </cell>
          <cell r="I1" t="str">
            <v>Chapleau Public Utilities Corporation</v>
          </cell>
          <cell r="J1" t="str">
            <v>COLLUS PowerStream Corp.</v>
          </cell>
          <cell r="K1" t="str">
            <v>Cooperative Hydro Embrun Inc.</v>
          </cell>
          <cell r="L1" t="str">
            <v>E.L.K. Energy Inc.</v>
          </cell>
          <cell r="M1" t="str">
            <v>Energy+ Inc.</v>
          </cell>
          <cell r="N1" t="str">
            <v>Enersource Hydro Mississauga Inc.</v>
          </cell>
          <cell r="O1" t="str">
            <v>Entegrus Powerlines Inc.</v>
          </cell>
          <cell r="P1" t="str">
            <v>EnWin Utilities Ltd.</v>
          </cell>
          <cell r="Q1" t="str">
            <v>Erie Thames Powerlines Corporation</v>
          </cell>
          <cell r="R1" t="str">
            <v>Espanola Regional Hydro Distribution Corporation</v>
          </cell>
          <cell r="S1" t="str">
            <v>Essex Powerlines Corporation</v>
          </cell>
          <cell r="T1" t="str">
            <v>Festival Hydro Inc.</v>
          </cell>
          <cell r="U1" t="str">
            <v>Fort Frances Power Corporation</v>
          </cell>
          <cell r="V1" t="str">
            <v>Greater Sudbury Hydro Inc.</v>
          </cell>
          <cell r="W1" t="str">
            <v>Grimsby Power Incorporated</v>
          </cell>
          <cell r="X1" t="str">
            <v>Guelph Hydro Electric Systems Inc.</v>
          </cell>
          <cell r="Y1" t="str">
            <v>Halton Hills Hydro Inc.</v>
          </cell>
          <cell r="Z1" t="str">
            <v>Hearst Power Distribution Company Limited</v>
          </cell>
          <cell r="AA1" t="str">
            <v>Horizon Utilities Corporation</v>
          </cell>
          <cell r="AB1" t="str">
            <v>Hydro 2000 Inc.</v>
          </cell>
          <cell r="AC1" t="str">
            <v>Hydro Hawkesbury Inc.</v>
          </cell>
          <cell r="AD1" t="str">
            <v>Hydro One Brampton Networks Inc.</v>
          </cell>
          <cell r="AE1" t="str">
            <v>Hydro One Networks Inc.</v>
          </cell>
          <cell r="AF1" t="str">
            <v>Hydro Ottawa Limited</v>
          </cell>
          <cell r="AG1" t="str">
            <v>Innpower Corporation</v>
          </cell>
          <cell r="AH1" t="str">
            <v>Kenora Hydro Electric Corporation Ltd.</v>
          </cell>
          <cell r="AI1" t="str">
            <v>Kingston Hydro Corporation</v>
          </cell>
          <cell r="AJ1" t="str">
            <v>Kitchener-Wilmot Hydro Inc.</v>
          </cell>
          <cell r="AK1" t="str">
            <v>Lakefront Utilities Inc.</v>
          </cell>
          <cell r="AL1" t="str">
            <v>Lakeland Power Distribution Ltd.</v>
          </cell>
          <cell r="AM1" t="str">
            <v>London Hydro Inc.</v>
          </cell>
          <cell r="AN1" t="str">
            <v>Midland Power Utility Corporation</v>
          </cell>
          <cell r="AO1" t="str">
            <v>Milton Hydro Distribution Inc.</v>
          </cell>
          <cell r="AP1" t="str">
            <v>Newmarket-Tay Power Distribution Ltd.</v>
          </cell>
          <cell r="AQ1" t="str">
            <v>Niagara Peninsula Energy Inc.</v>
          </cell>
          <cell r="AR1" t="str">
            <v>Niagara-on-the-Lake Hydro Inc.</v>
          </cell>
          <cell r="AS1" t="str">
            <v>North Bay Hydro Distribution Limited</v>
          </cell>
          <cell r="AT1" t="str">
            <v>Northern Ontario Wires Inc.</v>
          </cell>
          <cell r="AU1" t="str">
            <v>Oakville Hydro Electricity Distribution Inc.</v>
          </cell>
          <cell r="AV1" t="str">
            <v>Orangeville Hydro Limited</v>
          </cell>
          <cell r="AW1" t="str">
            <v>Orillia Power Distribution Corporation</v>
          </cell>
          <cell r="AX1" t="str">
            <v>Oshawa PUC Networks Inc.</v>
          </cell>
          <cell r="AY1" t="str">
            <v>Ottawa River Power Corporation</v>
          </cell>
          <cell r="AZ1" t="str">
            <v>Peterborough Distribution Incorporated</v>
          </cell>
          <cell r="BA1" t="str">
            <v>PowerStream Inc.</v>
          </cell>
          <cell r="BB1" t="str">
            <v>PUC Distribution Inc.</v>
          </cell>
          <cell r="BC1" t="str">
            <v>Renfrew Hydro Inc.</v>
          </cell>
          <cell r="BD1" t="str">
            <v>Rideau St. Lawrence Distribution Inc.</v>
          </cell>
          <cell r="BE1" t="str">
            <v>Sioux Lookout Hydro Inc.</v>
          </cell>
          <cell r="BF1" t="str">
            <v>St. Thomas Energy Inc.</v>
          </cell>
          <cell r="BG1" t="str">
            <v>Thunder Bay Hydro Electricity Distribution Inc.</v>
          </cell>
          <cell r="BH1" t="str">
            <v>Tillsonburg Hydro Inc.</v>
          </cell>
          <cell r="BI1" t="str">
            <v>Toronto Hydro-Electric System Limited</v>
          </cell>
          <cell r="BJ1" t="str">
            <v>Veridian Connections Inc.</v>
          </cell>
          <cell r="BK1" t="str">
            <v>Wasaga Distribution Inc.</v>
          </cell>
          <cell r="BL1" t="str">
            <v>Waterloo North Hydro Inc.</v>
          </cell>
          <cell r="BM1" t="str">
            <v>Welland Hydro-Electric System Corp.</v>
          </cell>
          <cell r="BN1" t="str">
            <v>Wellington North Power Inc.</v>
          </cell>
          <cell r="BO1" t="str">
            <v>West Coast Huron Energy Inc.</v>
          </cell>
          <cell r="BP1" t="str">
            <v>Westario Power Inc.</v>
          </cell>
          <cell r="BQ1" t="str">
            <v>Whitby Hydro Electric Corporation</v>
          </cell>
        </row>
        <row r="4">
          <cell r="A4" t="str">
            <v>Residential</v>
          </cell>
          <cell r="B4">
            <v>11665</v>
          </cell>
          <cell r="C4">
            <v>1392</v>
          </cell>
          <cell r="D4">
            <v>32491</v>
          </cell>
          <cell r="E4">
            <v>36155</v>
          </cell>
          <cell r="F4">
            <v>60468</v>
          </cell>
          <cell r="G4">
            <v>26092</v>
          </cell>
          <cell r="H4">
            <v>6006</v>
          </cell>
          <cell r="I4">
            <v>1072</v>
          </cell>
          <cell r="J4">
            <v>14984</v>
          </cell>
          <cell r="K4">
            <v>1965</v>
          </cell>
          <cell r="L4">
            <v>10312</v>
          </cell>
          <cell r="M4">
            <v>56989</v>
          </cell>
          <cell r="N4">
            <v>182224</v>
          </cell>
          <cell r="O4">
            <v>36478</v>
          </cell>
          <cell r="P4">
            <v>79048</v>
          </cell>
          <cell r="Q4">
            <v>16671</v>
          </cell>
          <cell r="R4">
            <v>2861</v>
          </cell>
          <cell r="S4">
            <v>27131</v>
          </cell>
          <cell r="T4">
            <v>18534</v>
          </cell>
          <cell r="U4">
            <v>3269</v>
          </cell>
          <cell r="V4">
            <v>42800</v>
          </cell>
          <cell r="W4">
            <v>10285</v>
          </cell>
          <cell r="X4">
            <v>49793</v>
          </cell>
          <cell r="Y4">
            <v>20057</v>
          </cell>
          <cell r="Z4">
            <v>2257</v>
          </cell>
          <cell r="AA4">
            <v>223311</v>
          </cell>
          <cell r="AB4">
            <v>1163</v>
          </cell>
          <cell r="AC4">
            <v>4834</v>
          </cell>
          <cell r="AD4">
            <v>146977</v>
          </cell>
          <cell r="AE4">
            <v>1186723</v>
          </cell>
          <cell r="AF4">
            <v>299909</v>
          </cell>
          <cell r="AG4">
            <v>15344</v>
          </cell>
          <cell r="AH4">
            <v>4753</v>
          </cell>
          <cell r="AI4">
            <v>24258</v>
          </cell>
          <cell r="AJ4">
            <v>85248</v>
          </cell>
          <cell r="AK4">
            <v>9001</v>
          </cell>
          <cell r="AL4">
            <v>11119</v>
          </cell>
          <cell r="AM4">
            <v>141323</v>
          </cell>
          <cell r="AN4">
            <v>6347</v>
          </cell>
          <cell r="AO4">
            <v>33867</v>
          </cell>
          <cell r="AP4">
            <v>31945</v>
          </cell>
          <cell r="AQ4">
            <v>48400</v>
          </cell>
          <cell r="AR4">
            <v>7772</v>
          </cell>
          <cell r="AS4">
            <v>21152</v>
          </cell>
          <cell r="AT4">
            <v>5208</v>
          </cell>
          <cell r="AU4">
            <v>62501</v>
          </cell>
          <cell r="AV4">
            <v>10730</v>
          </cell>
          <cell r="AW4">
            <v>12028</v>
          </cell>
          <cell r="AX4">
            <v>52273</v>
          </cell>
          <cell r="AY4">
            <v>9550</v>
          </cell>
          <cell r="AZ4">
            <v>32763</v>
          </cell>
          <cell r="BA4">
            <v>325741</v>
          </cell>
          <cell r="BB4">
            <v>29708</v>
          </cell>
          <cell r="BC4">
            <v>3780</v>
          </cell>
          <cell r="BD4">
            <v>5071</v>
          </cell>
          <cell r="BE4">
            <v>2348</v>
          </cell>
          <cell r="BF4">
            <v>15389</v>
          </cell>
          <cell r="BG4">
            <v>45602</v>
          </cell>
          <cell r="BH4">
            <v>6346</v>
          </cell>
          <cell r="BI4">
            <v>679897</v>
          </cell>
          <cell r="BJ4">
            <v>109483</v>
          </cell>
          <cell r="BK4">
            <v>12504</v>
          </cell>
          <cell r="BL4">
            <v>49767</v>
          </cell>
          <cell r="BM4">
            <v>20907</v>
          </cell>
          <cell r="BN4">
            <v>3232</v>
          </cell>
          <cell r="BO4">
            <v>3305</v>
          </cell>
          <cell r="BP4">
            <v>20385</v>
          </cell>
          <cell r="BQ4">
            <v>39588</v>
          </cell>
        </row>
        <row r="5">
          <cell r="A5" t="str">
            <v>General Service &lt; 50 kW</v>
          </cell>
          <cell r="B5">
            <v>0</v>
          </cell>
          <cell r="C5">
            <v>229</v>
          </cell>
          <cell r="D5">
            <v>3472</v>
          </cell>
          <cell r="E5">
            <v>2793</v>
          </cell>
          <cell r="F5">
            <v>5323</v>
          </cell>
          <cell r="G5">
            <v>2512</v>
          </cell>
          <cell r="H5">
            <v>743</v>
          </cell>
          <cell r="I5">
            <v>162</v>
          </cell>
          <cell r="J5">
            <v>1753</v>
          </cell>
          <cell r="K5">
            <v>161</v>
          </cell>
          <cell r="L5">
            <v>1381</v>
          </cell>
          <cell r="M5">
            <v>6297</v>
          </cell>
          <cell r="N5">
            <v>18025</v>
          </cell>
          <cell r="O5">
            <v>3907</v>
          </cell>
          <cell r="P5">
            <v>7590</v>
          </cell>
          <cell r="Q5">
            <v>1806</v>
          </cell>
          <cell r="R5">
            <v>393</v>
          </cell>
          <cell r="S5">
            <v>1944</v>
          </cell>
          <cell r="T5">
            <v>2072</v>
          </cell>
          <cell r="U5">
            <v>430</v>
          </cell>
          <cell r="V5">
            <v>4047</v>
          </cell>
          <cell r="W5">
            <v>773</v>
          </cell>
          <cell r="X5">
            <v>4033</v>
          </cell>
          <cell r="Y5">
            <v>1844</v>
          </cell>
          <cell r="Z5">
            <v>402</v>
          </cell>
          <cell r="AA5">
            <v>18774</v>
          </cell>
          <cell r="AB5">
            <v>152</v>
          </cell>
          <cell r="AC5">
            <v>610</v>
          </cell>
          <cell r="AD5">
            <v>9989</v>
          </cell>
          <cell r="AE5">
            <v>111671</v>
          </cell>
          <cell r="AF5">
            <v>24689</v>
          </cell>
          <cell r="AG5">
            <v>1022</v>
          </cell>
          <cell r="AH5">
            <v>751</v>
          </cell>
          <cell r="AI5">
            <v>2956</v>
          </cell>
          <cell r="AJ5">
            <v>7875</v>
          </cell>
          <cell r="AK5">
            <v>1085</v>
          </cell>
          <cell r="AL5">
            <v>2138</v>
          </cell>
          <cell r="AM5">
            <v>12556</v>
          </cell>
          <cell r="AN5">
            <v>775</v>
          </cell>
          <cell r="AO5">
            <v>2629</v>
          </cell>
          <cell r="AP5">
            <v>3147</v>
          </cell>
          <cell r="AQ5">
            <v>4457</v>
          </cell>
          <cell r="AR5">
            <v>1333</v>
          </cell>
          <cell r="AS5">
            <v>2658</v>
          </cell>
          <cell r="AT5">
            <v>739</v>
          </cell>
          <cell r="AU5">
            <v>5371</v>
          </cell>
          <cell r="AV5">
            <v>1129</v>
          </cell>
          <cell r="AW5">
            <v>1382</v>
          </cell>
          <cell r="AX5">
            <v>4006</v>
          </cell>
          <cell r="AY5">
            <v>1294</v>
          </cell>
          <cell r="AZ5">
            <v>3446</v>
          </cell>
          <cell r="BA5">
            <v>32397</v>
          </cell>
          <cell r="BB5">
            <v>3419</v>
          </cell>
          <cell r="BC5">
            <v>435</v>
          </cell>
          <cell r="BD5">
            <v>740</v>
          </cell>
          <cell r="BE5">
            <v>394</v>
          </cell>
          <cell r="BF5">
            <v>1722</v>
          </cell>
          <cell r="BG5">
            <v>4679</v>
          </cell>
          <cell r="BH5">
            <v>656</v>
          </cell>
          <cell r="BI5">
            <v>71207</v>
          </cell>
          <cell r="BJ5">
            <v>8991</v>
          </cell>
          <cell r="BK5">
            <v>806</v>
          </cell>
          <cell r="BL5">
            <v>5730</v>
          </cell>
          <cell r="BM5">
            <v>1783</v>
          </cell>
          <cell r="BN5">
            <v>467</v>
          </cell>
          <cell r="BO5">
            <v>474</v>
          </cell>
          <cell r="BP5">
            <v>2550</v>
          </cell>
          <cell r="BQ5">
            <v>2220</v>
          </cell>
        </row>
        <row r="6">
          <cell r="A6" t="str">
            <v>General Service &gt;= 50 kW</v>
          </cell>
          <cell r="B6">
            <v>42</v>
          </cell>
          <cell r="C6">
            <v>18</v>
          </cell>
          <cell r="D6">
            <v>388</v>
          </cell>
          <cell r="E6">
            <v>457</v>
          </cell>
          <cell r="F6">
            <v>1033</v>
          </cell>
          <cell r="G6">
            <v>204</v>
          </cell>
          <cell r="H6">
            <v>49</v>
          </cell>
          <cell r="I6">
            <v>13</v>
          </cell>
          <cell r="J6">
            <v>127</v>
          </cell>
          <cell r="K6">
            <v>11</v>
          </cell>
          <cell r="L6">
            <v>101</v>
          </cell>
          <cell r="M6">
            <v>835</v>
          </cell>
          <cell r="N6">
            <v>4470</v>
          </cell>
          <cell r="O6">
            <v>446</v>
          </cell>
          <cell r="P6">
            <v>1254</v>
          </cell>
          <cell r="Q6">
            <v>159</v>
          </cell>
          <cell r="R6">
            <v>29</v>
          </cell>
          <cell r="S6">
            <v>252</v>
          </cell>
          <cell r="T6">
            <v>218</v>
          </cell>
          <cell r="U6">
            <v>47</v>
          </cell>
          <cell r="V6">
            <v>515</v>
          </cell>
          <cell r="W6">
            <v>111</v>
          </cell>
          <cell r="X6">
            <v>583</v>
          </cell>
          <cell r="Y6">
            <v>211</v>
          </cell>
          <cell r="Z6">
            <v>45</v>
          </cell>
          <cell r="AA6">
            <v>2017</v>
          </cell>
          <cell r="AB6">
            <v>12</v>
          </cell>
          <cell r="AC6">
            <v>87</v>
          </cell>
          <cell r="AD6">
            <v>1658</v>
          </cell>
          <cell r="AE6">
            <v>8571</v>
          </cell>
          <cell r="AF6">
            <v>3271</v>
          </cell>
          <cell r="AG6">
            <v>77</v>
          </cell>
          <cell r="AH6">
            <v>59</v>
          </cell>
          <cell r="AI6">
            <v>324</v>
          </cell>
          <cell r="AJ6">
            <v>934</v>
          </cell>
          <cell r="AK6">
            <v>128</v>
          </cell>
          <cell r="AL6">
            <v>149</v>
          </cell>
          <cell r="AM6">
            <v>1616</v>
          </cell>
          <cell r="AN6">
            <v>109</v>
          </cell>
          <cell r="AO6">
            <v>319</v>
          </cell>
          <cell r="AP6">
            <v>373</v>
          </cell>
          <cell r="AQ6">
            <v>760</v>
          </cell>
          <cell r="AR6">
            <v>129</v>
          </cell>
          <cell r="AS6">
            <v>260</v>
          </cell>
          <cell r="AT6">
            <v>60</v>
          </cell>
          <cell r="AU6">
            <v>938</v>
          </cell>
          <cell r="AV6">
            <v>141</v>
          </cell>
          <cell r="AW6">
            <v>160</v>
          </cell>
          <cell r="AX6">
            <v>531</v>
          </cell>
          <cell r="AY6">
            <v>150</v>
          </cell>
          <cell r="AZ6">
            <v>363</v>
          </cell>
          <cell r="BA6">
            <v>6365</v>
          </cell>
          <cell r="BB6">
            <v>360</v>
          </cell>
          <cell r="BC6">
            <v>60</v>
          </cell>
          <cell r="BD6">
            <v>64</v>
          </cell>
          <cell r="BE6">
            <v>48</v>
          </cell>
          <cell r="BF6">
            <v>135</v>
          </cell>
          <cell r="BG6">
            <v>488</v>
          </cell>
          <cell r="BH6">
            <v>93</v>
          </cell>
          <cell r="BI6">
            <v>10770</v>
          </cell>
          <cell r="BJ6">
            <v>1056</v>
          </cell>
          <cell r="BK6">
            <v>36</v>
          </cell>
          <cell r="BL6">
            <v>732</v>
          </cell>
          <cell r="BM6">
            <v>163</v>
          </cell>
          <cell r="BN6">
            <v>40</v>
          </cell>
          <cell r="BO6">
            <v>49</v>
          </cell>
          <cell r="BP6">
            <v>233</v>
          </cell>
          <cell r="BQ6">
            <v>370</v>
          </cell>
        </row>
        <row r="7">
          <cell r="A7" t="str">
            <v>Large User</v>
          </cell>
          <cell r="B7">
            <v>0</v>
          </cell>
          <cell r="C7">
            <v>0</v>
          </cell>
          <cell r="D7">
            <v>4</v>
          </cell>
          <cell r="E7">
            <v>0</v>
          </cell>
          <cell r="F7">
            <v>0</v>
          </cell>
          <cell r="G7">
            <v>0</v>
          </cell>
          <cell r="H7">
            <v>0</v>
          </cell>
          <cell r="I7">
            <v>0</v>
          </cell>
          <cell r="J7">
            <v>0</v>
          </cell>
          <cell r="K7">
            <v>0</v>
          </cell>
          <cell r="L7">
            <v>0</v>
          </cell>
          <cell r="M7">
            <v>2</v>
          </cell>
          <cell r="N7">
            <v>9</v>
          </cell>
          <cell r="O7">
            <v>2</v>
          </cell>
          <cell r="P7">
            <v>9</v>
          </cell>
          <cell r="Q7">
            <v>1</v>
          </cell>
          <cell r="R7">
            <v>0</v>
          </cell>
          <cell r="S7">
            <v>0</v>
          </cell>
          <cell r="T7">
            <v>1</v>
          </cell>
          <cell r="U7">
            <v>0</v>
          </cell>
          <cell r="V7">
            <v>0</v>
          </cell>
          <cell r="W7">
            <v>0</v>
          </cell>
          <cell r="X7">
            <v>5</v>
          </cell>
          <cell r="Y7">
            <v>0</v>
          </cell>
          <cell r="Z7">
            <v>0</v>
          </cell>
          <cell r="AA7">
            <v>12</v>
          </cell>
          <cell r="AB7">
            <v>0</v>
          </cell>
          <cell r="AC7">
            <v>0</v>
          </cell>
          <cell r="AD7">
            <v>6</v>
          </cell>
          <cell r="AE7">
            <v>0</v>
          </cell>
          <cell r="AF7">
            <v>11</v>
          </cell>
          <cell r="AG7">
            <v>0</v>
          </cell>
          <cell r="AH7">
            <v>0</v>
          </cell>
          <cell r="AI7">
            <v>3</v>
          </cell>
          <cell r="AJ7">
            <v>1</v>
          </cell>
          <cell r="AK7">
            <v>0</v>
          </cell>
          <cell r="AL7">
            <v>0</v>
          </cell>
          <cell r="AM7">
            <v>1</v>
          </cell>
          <cell r="AN7">
            <v>0</v>
          </cell>
          <cell r="AO7">
            <v>3</v>
          </cell>
          <cell r="AP7">
            <v>0</v>
          </cell>
          <cell r="AQ7">
            <v>0</v>
          </cell>
          <cell r="AR7">
            <v>0</v>
          </cell>
          <cell r="AS7">
            <v>0</v>
          </cell>
          <cell r="AT7">
            <v>0</v>
          </cell>
          <cell r="AU7">
            <v>0</v>
          </cell>
          <cell r="AV7">
            <v>0</v>
          </cell>
          <cell r="AW7">
            <v>0</v>
          </cell>
          <cell r="AX7">
            <v>1</v>
          </cell>
          <cell r="AY7">
            <v>0</v>
          </cell>
          <cell r="AZ7">
            <v>2</v>
          </cell>
          <cell r="BA7">
            <v>2</v>
          </cell>
          <cell r="BB7">
            <v>0</v>
          </cell>
          <cell r="BC7">
            <v>0</v>
          </cell>
          <cell r="BD7">
            <v>0</v>
          </cell>
          <cell r="BE7">
            <v>0</v>
          </cell>
          <cell r="BF7">
            <v>0</v>
          </cell>
          <cell r="BG7">
            <v>0</v>
          </cell>
          <cell r="BH7">
            <v>0</v>
          </cell>
          <cell r="BI7">
            <v>46</v>
          </cell>
          <cell r="BJ7">
            <v>3</v>
          </cell>
          <cell r="BK7">
            <v>0</v>
          </cell>
          <cell r="BL7">
            <v>1</v>
          </cell>
          <cell r="BM7">
            <v>0</v>
          </cell>
          <cell r="BN7">
            <v>0</v>
          </cell>
          <cell r="BO7">
            <v>1</v>
          </cell>
          <cell r="BP7">
            <v>0</v>
          </cell>
          <cell r="BQ7">
            <v>0</v>
          </cell>
        </row>
        <row r="8">
          <cell r="A8" t="str">
            <v>Sub Transmission Customers</v>
          </cell>
          <cell r="B8">
            <v>0</v>
          </cell>
          <cell r="C8">
            <v>0</v>
          </cell>
          <cell r="D8">
            <v>0</v>
          </cell>
          <cell r="E8">
            <v>0</v>
          </cell>
          <cell r="F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cell r="W8">
            <v>0</v>
          </cell>
          <cell r="X8">
            <v>0</v>
          </cell>
          <cell r="Y8">
            <v>0</v>
          </cell>
          <cell r="Z8">
            <v>0</v>
          </cell>
          <cell r="AA8">
            <v>0</v>
          </cell>
          <cell r="AB8">
            <v>0</v>
          </cell>
          <cell r="AC8">
            <v>0</v>
          </cell>
          <cell r="AD8">
            <v>0</v>
          </cell>
          <cell r="AE8">
            <v>579</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0</v>
          </cell>
          <cell r="BD8">
            <v>0</v>
          </cell>
          <cell r="BE8">
            <v>0</v>
          </cell>
          <cell r="BF8">
            <v>0</v>
          </cell>
          <cell r="BG8">
            <v>0</v>
          </cell>
          <cell r="BH8">
            <v>0</v>
          </cell>
          <cell r="BI8">
            <v>0</v>
          </cell>
          <cell r="BJ8">
            <v>0</v>
          </cell>
          <cell r="BK8">
            <v>0</v>
          </cell>
          <cell r="BL8">
            <v>0</v>
          </cell>
          <cell r="BM8">
            <v>0</v>
          </cell>
          <cell r="BN8">
            <v>0</v>
          </cell>
          <cell r="BO8">
            <v>0</v>
          </cell>
          <cell r="BP8">
            <v>0</v>
          </cell>
          <cell r="BQ8">
            <v>0</v>
          </cell>
        </row>
        <row r="9">
          <cell r="A9" t="str">
            <v>Total Customers</v>
          </cell>
          <cell r="B9">
            <v>11707</v>
          </cell>
          <cell r="C9">
            <v>1639</v>
          </cell>
          <cell r="D9">
            <v>36355</v>
          </cell>
          <cell r="E9">
            <v>39405</v>
          </cell>
          <cell r="F9">
            <v>66824</v>
          </cell>
          <cell r="G9">
            <v>28808</v>
          </cell>
          <cell r="H9">
            <v>6798</v>
          </cell>
          <cell r="I9">
            <v>1247</v>
          </cell>
          <cell r="J9">
            <v>16864</v>
          </cell>
          <cell r="K9">
            <v>2137</v>
          </cell>
          <cell r="L9">
            <v>11794</v>
          </cell>
          <cell r="M9">
            <v>64123</v>
          </cell>
          <cell r="N9">
            <v>204728</v>
          </cell>
          <cell r="O9">
            <v>40833</v>
          </cell>
          <cell r="P9">
            <v>87901</v>
          </cell>
          <cell r="Q9">
            <v>18637</v>
          </cell>
          <cell r="R9">
            <v>3283</v>
          </cell>
          <cell r="S9">
            <v>29327</v>
          </cell>
          <cell r="T9">
            <v>20825</v>
          </cell>
          <cell r="U9">
            <v>3746</v>
          </cell>
          <cell r="V9">
            <v>47362</v>
          </cell>
          <cell r="W9">
            <v>11169</v>
          </cell>
          <cell r="X9">
            <v>54414</v>
          </cell>
          <cell r="Y9">
            <v>22112</v>
          </cell>
          <cell r="Z9">
            <v>2704</v>
          </cell>
          <cell r="AA9">
            <v>244114</v>
          </cell>
          <cell r="AB9">
            <v>1327</v>
          </cell>
          <cell r="AC9">
            <v>5531</v>
          </cell>
          <cell r="AD9">
            <v>158630</v>
          </cell>
          <cell r="AE9">
            <v>1307544</v>
          </cell>
          <cell r="AF9">
            <v>327880</v>
          </cell>
          <cell r="AG9">
            <v>16443</v>
          </cell>
          <cell r="AH9">
            <v>5563</v>
          </cell>
          <cell r="AI9">
            <v>27541</v>
          </cell>
          <cell r="AJ9">
            <v>94058</v>
          </cell>
          <cell r="AK9">
            <v>10214</v>
          </cell>
          <cell r="AL9">
            <v>13406</v>
          </cell>
          <cell r="AM9">
            <v>155496</v>
          </cell>
          <cell r="AN9">
            <v>7231</v>
          </cell>
          <cell r="AO9">
            <v>36818</v>
          </cell>
          <cell r="AP9">
            <v>35465</v>
          </cell>
          <cell r="AQ9">
            <v>53617</v>
          </cell>
          <cell r="AR9">
            <v>9234</v>
          </cell>
          <cell r="AS9">
            <v>24070</v>
          </cell>
          <cell r="AT9">
            <v>6007</v>
          </cell>
          <cell r="AU9">
            <v>68810</v>
          </cell>
          <cell r="AV9">
            <v>12000</v>
          </cell>
          <cell r="AW9">
            <v>13570</v>
          </cell>
          <cell r="AX9">
            <v>56811</v>
          </cell>
          <cell r="AY9">
            <v>10994</v>
          </cell>
          <cell r="AZ9">
            <v>36574</v>
          </cell>
          <cell r="BA9">
            <v>364505</v>
          </cell>
          <cell r="BB9">
            <v>33487</v>
          </cell>
          <cell r="BC9">
            <v>4275</v>
          </cell>
          <cell r="BD9">
            <v>5875</v>
          </cell>
          <cell r="BE9">
            <v>2790</v>
          </cell>
          <cell r="BF9">
            <v>17246</v>
          </cell>
          <cell r="BG9">
            <v>50769</v>
          </cell>
          <cell r="BH9">
            <v>7095</v>
          </cell>
          <cell r="BI9">
            <v>761920</v>
          </cell>
          <cell r="BJ9">
            <v>119533</v>
          </cell>
          <cell r="BK9">
            <v>13346</v>
          </cell>
          <cell r="BL9">
            <v>56230</v>
          </cell>
          <cell r="BM9">
            <v>22853</v>
          </cell>
          <cell r="BN9">
            <v>3739</v>
          </cell>
          <cell r="BO9">
            <v>3829</v>
          </cell>
          <cell r="BP9">
            <v>23168</v>
          </cell>
          <cell r="BQ9">
            <v>42178</v>
          </cell>
        </row>
        <row r="11">
          <cell r="A11" t="str">
            <v>Rural Service Area (sq km)</v>
          </cell>
          <cell r="B11">
            <v>14197</v>
          </cell>
          <cell r="C11">
            <v>0</v>
          </cell>
          <cell r="D11">
            <v>109</v>
          </cell>
          <cell r="E11">
            <v>0</v>
          </cell>
          <cell r="F11">
            <v>90</v>
          </cell>
          <cell r="G11">
            <v>284</v>
          </cell>
          <cell r="H11">
            <v>0</v>
          </cell>
          <cell r="I11">
            <v>0</v>
          </cell>
          <cell r="J11">
            <v>0</v>
          </cell>
          <cell r="K11">
            <v>0</v>
          </cell>
          <cell r="L11">
            <v>0</v>
          </cell>
          <cell r="M11">
            <v>458</v>
          </cell>
          <cell r="N11">
            <v>0</v>
          </cell>
          <cell r="O11">
            <v>0</v>
          </cell>
          <cell r="P11">
            <v>0</v>
          </cell>
          <cell r="Q11">
            <v>1830</v>
          </cell>
          <cell r="R11">
            <v>76</v>
          </cell>
          <cell r="S11">
            <v>38</v>
          </cell>
          <cell r="T11">
            <v>0</v>
          </cell>
          <cell r="U11">
            <v>0</v>
          </cell>
          <cell r="V11">
            <v>120</v>
          </cell>
          <cell r="W11">
            <v>50</v>
          </cell>
          <cell r="X11">
            <v>0</v>
          </cell>
          <cell r="Y11">
            <v>255.11</v>
          </cell>
          <cell r="Z11">
            <v>0</v>
          </cell>
          <cell r="AA11">
            <v>88</v>
          </cell>
          <cell r="AB11">
            <v>0</v>
          </cell>
          <cell r="AC11">
            <v>0</v>
          </cell>
          <cell r="AD11">
            <v>0</v>
          </cell>
          <cell r="AE11">
            <v>961888</v>
          </cell>
          <cell r="AF11">
            <v>662</v>
          </cell>
          <cell r="AG11">
            <v>217</v>
          </cell>
          <cell r="AH11">
            <v>0</v>
          </cell>
          <cell r="AI11">
            <v>0</v>
          </cell>
          <cell r="AJ11">
            <v>284</v>
          </cell>
          <cell r="AK11">
            <v>0</v>
          </cell>
          <cell r="AL11">
            <v>144</v>
          </cell>
          <cell r="AM11">
            <v>260.3</v>
          </cell>
          <cell r="AN11">
            <v>0</v>
          </cell>
          <cell r="AO11">
            <v>315</v>
          </cell>
          <cell r="AP11">
            <v>3</v>
          </cell>
          <cell r="AQ11">
            <v>759</v>
          </cell>
          <cell r="AR11">
            <v>119</v>
          </cell>
          <cell r="AS11">
            <v>279</v>
          </cell>
          <cell r="AT11">
            <v>0</v>
          </cell>
          <cell r="AU11">
            <v>34</v>
          </cell>
          <cell r="AV11">
            <v>0</v>
          </cell>
          <cell r="AW11">
            <v>0</v>
          </cell>
          <cell r="AX11">
            <v>78</v>
          </cell>
          <cell r="AY11">
            <v>0</v>
          </cell>
          <cell r="AZ11">
            <v>0</v>
          </cell>
          <cell r="BA11">
            <v>303.60000000000002</v>
          </cell>
          <cell r="BB11">
            <v>284</v>
          </cell>
          <cell r="BC11">
            <v>0</v>
          </cell>
          <cell r="BD11">
            <v>7</v>
          </cell>
          <cell r="BE11">
            <v>530</v>
          </cell>
          <cell r="BF11">
            <v>0</v>
          </cell>
          <cell r="BG11">
            <v>208</v>
          </cell>
          <cell r="BH11">
            <v>2</v>
          </cell>
          <cell r="BI11">
            <v>0</v>
          </cell>
          <cell r="BJ11">
            <v>386</v>
          </cell>
          <cell r="BK11">
            <v>8</v>
          </cell>
          <cell r="BL11">
            <v>607</v>
          </cell>
          <cell r="BM11">
            <v>0</v>
          </cell>
          <cell r="BN11">
            <v>0</v>
          </cell>
          <cell r="BO11">
            <v>0</v>
          </cell>
          <cell r="BP11">
            <v>0</v>
          </cell>
          <cell r="BQ11">
            <v>64</v>
          </cell>
        </row>
        <row r="12">
          <cell r="A12" t="str">
            <v>Urban Service Area (sq km)</v>
          </cell>
          <cell r="B12">
            <v>3</v>
          </cell>
          <cell r="C12">
            <v>380</v>
          </cell>
          <cell r="D12">
            <v>96</v>
          </cell>
          <cell r="E12">
            <v>74</v>
          </cell>
          <cell r="F12">
            <v>98</v>
          </cell>
          <cell r="G12">
            <v>73</v>
          </cell>
          <cell r="H12">
            <v>10.77</v>
          </cell>
          <cell r="I12">
            <v>2</v>
          </cell>
          <cell r="J12">
            <v>45</v>
          </cell>
          <cell r="K12">
            <v>5</v>
          </cell>
          <cell r="L12">
            <v>22</v>
          </cell>
          <cell r="M12">
            <v>104</v>
          </cell>
          <cell r="N12">
            <v>292</v>
          </cell>
          <cell r="O12">
            <v>96</v>
          </cell>
          <cell r="P12">
            <v>120</v>
          </cell>
          <cell r="Q12">
            <v>57</v>
          </cell>
          <cell r="R12">
            <v>26</v>
          </cell>
          <cell r="S12">
            <v>66</v>
          </cell>
          <cell r="T12">
            <v>45</v>
          </cell>
          <cell r="U12">
            <v>32.200000000000003</v>
          </cell>
          <cell r="V12">
            <v>290</v>
          </cell>
          <cell r="W12">
            <v>19</v>
          </cell>
          <cell r="X12">
            <v>93</v>
          </cell>
          <cell r="Y12">
            <v>25.67</v>
          </cell>
          <cell r="Z12">
            <v>93</v>
          </cell>
          <cell r="AA12">
            <v>342</v>
          </cell>
          <cell r="AB12">
            <v>9</v>
          </cell>
          <cell r="AC12">
            <v>8</v>
          </cell>
          <cell r="AD12">
            <v>269</v>
          </cell>
          <cell r="AE12">
            <v>886</v>
          </cell>
          <cell r="AF12">
            <v>454</v>
          </cell>
          <cell r="AG12">
            <v>75</v>
          </cell>
          <cell r="AH12">
            <v>24</v>
          </cell>
          <cell r="AI12">
            <v>35.700000000000003</v>
          </cell>
          <cell r="AJ12">
            <v>125</v>
          </cell>
          <cell r="AK12">
            <v>27.5</v>
          </cell>
          <cell r="AL12">
            <v>19</v>
          </cell>
          <cell r="AM12">
            <v>162.80000000000001</v>
          </cell>
          <cell r="AN12">
            <v>20</v>
          </cell>
          <cell r="AO12">
            <v>56</v>
          </cell>
          <cell r="AP12">
            <v>71</v>
          </cell>
          <cell r="AQ12">
            <v>68</v>
          </cell>
          <cell r="AR12">
            <v>14</v>
          </cell>
          <cell r="AS12">
            <v>51</v>
          </cell>
          <cell r="AT12">
            <v>28</v>
          </cell>
          <cell r="AU12">
            <v>109</v>
          </cell>
          <cell r="AV12">
            <v>17</v>
          </cell>
          <cell r="AW12">
            <v>27</v>
          </cell>
          <cell r="AX12">
            <v>71</v>
          </cell>
          <cell r="AY12">
            <v>35</v>
          </cell>
          <cell r="AZ12">
            <v>68.3</v>
          </cell>
          <cell r="BA12">
            <v>503</v>
          </cell>
          <cell r="BB12">
            <v>58</v>
          </cell>
          <cell r="BC12">
            <v>13</v>
          </cell>
          <cell r="BD12">
            <v>11</v>
          </cell>
          <cell r="BE12">
            <v>6</v>
          </cell>
          <cell r="BF12">
            <v>32.840000000000003</v>
          </cell>
          <cell r="BG12">
            <v>179</v>
          </cell>
          <cell r="BH12">
            <v>22</v>
          </cell>
          <cell r="BI12">
            <v>630</v>
          </cell>
          <cell r="BJ12">
            <v>253</v>
          </cell>
          <cell r="BK12">
            <v>53</v>
          </cell>
          <cell r="BL12">
            <v>65</v>
          </cell>
          <cell r="BM12">
            <v>81.09</v>
          </cell>
          <cell r="BN12">
            <v>14</v>
          </cell>
          <cell r="BO12">
            <v>8</v>
          </cell>
          <cell r="BP12">
            <v>64</v>
          </cell>
          <cell r="BQ12">
            <v>84</v>
          </cell>
        </row>
        <row r="13">
          <cell r="A13" t="str">
            <v>Total Service Area (sq km)</v>
          </cell>
          <cell r="B13">
            <v>14200</v>
          </cell>
          <cell r="C13">
            <v>380</v>
          </cell>
          <cell r="D13">
            <v>205</v>
          </cell>
          <cell r="E13">
            <v>74</v>
          </cell>
          <cell r="F13">
            <v>188</v>
          </cell>
          <cell r="G13">
            <v>357</v>
          </cell>
          <cell r="H13">
            <v>10.77</v>
          </cell>
          <cell r="I13">
            <v>2</v>
          </cell>
          <cell r="J13">
            <v>45</v>
          </cell>
          <cell r="K13">
            <v>5</v>
          </cell>
          <cell r="L13">
            <v>22</v>
          </cell>
          <cell r="M13">
            <v>562</v>
          </cell>
          <cell r="N13">
            <v>292</v>
          </cell>
          <cell r="O13">
            <v>96</v>
          </cell>
          <cell r="P13">
            <v>120</v>
          </cell>
          <cell r="Q13">
            <v>1887</v>
          </cell>
          <cell r="R13">
            <v>102</v>
          </cell>
          <cell r="S13">
            <v>104</v>
          </cell>
          <cell r="T13">
            <v>45</v>
          </cell>
          <cell r="U13">
            <v>32.200000000000003</v>
          </cell>
          <cell r="V13">
            <v>410</v>
          </cell>
          <cell r="W13">
            <v>69</v>
          </cell>
          <cell r="X13">
            <v>93</v>
          </cell>
          <cell r="Y13">
            <v>280.78000000000003</v>
          </cell>
          <cell r="Z13">
            <v>93</v>
          </cell>
          <cell r="AA13">
            <v>430</v>
          </cell>
          <cell r="AB13">
            <v>9</v>
          </cell>
          <cell r="AC13">
            <v>8</v>
          </cell>
          <cell r="AD13">
            <v>269</v>
          </cell>
          <cell r="AE13">
            <v>962774</v>
          </cell>
          <cell r="AF13">
            <v>1116</v>
          </cell>
          <cell r="AG13">
            <v>292</v>
          </cell>
          <cell r="AH13">
            <v>24</v>
          </cell>
          <cell r="AI13">
            <v>35.700000000000003</v>
          </cell>
          <cell r="AJ13">
            <v>409</v>
          </cell>
          <cell r="AK13">
            <v>27.5</v>
          </cell>
          <cell r="AL13">
            <v>163</v>
          </cell>
          <cell r="AM13">
            <v>423.1</v>
          </cell>
          <cell r="AN13">
            <v>20</v>
          </cell>
          <cell r="AO13">
            <v>371</v>
          </cell>
          <cell r="AP13">
            <v>74</v>
          </cell>
          <cell r="AQ13">
            <v>827</v>
          </cell>
          <cell r="AR13">
            <v>133</v>
          </cell>
          <cell r="AS13">
            <v>330</v>
          </cell>
          <cell r="AT13">
            <v>28</v>
          </cell>
          <cell r="AU13">
            <v>143</v>
          </cell>
          <cell r="AV13">
            <v>17</v>
          </cell>
          <cell r="AW13">
            <v>27</v>
          </cell>
          <cell r="AX13">
            <v>149</v>
          </cell>
          <cell r="AY13">
            <v>35</v>
          </cell>
          <cell r="AZ13">
            <v>68.3</v>
          </cell>
          <cell r="BA13">
            <v>806.6</v>
          </cell>
          <cell r="BB13">
            <v>342</v>
          </cell>
          <cell r="BC13">
            <v>13</v>
          </cell>
          <cell r="BD13">
            <v>18</v>
          </cell>
          <cell r="BE13">
            <v>536</v>
          </cell>
          <cell r="BF13">
            <v>32.840000000000003</v>
          </cell>
          <cell r="BG13">
            <v>387</v>
          </cell>
          <cell r="BH13">
            <v>24</v>
          </cell>
          <cell r="BI13">
            <v>630</v>
          </cell>
          <cell r="BJ13">
            <v>639</v>
          </cell>
          <cell r="BK13">
            <v>61</v>
          </cell>
          <cell r="BL13">
            <v>672</v>
          </cell>
          <cell r="BM13">
            <v>81.09</v>
          </cell>
          <cell r="BN13">
            <v>14</v>
          </cell>
          <cell r="BO13">
            <v>8</v>
          </cell>
          <cell r="BP13">
            <v>64</v>
          </cell>
          <cell r="BQ13">
            <v>148</v>
          </cell>
        </row>
        <row r="15">
          <cell r="A15" t="str">
            <v>Overhead Circuit km of Line</v>
          </cell>
          <cell r="B15">
            <v>1836</v>
          </cell>
          <cell r="C15">
            <v>90</v>
          </cell>
          <cell r="D15">
            <v>568</v>
          </cell>
          <cell r="E15">
            <v>270</v>
          </cell>
          <cell r="F15">
            <v>832</v>
          </cell>
          <cell r="G15">
            <v>941</v>
          </cell>
          <cell r="H15">
            <v>80</v>
          </cell>
          <cell r="I15">
            <v>26</v>
          </cell>
          <cell r="J15">
            <v>210</v>
          </cell>
          <cell r="K15">
            <v>16</v>
          </cell>
          <cell r="L15">
            <v>89</v>
          </cell>
          <cell r="M15">
            <v>1195</v>
          </cell>
          <cell r="N15">
            <v>1804</v>
          </cell>
          <cell r="O15">
            <v>681</v>
          </cell>
          <cell r="P15">
            <v>668</v>
          </cell>
          <cell r="Q15">
            <v>239</v>
          </cell>
          <cell r="R15">
            <v>129</v>
          </cell>
          <cell r="S15">
            <v>186</v>
          </cell>
          <cell r="T15">
            <v>165</v>
          </cell>
          <cell r="U15">
            <v>69</v>
          </cell>
          <cell r="V15">
            <v>751</v>
          </cell>
          <cell r="W15">
            <v>167</v>
          </cell>
          <cell r="X15">
            <v>420</v>
          </cell>
          <cell r="Y15">
            <v>912</v>
          </cell>
          <cell r="Z15">
            <v>57</v>
          </cell>
          <cell r="AA15">
            <v>1520</v>
          </cell>
          <cell r="AB15">
            <v>18</v>
          </cell>
          <cell r="AC15">
            <v>57</v>
          </cell>
          <cell r="AD15">
            <v>814</v>
          </cell>
          <cell r="AE15">
            <v>113218</v>
          </cell>
          <cell r="AF15">
            <v>2721</v>
          </cell>
          <cell r="AG15">
            <v>660</v>
          </cell>
          <cell r="AH15">
            <v>88</v>
          </cell>
          <cell r="AI15">
            <v>226</v>
          </cell>
          <cell r="AJ15">
            <v>1017</v>
          </cell>
          <cell r="AK15">
            <v>142</v>
          </cell>
          <cell r="AL15">
            <v>271</v>
          </cell>
          <cell r="AM15">
            <v>1372</v>
          </cell>
          <cell r="AN15">
            <v>86</v>
          </cell>
          <cell r="AO15">
            <v>582</v>
          </cell>
          <cell r="AP15">
            <v>362</v>
          </cell>
          <cell r="AQ15">
            <v>1455</v>
          </cell>
          <cell r="AR15">
            <v>235</v>
          </cell>
          <cell r="AS15">
            <v>495</v>
          </cell>
          <cell r="AT15">
            <v>367</v>
          </cell>
          <cell r="AU15">
            <v>494</v>
          </cell>
          <cell r="AV15">
            <v>78</v>
          </cell>
          <cell r="AW15">
            <v>173</v>
          </cell>
          <cell r="AX15">
            <v>520</v>
          </cell>
          <cell r="AY15">
            <v>152</v>
          </cell>
          <cell r="AZ15">
            <v>383</v>
          </cell>
          <cell r="BA15">
            <v>2504</v>
          </cell>
          <cell r="BB15">
            <v>621</v>
          </cell>
          <cell r="BC15">
            <v>72</v>
          </cell>
          <cell r="BD15">
            <v>95</v>
          </cell>
          <cell r="BE15">
            <v>256</v>
          </cell>
          <cell r="BF15">
            <v>139</v>
          </cell>
          <cell r="BG15">
            <v>933</v>
          </cell>
          <cell r="BH15">
            <v>78</v>
          </cell>
          <cell r="BI15">
            <v>15561</v>
          </cell>
          <cell r="BJ15">
            <v>1448</v>
          </cell>
          <cell r="BK15">
            <v>163</v>
          </cell>
          <cell r="BL15">
            <v>1068</v>
          </cell>
          <cell r="BM15">
            <v>338</v>
          </cell>
          <cell r="BN15">
            <v>69</v>
          </cell>
          <cell r="BO15">
            <v>47</v>
          </cell>
          <cell r="BP15">
            <v>378</v>
          </cell>
          <cell r="BQ15">
            <v>507</v>
          </cell>
        </row>
        <row r="16">
          <cell r="A16" t="str">
            <v>Underground Circuit km of Line</v>
          </cell>
          <cell r="B16">
            <v>14</v>
          </cell>
          <cell r="C16">
            <v>2</v>
          </cell>
          <cell r="D16">
            <v>205</v>
          </cell>
          <cell r="E16">
            <v>233</v>
          </cell>
          <cell r="F16">
            <v>674</v>
          </cell>
          <cell r="G16">
            <v>84</v>
          </cell>
          <cell r="H16">
            <v>73</v>
          </cell>
          <cell r="I16">
            <v>1</v>
          </cell>
          <cell r="J16">
            <v>140</v>
          </cell>
          <cell r="K16">
            <v>18</v>
          </cell>
          <cell r="L16">
            <v>68</v>
          </cell>
          <cell r="M16">
            <v>532</v>
          </cell>
          <cell r="N16">
            <v>3416</v>
          </cell>
          <cell r="O16">
            <v>272</v>
          </cell>
          <cell r="P16">
            <v>448</v>
          </cell>
          <cell r="Q16">
            <v>106</v>
          </cell>
          <cell r="R16">
            <v>11</v>
          </cell>
          <cell r="S16">
            <v>263</v>
          </cell>
          <cell r="T16">
            <v>95</v>
          </cell>
          <cell r="U16">
            <v>11</v>
          </cell>
          <cell r="V16">
            <v>250</v>
          </cell>
          <cell r="W16">
            <v>79</v>
          </cell>
          <cell r="X16">
            <v>712</v>
          </cell>
          <cell r="Y16">
            <v>701</v>
          </cell>
          <cell r="Z16">
            <v>11</v>
          </cell>
          <cell r="AA16">
            <v>2001</v>
          </cell>
          <cell r="AB16">
            <v>3</v>
          </cell>
          <cell r="AC16">
            <v>12</v>
          </cell>
          <cell r="AD16">
            <v>2553</v>
          </cell>
          <cell r="AE16">
            <v>9148</v>
          </cell>
          <cell r="AF16">
            <v>2887</v>
          </cell>
          <cell r="AG16">
            <v>183</v>
          </cell>
          <cell r="AH16">
            <v>10</v>
          </cell>
          <cell r="AI16">
            <v>110</v>
          </cell>
          <cell r="AJ16">
            <v>931</v>
          </cell>
          <cell r="AK16">
            <v>50</v>
          </cell>
          <cell r="AL16">
            <v>86</v>
          </cell>
          <cell r="AM16">
            <v>1492</v>
          </cell>
          <cell r="AN16">
            <v>48</v>
          </cell>
          <cell r="AO16">
            <v>469</v>
          </cell>
          <cell r="AP16">
            <v>493</v>
          </cell>
          <cell r="AQ16">
            <v>549</v>
          </cell>
          <cell r="AR16">
            <v>98</v>
          </cell>
          <cell r="AS16">
            <v>78</v>
          </cell>
          <cell r="AT16">
            <v>3</v>
          </cell>
          <cell r="AU16">
            <v>1389</v>
          </cell>
          <cell r="AV16">
            <v>138</v>
          </cell>
          <cell r="AW16">
            <v>66</v>
          </cell>
          <cell r="AX16">
            <v>450</v>
          </cell>
          <cell r="AY16">
            <v>26</v>
          </cell>
          <cell r="AZ16">
            <v>181</v>
          </cell>
          <cell r="BA16">
            <v>5240</v>
          </cell>
          <cell r="BB16">
            <v>122</v>
          </cell>
          <cell r="BC16">
            <v>8</v>
          </cell>
          <cell r="BD16">
            <v>12</v>
          </cell>
          <cell r="BE16">
            <v>19</v>
          </cell>
          <cell r="BF16">
            <v>103</v>
          </cell>
          <cell r="BG16">
            <v>255</v>
          </cell>
          <cell r="BH16">
            <v>56</v>
          </cell>
          <cell r="BI16">
            <v>13044</v>
          </cell>
          <cell r="BJ16">
            <v>1123</v>
          </cell>
          <cell r="BK16">
            <v>126</v>
          </cell>
          <cell r="BL16">
            <v>551</v>
          </cell>
          <cell r="BM16">
            <v>142</v>
          </cell>
          <cell r="BN16">
            <v>10</v>
          </cell>
          <cell r="BO16">
            <v>14</v>
          </cell>
          <cell r="BP16">
            <v>152</v>
          </cell>
          <cell r="BQ16">
            <v>588</v>
          </cell>
        </row>
        <row r="17">
          <cell r="A17" t="str">
            <v>Total Circuit km of Line</v>
          </cell>
          <cell r="B17">
            <v>1850</v>
          </cell>
          <cell r="C17">
            <v>92</v>
          </cell>
          <cell r="D17">
            <v>773</v>
          </cell>
          <cell r="E17">
            <v>503</v>
          </cell>
          <cell r="F17">
            <v>1506</v>
          </cell>
          <cell r="G17">
            <v>1025</v>
          </cell>
          <cell r="H17">
            <v>153</v>
          </cell>
          <cell r="I17">
            <v>27</v>
          </cell>
          <cell r="J17">
            <v>350</v>
          </cell>
          <cell r="K17">
            <v>34</v>
          </cell>
          <cell r="L17">
            <v>157</v>
          </cell>
          <cell r="M17">
            <v>1727</v>
          </cell>
          <cell r="N17">
            <v>5220</v>
          </cell>
          <cell r="O17">
            <v>953</v>
          </cell>
          <cell r="P17">
            <v>1116</v>
          </cell>
          <cell r="Q17">
            <v>345</v>
          </cell>
          <cell r="R17">
            <v>140</v>
          </cell>
          <cell r="S17">
            <v>449</v>
          </cell>
          <cell r="T17">
            <v>260</v>
          </cell>
          <cell r="U17">
            <v>80</v>
          </cell>
          <cell r="V17">
            <v>1001</v>
          </cell>
          <cell r="W17">
            <v>246</v>
          </cell>
          <cell r="X17">
            <v>1132</v>
          </cell>
          <cell r="Y17">
            <v>1613</v>
          </cell>
          <cell r="Z17">
            <v>68</v>
          </cell>
          <cell r="AA17">
            <v>3521</v>
          </cell>
          <cell r="AB17">
            <v>21</v>
          </cell>
          <cell r="AC17">
            <v>69</v>
          </cell>
          <cell r="AD17">
            <v>3367</v>
          </cell>
          <cell r="AE17">
            <v>122366</v>
          </cell>
          <cell r="AF17">
            <v>5608</v>
          </cell>
          <cell r="AG17">
            <v>843</v>
          </cell>
          <cell r="AH17">
            <v>98</v>
          </cell>
          <cell r="AI17">
            <v>336</v>
          </cell>
          <cell r="AJ17">
            <v>1948</v>
          </cell>
          <cell r="AK17">
            <v>192</v>
          </cell>
          <cell r="AL17">
            <v>357</v>
          </cell>
          <cell r="AM17">
            <v>2864</v>
          </cell>
          <cell r="AN17">
            <v>134</v>
          </cell>
          <cell r="AO17">
            <v>1051</v>
          </cell>
          <cell r="AP17">
            <v>855</v>
          </cell>
          <cell r="AQ17">
            <v>2004</v>
          </cell>
          <cell r="AR17">
            <v>333</v>
          </cell>
          <cell r="AS17">
            <v>573</v>
          </cell>
          <cell r="AT17">
            <v>370</v>
          </cell>
          <cell r="AU17">
            <v>1883</v>
          </cell>
          <cell r="AV17">
            <v>216</v>
          </cell>
          <cell r="AW17">
            <v>239</v>
          </cell>
          <cell r="AX17">
            <v>970</v>
          </cell>
          <cell r="AY17">
            <v>178</v>
          </cell>
          <cell r="AZ17">
            <v>564</v>
          </cell>
          <cell r="BA17">
            <v>7744</v>
          </cell>
          <cell r="BB17">
            <v>743</v>
          </cell>
          <cell r="BC17">
            <v>80</v>
          </cell>
          <cell r="BD17">
            <v>107</v>
          </cell>
          <cell r="BE17">
            <v>275</v>
          </cell>
          <cell r="BF17">
            <v>242</v>
          </cell>
          <cell r="BG17">
            <v>1188</v>
          </cell>
          <cell r="BH17">
            <v>134</v>
          </cell>
          <cell r="BI17">
            <v>28605</v>
          </cell>
          <cell r="BJ17">
            <v>2571</v>
          </cell>
          <cell r="BK17">
            <v>289</v>
          </cell>
          <cell r="BL17">
            <v>1619</v>
          </cell>
          <cell r="BM17">
            <v>480</v>
          </cell>
          <cell r="BN17">
            <v>79</v>
          </cell>
          <cell r="BO17">
            <v>61</v>
          </cell>
          <cell r="BP17">
            <v>530</v>
          </cell>
          <cell r="BQ17">
            <v>1095</v>
          </cell>
        </row>
        <row r="18">
          <cell r="A18" t="str">
            <v>U/ G SHARE fraction</v>
          </cell>
          <cell r="B18">
            <v>7.5675675675675675E-3</v>
          </cell>
          <cell r="C18">
            <v>2.1739130434782608E-2</v>
          </cell>
          <cell r="D18">
            <v>0.2652005174644243</v>
          </cell>
          <cell r="E18">
            <v>0.46322067594433397</v>
          </cell>
          <cell r="F18">
            <v>0.44754316069057104</v>
          </cell>
          <cell r="G18">
            <v>8.1951219512195125E-2</v>
          </cell>
          <cell r="H18">
            <v>0.47712418300653597</v>
          </cell>
          <cell r="I18">
            <v>3.7037037037037035E-2</v>
          </cell>
          <cell r="J18">
            <v>0.4</v>
          </cell>
          <cell r="K18">
            <v>0.52941176470588236</v>
          </cell>
          <cell r="L18">
            <v>0.43312101910828027</v>
          </cell>
          <cell r="M18">
            <v>0.30804863925883036</v>
          </cell>
          <cell r="N18">
            <v>0.65440613026819927</v>
          </cell>
          <cell r="O18">
            <v>0.28541448058761804</v>
          </cell>
          <cell r="P18">
            <v>0.40143369175627241</v>
          </cell>
          <cell r="Q18">
            <v>0.30724637681159422</v>
          </cell>
          <cell r="R18">
            <v>7.857142857142857E-2</v>
          </cell>
          <cell r="S18">
            <v>0.58574610244988867</v>
          </cell>
          <cell r="T18">
            <v>0.36538461538461536</v>
          </cell>
          <cell r="U18">
            <v>0.13750000000000001</v>
          </cell>
          <cell r="V18">
            <v>0.24975024975024976</v>
          </cell>
          <cell r="W18">
            <v>0.32113821138211385</v>
          </cell>
          <cell r="X18">
            <v>0.62897526501766787</v>
          </cell>
          <cell r="Y18">
            <v>0.43459392436453814</v>
          </cell>
          <cell r="Z18">
            <v>0.16176470588235295</v>
          </cell>
          <cell r="AA18">
            <v>0.56830445896052262</v>
          </cell>
          <cell r="AB18">
            <v>0.14285714285714285</v>
          </cell>
          <cell r="AC18">
            <v>0.17391304347826086</v>
          </cell>
          <cell r="AD18">
            <v>0.75824175824175821</v>
          </cell>
          <cell r="AE18">
            <v>7.4759328571662065E-2</v>
          </cell>
          <cell r="AF18">
            <v>0.51480028530670474</v>
          </cell>
          <cell r="AG18">
            <v>0.21708185053380782</v>
          </cell>
          <cell r="AH18">
            <v>0.10204081632653061</v>
          </cell>
          <cell r="AI18">
            <v>0.32738095238095238</v>
          </cell>
          <cell r="AJ18">
            <v>0.47792607802874743</v>
          </cell>
          <cell r="AK18">
            <v>0.26041666666666669</v>
          </cell>
          <cell r="AL18">
            <v>0.24089635854341737</v>
          </cell>
          <cell r="AM18">
            <v>0.52094972067039103</v>
          </cell>
          <cell r="AN18">
            <v>0.35820895522388058</v>
          </cell>
          <cell r="AO18">
            <v>0.44624167459562319</v>
          </cell>
          <cell r="AP18">
            <v>0.5766081871345029</v>
          </cell>
          <cell r="AQ18">
            <v>0.27395209580838326</v>
          </cell>
          <cell r="AR18">
            <v>0.29429429429429427</v>
          </cell>
          <cell r="AS18">
            <v>0.13612565445026178</v>
          </cell>
          <cell r="AT18">
            <v>8.1081081081081086E-3</v>
          </cell>
          <cell r="AU18">
            <v>0.73765268189060007</v>
          </cell>
          <cell r="AV18">
            <v>0.63888888888888884</v>
          </cell>
          <cell r="AW18">
            <v>0.27615062761506276</v>
          </cell>
          <cell r="AX18">
            <v>0.46391752577319589</v>
          </cell>
          <cell r="AY18">
            <v>0.14606741573033707</v>
          </cell>
          <cell r="AZ18">
            <v>0.32092198581560283</v>
          </cell>
          <cell r="BA18">
            <v>0.67665289256198347</v>
          </cell>
          <cell r="BB18">
            <v>0.16419919246298789</v>
          </cell>
          <cell r="BC18">
            <v>0.1</v>
          </cell>
          <cell r="BD18">
            <v>0.11214953271028037</v>
          </cell>
          <cell r="BE18">
            <v>6.9090909090909092E-2</v>
          </cell>
          <cell r="BF18">
            <v>0.42561983471074383</v>
          </cell>
          <cell r="BG18">
            <v>0.21464646464646464</v>
          </cell>
          <cell r="BH18">
            <v>0.41791044776119401</v>
          </cell>
          <cell r="BI18">
            <v>0.45600419507079182</v>
          </cell>
          <cell r="BJ18">
            <v>0.4367950213924543</v>
          </cell>
          <cell r="BK18">
            <v>0.43598615916955019</v>
          </cell>
          <cell r="BL18">
            <v>0.34033353922174181</v>
          </cell>
          <cell r="BM18">
            <v>0.29583333333333334</v>
          </cell>
          <cell r="BN18">
            <v>0.12658227848101267</v>
          </cell>
          <cell r="BO18">
            <v>0.22950819672131148</v>
          </cell>
          <cell r="BP18">
            <v>0.28679245283018867</v>
          </cell>
          <cell r="BQ18">
            <v>0.53698630136986303</v>
          </cell>
        </row>
        <row r="19">
          <cell r="A19" t="str">
            <v>Winter Peak (kW)</v>
          </cell>
          <cell r="B19">
            <v>40592</v>
          </cell>
          <cell r="C19">
            <v>6745</v>
          </cell>
          <cell r="D19">
            <v>129015</v>
          </cell>
          <cell r="E19">
            <v>140228</v>
          </cell>
          <cell r="F19">
            <v>257037</v>
          </cell>
          <cell r="G19">
            <v>80952</v>
          </cell>
          <cell r="H19">
            <v>24019</v>
          </cell>
          <cell r="I19">
            <v>6023</v>
          </cell>
          <cell r="J19">
            <v>57281</v>
          </cell>
          <cell r="K19">
            <v>6236</v>
          </cell>
          <cell r="L19">
            <v>46645</v>
          </cell>
          <cell r="M19">
            <v>265456</v>
          </cell>
          <cell r="N19">
            <v>1078313</v>
          </cell>
          <cell r="O19">
            <v>141000</v>
          </cell>
          <cell r="P19">
            <v>365600</v>
          </cell>
          <cell r="Q19">
            <v>76022</v>
          </cell>
          <cell r="R19">
            <v>12316</v>
          </cell>
          <cell r="S19">
            <v>73781</v>
          </cell>
          <cell r="T19">
            <v>93467</v>
          </cell>
          <cell r="U19">
            <v>15953</v>
          </cell>
          <cell r="V19">
            <v>171316</v>
          </cell>
          <cell r="W19">
            <v>29525</v>
          </cell>
          <cell r="X19">
            <v>253633</v>
          </cell>
          <cell r="Y19">
            <v>82154</v>
          </cell>
          <cell r="Z19">
            <v>16159</v>
          </cell>
          <cell r="AA19">
            <v>794972</v>
          </cell>
          <cell r="AB19">
            <v>5590</v>
          </cell>
          <cell r="AC19">
            <v>30783</v>
          </cell>
          <cell r="AD19">
            <v>598763</v>
          </cell>
          <cell r="AE19">
            <v>5379822</v>
          </cell>
          <cell r="AF19">
            <v>1193901</v>
          </cell>
          <cell r="AG19">
            <v>49363</v>
          </cell>
          <cell r="AH19">
            <v>19063</v>
          </cell>
          <cell r="AI19">
            <v>122976</v>
          </cell>
          <cell r="AJ19">
            <v>293555</v>
          </cell>
          <cell r="AK19">
            <v>41183</v>
          </cell>
          <cell r="AL19">
            <v>48039</v>
          </cell>
          <cell r="AM19">
            <v>511359</v>
          </cell>
          <cell r="AN19">
            <v>31451</v>
          </cell>
          <cell r="AO19">
            <v>137320</v>
          </cell>
          <cell r="AP19">
            <v>106324</v>
          </cell>
          <cell r="AQ19">
            <v>182176</v>
          </cell>
          <cell r="AR19">
            <v>34820</v>
          </cell>
          <cell r="AS19">
            <v>93764</v>
          </cell>
          <cell r="AT19">
            <v>23251</v>
          </cell>
          <cell r="AU19">
            <v>251532</v>
          </cell>
          <cell r="AV19">
            <v>41661</v>
          </cell>
          <cell r="AW19">
            <v>52742</v>
          </cell>
          <cell r="AX19">
            <v>195540</v>
          </cell>
          <cell r="AY19">
            <v>37047</v>
          </cell>
          <cell r="AZ19">
            <v>123922</v>
          </cell>
          <cell r="BA19">
            <v>1309070</v>
          </cell>
          <cell r="BB19">
            <v>125305</v>
          </cell>
          <cell r="BC19">
            <v>12960</v>
          </cell>
          <cell r="BD19">
            <v>19707</v>
          </cell>
          <cell r="BE19">
            <v>17931</v>
          </cell>
          <cell r="BF19">
            <v>45181</v>
          </cell>
          <cell r="BG19">
            <v>168356</v>
          </cell>
          <cell r="BH19">
            <v>31096</v>
          </cell>
          <cell r="BI19">
            <v>3777078</v>
          </cell>
          <cell r="BJ19">
            <v>405512</v>
          </cell>
          <cell r="BK19">
            <v>26028</v>
          </cell>
          <cell r="BL19">
            <v>232140</v>
          </cell>
          <cell r="BM19">
            <v>60106</v>
          </cell>
          <cell r="BN19">
            <v>16484</v>
          </cell>
          <cell r="BO19">
            <v>24830</v>
          </cell>
          <cell r="BP19">
            <v>69686</v>
          </cell>
          <cell r="BQ19">
            <v>140154</v>
          </cell>
        </row>
        <row r="20">
          <cell r="A20" t="str">
            <v>Summer Peak (kW)</v>
          </cell>
          <cell r="B20">
            <v>29413</v>
          </cell>
          <cell r="C20">
            <v>6118</v>
          </cell>
          <cell r="D20">
            <v>164284</v>
          </cell>
          <cell r="E20">
            <v>187331</v>
          </cell>
          <cell r="F20">
            <v>360232</v>
          </cell>
          <cell r="G20">
            <v>101753</v>
          </cell>
          <cell r="H20">
            <v>27793</v>
          </cell>
          <cell r="I20">
            <v>4979</v>
          </cell>
          <cell r="J20">
            <v>50903</v>
          </cell>
          <cell r="K20">
            <v>6446</v>
          </cell>
          <cell r="L20">
            <v>60936</v>
          </cell>
          <cell r="M20">
            <v>334471</v>
          </cell>
          <cell r="N20">
            <v>1455239</v>
          </cell>
          <cell r="O20">
            <v>195283</v>
          </cell>
          <cell r="P20">
            <v>486400</v>
          </cell>
          <cell r="Q20">
            <v>84530</v>
          </cell>
          <cell r="R20">
            <v>8815</v>
          </cell>
          <cell r="S20">
            <v>119448</v>
          </cell>
          <cell r="T20">
            <v>107476</v>
          </cell>
          <cell r="U20">
            <v>12674</v>
          </cell>
          <cell r="V20">
            <v>140955</v>
          </cell>
          <cell r="W20">
            <v>43090</v>
          </cell>
          <cell r="X20">
            <v>292465</v>
          </cell>
          <cell r="Y20">
            <v>107531</v>
          </cell>
          <cell r="Z20">
            <v>12377</v>
          </cell>
          <cell r="AA20">
            <v>1033474</v>
          </cell>
          <cell r="AB20">
            <v>3730</v>
          </cell>
          <cell r="AC20">
            <v>29664</v>
          </cell>
          <cell r="AD20">
            <v>836218</v>
          </cell>
          <cell r="AE20">
            <v>5641078</v>
          </cell>
          <cell r="AF20">
            <v>1391443</v>
          </cell>
          <cell r="AG20">
            <v>52172</v>
          </cell>
          <cell r="AH20">
            <v>16770</v>
          </cell>
          <cell r="AI20">
            <v>117441</v>
          </cell>
          <cell r="AJ20">
            <v>360767</v>
          </cell>
          <cell r="AK20">
            <v>43462</v>
          </cell>
          <cell r="AL20">
            <v>46425</v>
          </cell>
          <cell r="AM20">
            <v>683790</v>
          </cell>
          <cell r="AN20">
            <v>35419</v>
          </cell>
          <cell r="AO20">
            <v>178292</v>
          </cell>
          <cell r="AP20">
            <v>143582</v>
          </cell>
          <cell r="AQ20">
            <v>261493</v>
          </cell>
          <cell r="AR20">
            <v>45910</v>
          </cell>
          <cell r="AS20">
            <v>81789</v>
          </cell>
          <cell r="AT20">
            <v>19720</v>
          </cell>
          <cell r="AU20">
            <v>373874</v>
          </cell>
          <cell r="AV20">
            <v>47804</v>
          </cell>
          <cell r="AW20">
            <v>54485</v>
          </cell>
          <cell r="AX20">
            <v>221781</v>
          </cell>
          <cell r="AY20">
            <v>35163</v>
          </cell>
          <cell r="AZ20">
            <v>145205</v>
          </cell>
          <cell r="BA20">
            <v>1874833</v>
          </cell>
          <cell r="BB20">
            <v>90384</v>
          </cell>
          <cell r="BC20">
            <v>15052</v>
          </cell>
          <cell r="BD20">
            <v>24788</v>
          </cell>
          <cell r="BE20">
            <v>9528</v>
          </cell>
          <cell r="BF20">
            <v>58935</v>
          </cell>
          <cell r="BG20">
            <v>136523</v>
          </cell>
          <cell r="BH20">
            <v>39302</v>
          </cell>
          <cell r="BI20">
            <v>4591559</v>
          </cell>
          <cell r="BJ20">
            <v>494731</v>
          </cell>
          <cell r="BK20">
            <v>28947</v>
          </cell>
          <cell r="BL20">
            <v>291414</v>
          </cell>
          <cell r="BM20">
            <v>77480</v>
          </cell>
          <cell r="BN20">
            <v>16466</v>
          </cell>
          <cell r="BO20">
            <v>26961</v>
          </cell>
          <cell r="BP20">
            <v>71203</v>
          </cell>
          <cell r="BQ20">
            <v>189957</v>
          </cell>
        </row>
        <row r="21">
          <cell r="A21" t="str">
            <v>Average Peak (kW)</v>
          </cell>
          <cell r="B21">
            <v>31617</v>
          </cell>
          <cell r="C21">
            <v>5703</v>
          </cell>
          <cell r="D21">
            <v>135332</v>
          </cell>
          <cell r="E21">
            <v>148938</v>
          </cell>
          <cell r="F21">
            <v>282697</v>
          </cell>
          <cell r="G21">
            <v>78930</v>
          </cell>
          <cell r="H21">
            <v>23717</v>
          </cell>
          <cell r="I21">
            <v>4133</v>
          </cell>
          <cell r="J21">
            <v>48680</v>
          </cell>
          <cell r="K21">
            <v>5616</v>
          </cell>
          <cell r="L21">
            <v>47467</v>
          </cell>
          <cell r="M21">
            <v>274609</v>
          </cell>
          <cell r="N21">
            <v>1178199</v>
          </cell>
          <cell r="O21">
            <v>143950</v>
          </cell>
          <cell r="P21">
            <v>390250</v>
          </cell>
          <cell r="Q21">
            <v>73512</v>
          </cell>
          <cell r="R21">
            <v>9402</v>
          </cell>
          <cell r="S21">
            <v>85849</v>
          </cell>
          <cell r="T21">
            <v>70008</v>
          </cell>
          <cell r="U21">
            <v>12105</v>
          </cell>
          <cell r="V21">
            <v>142551</v>
          </cell>
          <cell r="W21">
            <v>35106</v>
          </cell>
          <cell r="X21">
            <v>257566</v>
          </cell>
          <cell r="Y21">
            <v>87446</v>
          </cell>
          <cell r="Z21">
            <v>13350</v>
          </cell>
          <cell r="AA21">
            <v>840330</v>
          </cell>
          <cell r="AB21">
            <v>3922</v>
          </cell>
          <cell r="AC21">
            <v>26507</v>
          </cell>
          <cell r="AD21">
            <v>664299</v>
          </cell>
          <cell r="AE21">
            <v>5106196</v>
          </cell>
          <cell r="AF21">
            <v>1178361</v>
          </cell>
          <cell r="AG21">
            <v>45584</v>
          </cell>
          <cell r="AH21">
            <v>15530</v>
          </cell>
          <cell r="AI21">
            <v>110546</v>
          </cell>
          <cell r="AJ21">
            <v>293626</v>
          </cell>
          <cell r="AK21">
            <v>38733</v>
          </cell>
          <cell r="AL21">
            <v>41016</v>
          </cell>
          <cell r="AM21">
            <v>526861</v>
          </cell>
          <cell r="AN21">
            <v>30849</v>
          </cell>
          <cell r="AO21">
            <v>143581</v>
          </cell>
          <cell r="AP21">
            <v>76133</v>
          </cell>
          <cell r="AQ21">
            <v>198105</v>
          </cell>
          <cell r="AR21">
            <v>34552</v>
          </cell>
          <cell r="AS21">
            <v>79288</v>
          </cell>
          <cell r="AT21">
            <v>20020</v>
          </cell>
          <cell r="AU21">
            <v>285934</v>
          </cell>
          <cell r="AV21">
            <v>41338</v>
          </cell>
          <cell r="AW21">
            <v>49437</v>
          </cell>
          <cell r="AX21">
            <v>190039</v>
          </cell>
          <cell r="AY21">
            <v>30177</v>
          </cell>
          <cell r="AZ21">
            <v>122186</v>
          </cell>
          <cell r="BA21">
            <v>1473208</v>
          </cell>
          <cell r="BB21">
            <v>100106</v>
          </cell>
          <cell r="BC21">
            <v>12652</v>
          </cell>
          <cell r="BD21">
            <v>18314</v>
          </cell>
          <cell r="BE21">
            <v>12582</v>
          </cell>
          <cell r="BF21">
            <v>46949</v>
          </cell>
          <cell r="BG21">
            <v>119250</v>
          </cell>
          <cell r="BH21">
            <v>32014</v>
          </cell>
          <cell r="BI21">
            <v>3961102</v>
          </cell>
          <cell r="BJ21">
            <v>412835</v>
          </cell>
          <cell r="BK21">
            <v>23599</v>
          </cell>
          <cell r="BL21">
            <v>240346</v>
          </cell>
          <cell r="BM21">
            <v>61537</v>
          </cell>
          <cell r="BN21">
            <v>15877</v>
          </cell>
          <cell r="BO21">
            <v>24449</v>
          </cell>
          <cell r="BP21">
            <v>67889</v>
          </cell>
          <cell r="BQ21">
            <v>148607</v>
          </cell>
        </row>
        <row r="22">
          <cell r="A22" t="str">
            <v>MAXIMUM DEMAND</v>
          </cell>
          <cell r="B22">
            <v>40592</v>
          </cell>
          <cell r="C22">
            <v>6745</v>
          </cell>
          <cell r="D22">
            <v>164284</v>
          </cell>
          <cell r="E22">
            <v>187331</v>
          </cell>
          <cell r="F22">
            <v>360232</v>
          </cell>
          <cell r="G22">
            <v>101753</v>
          </cell>
          <cell r="H22">
            <v>27793</v>
          </cell>
          <cell r="I22">
            <v>6023</v>
          </cell>
          <cell r="J22">
            <v>57281</v>
          </cell>
          <cell r="K22">
            <v>6446</v>
          </cell>
          <cell r="L22">
            <v>60936</v>
          </cell>
          <cell r="M22">
            <v>334471</v>
          </cell>
          <cell r="N22">
            <v>1455239</v>
          </cell>
          <cell r="O22">
            <v>195283</v>
          </cell>
          <cell r="P22">
            <v>486400</v>
          </cell>
          <cell r="Q22">
            <v>84530</v>
          </cell>
          <cell r="R22">
            <v>12316</v>
          </cell>
          <cell r="S22">
            <v>119448</v>
          </cell>
          <cell r="T22">
            <v>107476</v>
          </cell>
          <cell r="U22">
            <v>15953</v>
          </cell>
          <cell r="V22">
            <v>171316</v>
          </cell>
          <cell r="W22">
            <v>43090</v>
          </cell>
          <cell r="X22">
            <v>292465</v>
          </cell>
          <cell r="Y22">
            <v>107531</v>
          </cell>
          <cell r="Z22">
            <v>16159</v>
          </cell>
          <cell r="AA22">
            <v>1033474</v>
          </cell>
          <cell r="AB22">
            <v>5590</v>
          </cell>
          <cell r="AC22">
            <v>30783</v>
          </cell>
          <cell r="AD22">
            <v>836218</v>
          </cell>
          <cell r="AE22">
            <v>5641078</v>
          </cell>
          <cell r="AF22">
            <v>1391443</v>
          </cell>
          <cell r="AG22">
            <v>52172</v>
          </cell>
          <cell r="AH22">
            <v>19063</v>
          </cell>
          <cell r="AI22">
            <v>122976</v>
          </cell>
          <cell r="AJ22">
            <v>360767</v>
          </cell>
          <cell r="AK22">
            <v>43462</v>
          </cell>
          <cell r="AL22">
            <v>48039</v>
          </cell>
          <cell r="AM22">
            <v>683790</v>
          </cell>
          <cell r="AN22">
            <v>35419</v>
          </cell>
          <cell r="AO22">
            <v>178292</v>
          </cell>
          <cell r="AP22">
            <v>143582</v>
          </cell>
          <cell r="AQ22">
            <v>261493</v>
          </cell>
          <cell r="AR22">
            <v>45910</v>
          </cell>
          <cell r="AS22">
            <v>93764</v>
          </cell>
          <cell r="AT22">
            <v>23251</v>
          </cell>
          <cell r="AU22">
            <v>373874</v>
          </cell>
          <cell r="AV22">
            <v>47804</v>
          </cell>
          <cell r="AW22">
            <v>54485</v>
          </cell>
          <cell r="AX22">
            <v>221781</v>
          </cell>
          <cell r="AY22">
            <v>37047</v>
          </cell>
          <cell r="AZ22">
            <v>145205</v>
          </cell>
          <cell r="BA22">
            <v>1874833</v>
          </cell>
          <cell r="BB22">
            <v>125305</v>
          </cell>
          <cell r="BC22">
            <v>15052</v>
          </cell>
          <cell r="BD22">
            <v>24788</v>
          </cell>
          <cell r="BE22">
            <v>17931</v>
          </cell>
          <cell r="BF22">
            <v>58935</v>
          </cell>
          <cell r="BG22">
            <v>168356</v>
          </cell>
          <cell r="BH22">
            <v>39302</v>
          </cell>
          <cell r="BI22">
            <v>4591559</v>
          </cell>
          <cell r="BJ22">
            <v>494731</v>
          </cell>
          <cell r="BK22">
            <v>28947</v>
          </cell>
          <cell r="BL22">
            <v>291414</v>
          </cell>
          <cell r="BM22">
            <v>77480</v>
          </cell>
          <cell r="BN22">
            <v>16484</v>
          </cell>
          <cell r="BO22">
            <v>26961</v>
          </cell>
          <cell r="BP22">
            <v>71203</v>
          </cell>
          <cell r="BQ22">
            <v>189957</v>
          </cell>
        </row>
        <row r="23">
          <cell r="A23" t="str">
            <v>Full-time Equivalent Number of Employees</v>
          </cell>
          <cell r="B23">
            <v>57</v>
          </cell>
          <cell r="C23">
            <v>7</v>
          </cell>
          <cell r="D23">
            <v>110</v>
          </cell>
          <cell r="E23">
            <v>57</v>
          </cell>
          <cell r="F23">
            <v>91</v>
          </cell>
          <cell r="G23">
            <v>84</v>
          </cell>
          <cell r="H23">
            <v>15</v>
          </cell>
          <cell r="I23">
            <v>5</v>
          </cell>
          <cell r="J23">
            <v>20</v>
          </cell>
          <cell r="K23">
            <v>3</v>
          </cell>
          <cell r="L23">
            <v>18</v>
          </cell>
          <cell r="M23">
            <v>126</v>
          </cell>
          <cell r="N23">
            <v>350</v>
          </cell>
          <cell r="O23">
            <v>76</v>
          </cell>
          <cell r="P23">
            <v>197</v>
          </cell>
          <cell r="Q23">
            <v>45</v>
          </cell>
          <cell r="R23">
            <v>7</v>
          </cell>
          <cell r="S23">
            <v>44</v>
          </cell>
          <cell r="T23">
            <v>39</v>
          </cell>
          <cell r="U23">
            <v>12</v>
          </cell>
          <cell r="V23">
            <v>66</v>
          </cell>
          <cell r="W23">
            <v>17</v>
          </cell>
          <cell r="X23">
            <v>124</v>
          </cell>
          <cell r="Y23">
            <v>54</v>
          </cell>
          <cell r="Z23">
            <v>7</v>
          </cell>
          <cell r="AA23">
            <v>335</v>
          </cell>
          <cell r="AB23">
            <v>3</v>
          </cell>
          <cell r="AC23">
            <v>7</v>
          </cell>
          <cell r="AD23">
            <v>249</v>
          </cell>
          <cell r="AE23">
            <v>4355</v>
          </cell>
          <cell r="AF23">
            <v>628</v>
          </cell>
          <cell r="AG23">
            <v>39</v>
          </cell>
          <cell r="AH23">
            <v>12</v>
          </cell>
          <cell r="AI23">
            <v>0</v>
          </cell>
          <cell r="AJ23">
            <v>187</v>
          </cell>
          <cell r="AK23">
            <v>17</v>
          </cell>
          <cell r="AL23">
            <v>21</v>
          </cell>
          <cell r="AM23">
            <v>322</v>
          </cell>
          <cell r="AN23">
            <v>17</v>
          </cell>
          <cell r="AO23">
            <v>59</v>
          </cell>
          <cell r="AP23">
            <v>44</v>
          </cell>
          <cell r="AQ23">
            <v>123</v>
          </cell>
          <cell r="AR23">
            <v>15</v>
          </cell>
          <cell r="AS23">
            <v>45</v>
          </cell>
          <cell r="AT23">
            <v>4</v>
          </cell>
          <cell r="AU23">
            <v>111</v>
          </cell>
          <cell r="AV23">
            <v>19</v>
          </cell>
          <cell r="AW23">
            <v>33</v>
          </cell>
          <cell r="AX23">
            <v>75</v>
          </cell>
          <cell r="AY23">
            <v>26</v>
          </cell>
          <cell r="AZ23">
            <v>34</v>
          </cell>
          <cell r="BA23">
            <v>567</v>
          </cell>
          <cell r="BB23">
            <v>0</v>
          </cell>
          <cell r="BC23">
            <v>11</v>
          </cell>
          <cell r="BD23">
            <v>15</v>
          </cell>
          <cell r="BE23">
            <v>9</v>
          </cell>
          <cell r="BF23">
            <v>29</v>
          </cell>
          <cell r="BG23">
            <v>133</v>
          </cell>
          <cell r="BH23">
            <v>20</v>
          </cell>
          <cell r="BI23">
            <v>1477</v>
          </cell>
          <cell r="BJ23">
            <v>221</v>
          </cell>
          <cell r="BK23">
            <v>18</v>
          </cell>
          <cell r="BL23">
            <v>136</v>
          </cell>
          <cell r="BM23">
            <v>39</v>
          </cell>
          <cell r="BN23">
            <v>13</v>
          </cell>
          <cell r="BO23">
            <v>9</v>
          </cell>
          <cell r="BP23">
            <v>30</v>
          </cell>
          <cell r="BQ23">
            <v>2</v>
          </cell>
        </row>
      </sheetData>
      <sheetData sheetId="11">
        <row r="1">
          <cell r="A1" t="str">
            <v xml:space="preserve">Unitized Statistics &amp; OtherFor the year ended December 31                    </v>
          </cell>
        </row>
      </sheetData>
      <sheetData sheetId="12"/>
      <sheetData sheetId="13"/>
      <sheetData sheetId="14"/>
      <sheetData sheetId="15"/>
      <sheetData sheetId="1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
      <sheetName val="Spacer"/>
      <sheetName val="ToC "/>
      <sheetName val="Notes"/>
      <sheetName val="Industry BS"/>
      <sheetName val="Industry IS"/>
      <sheetName val="Industry Gen"/>
      <sheetName val="BS"/>
      <sheetName val="Spacer 2"/>
      <sheetName val="IS"/>
      <sheetName val="Spacer 3"/>
      <sheetName val="Ratios"/>
      <sheetName val="Spacer 4"/>
      <sheetName val="General"/>
      <sheetName val="Spacer 5"/>
      <sheetName val="Unit SQR"/>
      <sheetName val="Spacer 6"/>
      <sheetName val="Stats by Customer Class"/>
      <sheetName val="Spacer 7"/>
      <sheetName val="Gloss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5">
          <cell r="E15">
            <v>39</v>
          </cell>
          <cell r="AG15">
            <v>8549</v>
          </cell>
          <cell r="AU15">
            <v>126</v>
          </cell>
        </row>
      </sheetData>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Industry TFP Calculations"/>
      <sheetName val="2. BM Database"/>
      <sheetName val="3. TFP Database"/>
      <sheetName val="4. OM&amp;A Calculation"/>
      <sheetName val="5. Capital Calculations for TFP"/>
      <sheetName val="6. Capital Calculations for BM"/>
      <sheetName val="7. OM&amp;A Price"/>
      <sheetName val="8. smart meter OM&amp;A adjustment"/>
      <sheetName val="9. Z variables"/>
      <sheetName val="10. Q Capital Data"/>
      <sheetName val="12. Q Output"/>
      <sheetName val="14. AWE cansim"/>
      <sheetName val="15. gdpipi fdd can"/>
      <sheetName val="17. Historical Asset Price"/>
      <sheetName val="18. data request responses"/>
      <sheetName val="19. 2012DR"/>
      <sheetName val="20. Late DR companies"/>
      <sheetName val="21. Aggregate HV charges"/>
      <sheetName val="22. HV-Related O&amp;M Exp"/>
      <sheetName val="23. LV Charges Included in BM"/>
      <sheetName val="24. 2012 data"/>
      <sheetName val="25. 2012 data raw "/>
      <sheetName val="26. data0211"/>
      <sheetName val="27. 2011 data "/>
      <sheetName val="28. 2010 data"/>
      <sheetName val="29. 2009 data"/>
      <sheetName val="30. 2008 data"/>
      <sheetName val="31. 2007 data"/>
      <sheetName val="32. 2006 data"/>
      <sheetName val="33. 2005 data"/>
      <sheetName val="34. 2004 data"/>
      <sheetName val="35. 2003 data"/>
      <sheetName val="36. 2002 data"/>
      <sheetName val="37. Gross Plant (2012)"/>
      <sheetName val="38. Gross Plant"/>
      <sheetName val="39. 1860 2012"/>
      <sheetName val="40. 1860 meter data"/>
      <sheetName val="41. Output data"/>
      <sheetName val="43. Company Selection"/>
      <sheetName val="44. Verification - Gross Plant"/>
      <sheetName val="45. Verification -  OM&amp;A"/>
    </sheetNames>
    <sheetDataSet>
      <sheetData sheetId="0" refreshError="1"/>
      <sheetData sheetId="1">
        <row r="503">
          <cell r="R503">
            <v>2773</v>
          </cell>
        </row>
        <row r="721">
          <cell r="R721">
            <v>20422</v>
          </cell>
          <cell r="T721">
            <v>0.55273724414846737</v>
          </cell>
        </row>
        <row r="722">
          <cell r="R722">
            <v>16700</v>
          </cell>
          <cell r="T722">
            <v>0.45508982035928142</v>
          </cell>
        </row>
        <row r="723">
          <cell r="R723">
            <v>16700</v>
          </cell>
          <cell r="T723">
            <v>0.45508982035928142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126.53</v>
          </cell>
        </row>
        <row r="3">
          <cell r="M3">
            <v>127.10972</v>
          </cell>
        </row>
        <row r="4">
          <cell r="M4">
            <v>131.328</v>
          </cell>
        </row>
        <row r="5">
          <cell r="M5">
            <v>134.37804</v>
          </cell>
        </row>
        <row r="6">
          <cell r="M6">
            <v>133.95352</v>
          </cell>
        </row>
        <row r="7">
          <cell r="M7">
            <v>146.11000000000001</v>
          </cell>
        </row>
        <row r="8">
          <cell r="M8">
            <v>283.97399999999999</v>
          </cell>
        </row>
        <row r="9">
          <cell r="M9">
            <v>279</v>
          </cell>
        </row>
        <row r="10">
          <cell r="M10">
            <v>285.67706500000003</v>
          </cell>
        </row>
        <row r="11">
          <cell r="M11">
            <v>290.636911</v>
          </cell>
        </row>
        <row r="12">
          <cell r="M12">
            <v>291.35751800000003</v>
          </cell>
        </row>
        <row r="13">
          <cell r="M13">
            <v>299.74073099999998</v>
          </cell>
        </row>
        <row r="14">
          <cell r="M14">
            <v>99.029420000000002</v>
          </cell>
        </row>
        <row r="15">
          <cell r="M15">
            <v>111.28728</v>
          </cell>
        </row>
        <row r="16">
          <cell r="M16">
            <v>115.324</v>
          </cell>
        </row>
        <row r="17">
          <cell r="M17">
            <v>114.709</v>
          </cell>
        </row>
        <row r="18">
          <cell r="M18">
            <v>114.80500000000001</v>
          </cell>
        </row>
        <row r="19">
          <cell r="M19">
            <v>116.474</v>
          </cell>
        </row>
        <row r="20">
          <cell r="M20">
            <v>56.790999999999997</v>
          </cell>
        </row>
        <row r="21">
          <cell r="M21">
            <v>59.856999999999999</v>
          </cell>
        </row>
        <row r="22">
          <cell r="M22">
            <v>55.343600000000002</v>
          </cell>
        </row>
        <row r="23">
          <cell r="M23">
            <v>60.32</v>
          </cell>
        </row>
        <row r="24">
          <cell r="M24">
            <v>58.711999999999989</v>
          </cell>
        </row>
        <row r="25">
          <cell r="M25">
            <v>58.711999999999989</v>
          </cell>
        </row>
        <row r="26">
          <cell r="M26">
            <v>93</v>
          </cell>
        </row>
        <row r="27">
          <cell r="M27">
            <v>93</v>
          </cell>
        </row>
        <row r="28">
          <cell r="M28">
            <v>88.64</v>
          </cell>
        </row>
        <row r="29">
          <cell r="M29">
            <v>107.07</v>
          </cell>
        </row>
        <row r="30">
          <cell r="M30">
            <v>103</v>
          </cell>
        </row>
        <row r="31">
          <cell r="M31">
            <v>104</v>
          </cell>
        </row>
        <row r="32">
          <cell r="M32">
            <v>83.844000000000008</v>
          </cell>
        </row>
        <row r="33">
          <cell r="M33">
            <v>83.693939999999998</v>
          </cell>
        </row>
        <row r="34">
          <cell r="M34">
            <v>84.293300000000002</v>
          </cell>
        </row>
        <row r="35">
          <cell r="M35">
            <v>88.071540000000013</v>
          </cell>
        </row>
        <row r="36">
          <cell r="M36">
            <v>88.385999999999996</v>
          </cell>
        </row>
        <row r="37">
          <cell r="M37">
            <v>89.88794</v>
          </cell>
        </row>
        <row r="38">
          <cell r="M38">
            <v>93.382000000000005</v>
          </cell>
        </row>
        <row r="39">
          <cell r="M39">
            <v>99.686000000000007</v>
          </cell>
        </row>
        <row r="40">
          <cell r="M40">
            <v>108.64</v>
          </cell>
        </row>
        <row r="41">
          <cell r="M41">
            <v>112.226</v>
          </cell>
        </row>
        <row r="42">
          <cell r="M42">
            <v>112</v>
          </cell>
        </row>
        <row r="43">
          <cell r="M43">
            <v>113</v>
          </cell>
        </row>
        <row r="44">
          <cell r="M44">
            <v>72.871349999999993</v>
          </cell>
        </row>
        <row r="45">
          <cell r="M45">
            <v>71</v>
          </cell>
        </row>
        <row r="46">
          <cell r="M46">
            <v>72.599999999999994</v>
          </cell>
        </row>
        <row r="47">
          <cell r="M47">
            <v>71.105999999999995</v>
          </cell>
        </row>
        <row r="48">
          <cell r="M48">
            <v>71</v>
          </cell>
        </row>
        <row r="49">
          <cell r="M49">
            <v>73.333999999999989</v>
          </cell>
        </row>
        <row r="50">
          <cell r="M50">
            <v>150.3374</v>
          </cell>
        </row>
        <row r="51">
          <cell r="M51">
            <v>149.26140000000001</v>
          </cell>
        </row>
        <row r="52">
          <cell r="M52">
            <v>140.74799999999999</v>
          </cell>
        </row>
        <row r="53">
          <cell r="M53">
            <v>147.19422</v>
          </cell>
        </row>
        <row r="54">
          <cell r="M54">
            <v>138</v>
          </cell>
        </row>
        <row r="55">
          <cell r="M55">
            <v>139.06049999999999</v>
          </cell>
        </row>
        <row r="56">
          <cell r="M56">
            <v>158</v>
          </cell>
        </row>
        <row r="57">
          <cell r="M57">
            <v>168</v>
          </cell>
        </row>
        <row r="58">
          <cell r="M58">
            <v>162</v>
          </cell>
        </row>
        <row r="59">
          <cell r="M59">
            <v>163</v>
          </cell>
        </row>
        <row r="60">
          <cell r="M60">
            <v>170</v>
          </cell>
        </row>
        <row r="61">
          <cell r="M61">
            <v>172</v>
          </cell>
        </row>
        <row r="62">
          <cell r="M62">
            <v>827.81</v>
          </cell>
        </row>
        <row r="63">
          <cell r="M63">
            <v>865.79799999999989</v>
          </cell>
        </row>
        <row r="64">
          <cell r="M64">
            <v>860.19799999999998</v>
          </cell>
        </row>
        <row r="65">
          <cell r="M65">
            <v>906.23599999999999</v>
          </cell>
        </row>
        <row r="66">
          <cell r="M66">
            <v>903.16599999999994</v>
          </cell>
        </row>
        <row r="67">
          <cell r="M67">
            <v>897</v>
          </cell>
        </row>
        <row r="68">
          <cell r="M68">
            <v>64.545073189849717</v>
          </cell>
        </row>
        <row r="69">
          <cell r="M69">
            <v>64</v>
          </cell>
        </row>
        <row r="70">
          <cell r="M70">
            <v>63.091568899999999</v>
          </cell>
        </row>
        <row r="71">
          <cell r="M71">
            <v>72.141157090612595</v>
          </cell>
        </row>
        <row r="72">
          <cell r="M72">
            <v>80.813023435385333</v>
          </cell>
        </row>
        <row r="73">
          <cell r="M73">
            <v>75.595631532965328</v>
          </cell>
        </row>
        <row r="74">
          <cell r="M74">
            <v>135.64599999999999</v>
          </cell>
        </row>
        <row r="75">
          <cell r="M75">
            <v>136.93199999999999</v>
          </cell>
        </row>
        <row r="76">
          <cell r="M76">
            <v>135.22113999999999</v>
          </cell>
        </row>
        <row r="77">
          <cell r="M77">
            <v>137.20892000000001</v>
          </cell>
        </row>
        <row r="78">
          <cell r="M78">
            <v>136.74052</v>
          </cell>
        </row>
        <row r="79">
          <cell r="M79">
            <v>143.60642000000001</v>
          </cell>
        </row>
        <row r="80">
          <cell r="M80">
            <v>70.928200000000004</v>
          </cell>
        </row>
        <row r="81">
          <cell r="M81">
            <v>70</v>
          </cell>
        </row>
        <row r="82">
          <cell r="M82">
            <v>69</v>
          </cell>
        </row>
        <row r="83">
          <cell r="M83">
            <v>69.47</v>
          </cell>
        </row>
        <row r="84">
          <cell r="M84">
            <v>68.702619999999996</v>
          </cell>
        </row>
        <row r="85">
          <cell r="M85">
            <v>70.240216451048866</v>
          </cell>
        </row>
        <row r="86">
          <cell r="M86">
            <v>298</v>
          </cell>
        </row>
        <row r="87">
          <cell r="M87">
            <v>332</v>
          </cell>
        </row>
        <row r="88">
          <cell r="M88">
            <v>312.5</v>
          </cell>
        </row>
        <row r="89">
          <cell r="M89">
            <v>353.68265999999988</v>
          </cell>
        </row>
        <row r="90">
          <cell r="M90">
            <v>323</v>
          </cell>
        </row>
        <row r="91">
          <cell r="M91">
            <v>329</v>
          </cell>
        </row>
        <row r="92">
          <cell r="M92">
            <v>1711</v>
          </cell>
        </row>
        <row r="93">
          <cell r="M93">
            <v>1746</v>
          </cell>
        </row>
        <row r="94">
          <cell r="M94">
            <v>1731.7</v>
          </cell>
        </row>
        <row r="95">
          <cell r="M95">
            <v>1754.7619999999999</v>
          </cell>
        </row>
        <row r="96">
          <cell r="M96">
            <v>1697.58</v>
          </cell>
        </row>
        <row r="97">
          <cell r="M97">
            <v>1768.146</v>
          </cell>
        </row>
        <row r="98">
          <cell r="M98">
            <v>68.164000000000001</v>
          </cell>
        </row>
        <row r="99">
          <cell r="M99">
            <v>68.184020000000004</v>
          </cell>
        </row>
        <row r="100">
          <cell r="M100">
            <v>69.001339999999999</v>
          </cell>
        </row>
        <row r="101">
          <cell r="M101">
            <v>72.841759999999994</v>
          </cell>
        </row>
        <row r="102">
          <cell r="M102">
            <v>73.313999999999993</v>
          </cell>
        </row>
        <row r="103">
          <cell r="M103">
            <v>74.050359999999998</v>
          </cell>
        </row>
        <row r="104">
          <cell r="M104">
            <v>240.34479999999999</v>
          </cell>
        </row>
        <row r="105">
          <cell r="M105">
            <v>286.83693877000002</v>
          </cell>
        </row>
        <row r="106">
          <cell r="M106">
            <v>246.413175314</v>
          </cell>
        </row>
        <row r="107">
          <cell r="M107">
            <v>259.69249000000002</v>
          </cell>
        </row>
        <row r="108">
          <cell r="M108">
            <v>273.088211914</v>
          </cell>
        </row>
        <row r="109">
          <cell r="M109">
            <v>271</v>
          </cell>
        </row>
        <row r="110">
          <cell r="M110">
            <v>553.47199999999998</v>
          </cell>
        </row>
        <row r="111">
          <cell r="M111">
            <v>560.18999999999994</v>
          </cell>
        </row>
        <row r="112">
          <cell r="M112">
            <v>544.63148000000001</v>
          </cell>
        </row>
        <row r="113">
          <cell r="M113">
            <v>556.75513999999998</v>
          </cell>
        </row>
        <row r="114">
          <cell r="M114">
            <v>521.976</v>
          </cell>
        </row>
        <row r="115">
          <cell r="M115">
            <v>522</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139.92400000000001</v>
          </cell>
        </row>
        <row r="3">
          <cell r="M3">
            <v>298.63605200000001</v>
          </cell>
        </row>
        <row r="6">
          <cell r="M6">
            <v>128.39680000000001</v>
          </cell>
        </row>
        <row r="8">
          <cell r="M8">
            <v>58.630800000000001</v>
          </cell>
        </row>
        <row r="9">
          <cell r="M9">
            <v>101.922</v>
          </cell>
        </row>
        <row r="11">
          <cell r="M11">
            <v>90</v>
          </cell>
        </row>
        <row r="12">
          <cell r="M12">
            <v>117</v>
          </cell>
        </row>
        <row r="13">
          <cell r="M13">
            <v>79.034999999999997</v>
          </cell>
        </row>
        <row r="15">
          <cell r="M15">
            <v>132.22404</v>
          </cell>
        </row>
        <row r="17">
          <cell r="M17">
            <v>176</v>
          </cell>
        </row>
        <row r="20">
          <cell r="M20">
            <v>916</v>
          </cell>
        </row>
        <row r="22">
          <cell r="M22">
            <v>72.680147094676201</v>
          </cell>
        </row>
        <row r="23">
          <cell r="M23">
            <v>146.89114000000001</v>
          </cell>
        </row>
        <row r="24">
          <cell r="M24">
            <v>70.864139999999992</v>
          </cell>
        </row>
        <row r="25">
          <cell r="M25">
            <v>348</v>
          </cell>
        </row>
        <row r="26">
          <cell r="M26">
            <v>1820.68</v>
          </cell>
        </row>
        <row r="27">
          <cell r="M27">
            <v>278</v>
          </cell>
        </row>
        <row r="28">
          <cell r="M28">
            <v>73.994</v>
          </cell>
        </row>
        <row r="29">
          <cell r="M29">
            <v>545.27</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139.80600000000001</v>
          </cell>
        </row>
        <row r="3">
          <cell r="M3">
            <v>283.19420400000001</v>
          </cell>
        </row>
        <row r="6">
          <cell r="M6">
            <v>129.02099999999999</v>
          </cell>
        </row>
        <row r="8">
          <cell r="M8">
            <v>59.2</v>
          </cell>
        </row>
        <row r="9">
          <cell r="M9">
            <v>101.384</v>
          </cell>
        </row>
        <row r="11">
          <cell r="M11">
            <v>95.082000000000008</v>
          </cell>
        </row>
        <row r="12">
          <cell r="M12">
            <v>115.4</v>
          </cell>
        </row>
        <row r="13">
          <cell r="M13">
            <v>74.41</v>
          </cell>
        </row>
        <row r="15">
          <cell r="M15">
            <v>142.14349999999999</v>
          </cell>
        </row>
        <row r="17">
          <cell r="M17">
            <v>173</v>
          </cell>
        </row>
        <row r="20">
          <cell r="M20">
            <v>923</v>
          </cell>
        </row>
        <row r="22">
          <cell r="M22">
            <v>78.649624400000008</v>
          </cell>
        </row>
        <row r="23">
          <cell r="M23">
            <v>148.22674000000001</v>
          </cell>
        </row>
        <row r="24">
          <cell r="M24">
            <v>124</v>
          </cell>
        </row>
        <row r="25">
          <cell r="M25">
            <v>329</v>
          </cell>
        </row>
        <row r="26">
          <cell r="M26">
            <v>1745</v>
          </cell>
        </row>
        <row r="27">
          <cell r="M27">
            <v>271.40499999999997</v>
          </cell>
        </row>
        <row r="28">
          <cell r="M28">
            <v>71.823999999999998</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4"/>
      <sheetName val="Table 5"/>
      <sheetName val="OMA"/>
      <sheetName val="WK gd"/>
      <sheetName val="WK reg"/>
      <sheetName val="Capital Summary"/>
      <sheetName val="Option1"/>
      <sheetName val="Option2"/>
      <sheetName val="Options Summary"/>
      <sheetName val="EUCPI"/>
      <sheetName val="cansim7489894807560217334"/>
      <sheetName val="cansim4991831516232113532"/>
      <sheetName val="cansim2459289208165912023"/>
      <sheetName val="GDPIPI Ontario"/>
      <sheetName val="cansim4637592044584598436"/>
      <sheetName val="cansim3647575798580528602"/>
      <sheetName val="GM Table 10"/>
      <sheetName val="GM Table 8"/>
    </sheetNames>
    <sheetDataSet>
      <sheetData sheetId="0" refreshError="1"/>
      <sheetData sheetId="1" refreshError="1"/>
      <sheetData sheetId="2" refreshError="1"/>
      <sheetData sheetId="3" refreshError="1"/>
      <sheetData sheetId="4" refreshError="1"/>
      <sheetData sheetId="5" refreshError="1">
        <row r="7">
          <cell r="B7">
            <v>82.425000000000011</v>
          </cell>
        </row>
        <row r="8">
          <cell r="B8">
            <v>83.574999999999989</v>
          </cell>
        </row>
        <row r="9">
          <cell r="B9">
            <v>84.55</v>
          </cell>
        </row>
        <row r="11">
          <cell r="B11">
            <v>90.313653136531372</v>
          </cell>
          <cell r="F11">
            <v>696.12</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12301.3112</v>
          </cell>
        </row>
        <row r="3">
          <cell r="M3">
            <v>15271.56043</v>
          </cell>
        </row>
        <row r="4">
          <cell r="M4">
            <v>13822.025960000001</v>
          </cell>
        </row>
        <row r="5">
          <cell r="M5">
            <v>14767.108340000001</v>
          </cell>
        </row>
        <row r="6">
          <cell r="M6">
            <v>14568.654850000001</v>
          </cell>
        </row>
        <row r="7">
          <cell r="M7">
            <v>17171.222979999999</v>
          </cell>
        </row>
        <row r="8">
          <cell r="M8">
            <v>18641</v>
          </cell>
        </row>
        <row r="9">
          <cell r="M9">
            <v>22317</v>
          </cell>
        </row>
        <row r="10">
          <cell r="M10">
            <v>23608</v>
          </cell>
        </row>
        <row r="11">
          <cell r="M11">
            <v>25173</v>
          </cell>
        </row>
        <row r="12">
          <cell r="M12">
            <v>27472</v>
          </cell>
        </row>
        <row r="13">
          <cell r="M13">
            <v>35344</v>
          </cell>
        </row>
        <row r="14">
          <cell r="M14">
            <v>9414.26361</v>
          </cell>
        </row>
        <row r="15">
          <cell r="M15">
            <v>10633</v>
          </cell>
        </row>
        <row r="16">
          <cell r="M16">
            <v>11382.10564</v>
          </cell>
        </row>
        <row r="17">
          <cell r="M17">
            <v>11566.047167500001</v>
          </cell>
        </row>
        <row r="18">
          <cell r="M18">
            <v>13095</v>
          </cell>
        </row>
        <row r="19">
          <cell r="M19">
            <v>12890</v>
          </cell>
        </row>
        <row r="20">
          <cell r="M20">
            <v>7445.1994499999992</v>
          </cell>
        </row>
        <row r="21">
          <cell r="M21">
            <v>7809.8741499999996</v>
          </cell>
        </row>
        <row r="22">
          <cell r="M22">
            <v>7854.0554200000006</v>
          </cell>
        </row>
        <row r="23">
          <cell r="M23">
            <v>9448.3410999999996</v>
          </cell>
        </row>
        <row r="24">
          <cell r="M24">
            <v>9248.2761300000002</v>
          </cell>
        </row>
        <row r="25">
          <cell r="M25">
            <v>9922.0477800000008</v>
          </cell>
        </row>
        <row r="26">
          <cell r="M26">
            <v>8513</v>
          </cell>
        </row>
        <row r="27">
          <cell r="M27">
            <v>10191</v>
          </cell>
        </row>
        <row r="28">
          <cell r="M28">
            <v>10629</v>
          </cell>
        </row>
        <row r="29">
          <cell r="M29">
            <v>10567</v>
          </cell>
        </row>
        <row r="30">
          <cell r="M30">
            <v>10919</v>
          </cell>
        </row>
        <row r="31">
          <cell r="M31">
            <v>12071</v>
          </cell>
        </row>
        <row r="32">
          <cell r="M32">
            <v>6992.3367739845071</v>
          </cell>
        </row>
        <row r="33">
          <cell r="M33">
            <v>7731</v>
          </cell>
        </row>
        <row r="34">
          <cell r="M34">
            <v>7979.563466687965</v>
          </cell>
        </row>
        <row r="35">
          <cell r="M35">
            <v>9004.5443851238888</v>
          </cell>
        </row>
        <row r="36">
          <cell r="M36">
            <v>8723.8324934746033</v>
          </cell>
        </row>
        <row r="37">
          <cell r="M37">
            <v>10330.5049915991</v>
          </cell>
        </row>
        <row r="38">
          <cell r="M38">
            <v>10684.857</v>
          </cell>
        </row>
        <row r="39">
          <cell r="M39">
            <v>11931</v>
          </cell>
        </row>
        <row r="40">
          <cell r="M40">
            <v>12160.25</v>
          </cell>
        </row>
        <row r="41">
          <cell r="M41">
            <v>13638.53306</v>
          </cell>
        </row>
        <row r="42">
          <cell r="M42">
            <v>16196</v>
          </cell>
        </row>
        <row r="43">
          <cell r="M43">
            <v>14727.5</v>
          </cell>
        </row>
        <row r="44">
          <cell r="M44">
            <v>11574</v>
          </cell>
        </row>
        <row r="45">
          <cell r="M45">
            <v>12428</v>
          </cell>
        </row>
        <row r="46">
          <cell r="M46">
            <v>12486</v>
          </cell>
        </row>
        <row r="47">
          <cell r="M47">
            <v>13151</v>
          </cell>
        </row>
        <row r="48">
          <cell r="M48">
            <v>16076</v>
          </cell>
        </row>
        <row r="49">
          <cell r="M49">
            <v>14956</v>
          </cell>
        </row>
        <row r="50">
          <cell r="M50">
            <v>8429</v>
          </cell>
        </row>
        <row r="51">
          <cell r="M51">
            <v>8543</v>
          </cell>
        </row>
        <row r="52">
          <cell r="M52">
            <v>9818</v>
          </cell>
        </row>
        <row r="53">
          <cell r="M53">
            <v>10389</v>
          </cell>
        </row>
        <row r="54">
          <cell r="M54">
            <v>10316</v>
          </cell>
        </row>
        <row r="55">
          <cell r="M55">
            <v>10945</v>
          </cell>
        </row>
        <row r="56">
          <cell r="M56">
            <v>15276.37235760043</v>
          </cell>
        </row>
        <row r="57">
          <cell r="M57">
            <v>16149.14321814339</v>
          </cell>
        </row>
        <row r="58">
          <cell r="M58">
            <v>15727.686125800359</v>
          </cell>
        </row>
        <row r="59">
          <cell r="M59">
            <v>15670</v>
          </cell>
        </row>
        <row r="60">
          <cell r="M60">
            <v>16624.600112588429</v>
          </cell>
        </row>
        <row r="61">
          <cell r="M61">
            <v>21961.532875145749</v>
          </cell>
        </row>
        <row r="62">
          <cell r="M62">
            <v>65355.319773354822</v>
          </cell>
        </row>
        <row r="63">
          <cell r="M63">
            <v>67817.648873944156</v>
          </cell>
        </row>
        <row r="64">
          <cell r="M64">
            <v>65510.486778504099</v>
          </cell>
        </row>
        <row r="65">
          <cell r="M65">
            <v>69364.66225541968</v>
          </cell>
        </row>
        <row r="66">
          <cell r="M66">
            <v>73523.621091508336</v>
          </cell>
        </row>
        <row r="67">
          <cell r="M67">
            <v>70422.069412066543</v>
          </cell>
        </row>
        <row r="68">
          <cell r="M68">
            <v>9736.5836439999948</v>
          </cell>
        </row>
        <row r="69">
          <cell r="M69">
            <v>10693</v>
          </cell>
        </row>
        <row r="70">
          <cell r="M70">
            <v>10062</v>
          </cell>
        </row>
        <row r="71">
          <cell r="M71">
            <v>11215</v>
          </cell>
        </row>
        <row r="72">
          <cell r="M72">
            <v>11785.4843055</v>
          </cell>
        </row>
        <row r="73">
          <cell r="M73">
            <v>12200</v>
          </cell>
        </row>
        <row r="74">
          <cell r="M74">
            <v>13464.701999999999</v>
          </cell>
        </row>
        <row r="75">
          <cell r="M75">
            <v>13497.526</v>
          </cell>
        </row>
        <row r="76">
          <cell r="M76">
            <v>14413.540999999999</v>
          </cell>
        </row>
        <row r="77">
          <cell r="M77">
            <v>15183.84</v>
          </cell>
        </row>
        <row r="78">
          <cell r="M78">
            <v>14692.91</v>
          </cell>
        </row>
        <row r="79">
          <cell r="M79">
            <v>14896.81</v>
          </cell>
        </row>
        <row r="80">
          <cell r="M80">
            <v>12763.15617465926</v>
          </cell>
        </row>
        <row r="81">
          <cell r="M81">
            <v>12617.3259424278</v>
          </cell>
        </row>
        <row r="82">
          <cell r="M82">
            <v>13032.385186707919</v>
          </cell>
        </row>
        <row r="83">
          <cell r="M83">
            <v>14445.111881808451</v>
          </cell>
        </row>
        <row r="84">
          <cell r="M84">
            <v>14224.99520716896</v>
          </cell>
        </row>
        <row r="85">
          <cell r="M85">
            <v>16011.85701212451</v>
          </cell>
        </row>
        <row r="86">
          <cell r="M86">
            <v>32224.174999999999</v>
          </cell>
        </row>
        <row r="87">
          <cell r="M87">
            <v>34853.785604490076</v>
          </cell>
        </row>
        <row r="88">
          <cell r="M88">
            <v>35142.829238561593</v>
          </cell>
        </row>
        <row r="89">
          <cell r="M89">
            <v>35565.284</v>
          </cell>
        </row>
        <row r="90">
          <cell r="M90">
            <v>35386.228560000003</v>
          </cell>
        </row>
        <row r="91">
          <cell r="M91">
            <v>38485.987999999998</v>
          </cell>
        </row>
        <row r="92">
          <cell r="M92">
            <v>95112</v>
          </cell>
        </row>
        <row r="93">
          <cell r="M93">
            <v>106706</v>
          </cell>
        </row>
        <row r="94">
          <cell r="M94">
            <v>112188</v>
          </cell>
        </row>
        <row r="95">
          <cell r="M95">
            <v>108873</v>
          </cell>
        </row>
        <row r="96">
          <cell r="M96">
            <v>107863</v>
          </cell>
        </row>
        <row r="97">
          <cell r="M97">
            <v>113414.8866205727</v>
          </cell>
        </row>
        <row r="98">
          <cell r="M98">
            <v>4753</v>
          </cell>
        </row>
        <row r="99">
          <cell r="M99">
            <v>4548</v>
          </cell>
        </row>
        <row r="100">
          <cell r="M100">
            <v>5242</v>
          </cell>
        </row>
        <row r="101">
          <cell r="M101">
            <v>5736</v>
          </cell>
        </row>
        <row r="102">
          <cell r="M102">
            <v>6263</v>
          </cell>
        </row>
        <row r="103">
          <cell r="M103">
            <v>6550</v>
          </cell>
        </row>
        <row r="104">
          <cell r="M104">
            <v>18419.232619999999</v>
          </cell>
        </row>
        <row r="105">
          <cell r="M105">
            <v>18919.191740000009</v>
          </cell>
        </row>
        <row r="106">
          <cell r="M106">
            <v>17857.74745000001</v>
          </cell>
        </row>
        <row r="107">
          <cell r="M107">
            <v>21313.74795999999</v>
          </cell>
        </row>
        <row r="108">
          <cell r="M108">
            <v>25539.472930000011</v>
          </cell>
        </row>
        <row r="109">
          <cell r="M109">
            <v>24955.718981000002</v>
          </cell>
        </row>
        <row r="110">
          <cell r="M110">
            <v>28298.361239999998</v>
          </cell>
        </row>
        <row r="111">
          <cell r="M111">
            <v>29611.046129999999</v>
          </cell>
        </row>
        <row r="112">
          <cell r="M112">
            <v>25555.800360000001</v>
          </cell>
        </row>
        <row r="113">
          <cell r="M113">
            <v>29622.250530000001</v>
          </cell>
        </row>
        <row r="114">
          <cell r="M114">
            <v>30075.05891</v>
          </cell>
        </row>
        <row r="115">
          <cell r="M115">
            <v>33310.525000000001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WE"/>
    </sheetNames>
    <sheetDataSet>
      <sheetData sheetId="0">
        <row r="29">
          <cell r="C29">
            <v>711.29</v>
          </cell>
        </row>
        <row r="30">
          <cell r="C30">
            <v>728.71</v>
          </cell>
        </row>
        <row r="31">
          <cell r="C31">
            <v>748.99</v>
          </cell>
        </row>
        <row r="32">
          <cell r="C32">
            <v>776.33</v>
          </cell>
        </row>
        <row r="33">
          <cell r="C33">
            <v>788.8</v>
          </cell>
        </row>
        <row r="34">
          <cell r="C34">
            <v>819.19</v>
          </cell>
        </row>
        <row r="35">
          <cell r="C35">
            <v>838.34</v>
          </cell>
        </row>
        <row r="36">
          <cell r="C36">
            <v>848.77</v>
          </cell>
        </row>
        <row r="37">
          <cell r="C37">
            <v>881.36</v>
          </cell>
        </row>
        <row r="38">
          <cell r="C38">
            <v>893.4</v>
          </cell>
        </row>
        <row r="39">
          <cell r="C39">
            <v>906.08</v>
          </cell>
        </row>
        <row r="40">
          <cell r="C40">
            <v>919.93</v>
          </cell>
        </row>
        <row r="41">
          <cell r="C41">
            <v>938.24</v>
          </cell>
        </row>
        <row r="42">
          <cell r="C42">
            <v>962.86</v>
          </cell>
        </row>
        <row r="43">
          <cell r="C43">
            <v>973.75</v>
          </cell>
        </row>
        <row r="44">
          <cell r="C44">
            <v>992.55</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IPI"/>
      <sheetName val="Previous values"/>
      <sheetName val="Extract at 28May2018"/>
    </sheetNames>
    <sheetDataSet>
      <sheetData sheetId="0">
        <row r="10">
          <cell r="H10">
            <v>90.275000000000006</v>
          </cell>
        </row>
        <row r="21">
          <cell r="H21">
            <v>110.97499999999999</v>
          </cell>
        </row>
        <row r="22">
          <cell r="H22">
            <v>113.5</v>
          </cell>
        </row>
        <row r="23">
          <cell r="H23">
            <v>115.425</v>
          </cell>
        </row>
        <row r="24">
          <cell r="H24">
            <v>116.825</v>
          </cell>
        </row>
        <row r="25">
          <cell r="H25">
            <v>118.42500000000001</v>
          </cell>
        </row>
      </sheetData>
      <sheetData sheetId="1"/>
      <sheetData sheetId="2"/>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
      <sheetName val="T2"/>
      <sheetName val="T3"/>
      <sheetName val="T4"/>
      <sheetName val="T5"/>
      <sheetName val="T6"/>
      <sheetName val="T7"/>
      <sheetName val="T8"/>
      <sheetName val="T9"/>
      <sheetName val="T10"/>
      <sheetName val="T11"/>
      <sheetName val="T12"/>
      <sheetName val="T13"/>
      <sheetName val="T14"/>
      <sheetName val="T15"/>
      <sheetName val="T16"/>
      <sheetName val="T17A"/>
      <sheetName val="T17B"/>
      <sheetName val="Revised Rankings"/>
      <sheetName val="econometric rankings"/>
      <sheetName val="Industry TFP calculation (OPA0)"/>
      <sheetName val="Industry TFP calculation (OPA1)"/>
      <sheetName val="xx"/>
      <sheetName val="xxx"/>
      <sheetName val="Table 5"/>
      <sheetName val="x"/>
      <sheetName val="Table 6"/>
      <sheetName val="Table 7"/>
      <sheetName val="Table 8"/>
      <sheetName val="Table 9"/>
      <sheetName val="results with names"/>
      <sheetName val="Table 11"/>
      <sheetName val="Table 11 cont"/>
      <sheetName val="Table 12"/>
      <sheetName val="must delete 1"/>
      <sheetName val="Table 19"/>
      <sheetName val="Table 20"/>
      <sheetName val="backcast calculations"/>
      <sheetName val="Table 21"/>
      <sheetName val="Chart1 (2)"/>
      <sheetName val="Chart WP (2)"/>
      <sheetName val="Table 22"/>
      <sheetName val="Table 23"/>
      <sheetName val="must delete 2"/>
      <sheetName val="Table 24"/>
      <sheetName val="Table 24 cont"/>
      <sheetName val="Table 26"/>
      <sheetName val="Table A3-1"/>
      <sheetName val="Table A3-2"/>
      <sheetName val="2011 yndx calc"/>
      <sheetName val="2010 yndx calc"/>
      <sheetName val="2009 yndx calc "/>
      <sheetName val="2009-2011 Unit costs"/>
      <sheetName val="Peer Group Unit Cost Calc"/>
      <sheetName val="Unit Cost Evaluations"/>
      <sheetName val="BM Database"/>
      <sheetName val="AWE"/>
      <sheetName val="TFP Calculations"/>
      <sheetName val="EUCPI update July 2013"/>
      <sheetName val="gdpipi fdd c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8">
          <cell r="F8">
            <v>100</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ow r="9">
          <cell r="B9">
            <v>710.73</v>
          </cell>
        </row>
      </sheetData>
      <sheetData sheetId="57" refreshError="1"/>
      <sheetData sheetId="58" refreshError="1"/>
      <sheetData sheetId="59">
        <row r="10">
          <cell r="H10">
            <v>90.225000000000009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31216</v>
          </cell>
        </row>
        <row r="3">
          <cell r="M3">
            <v>31413</v>
          </cell>
        </row>
        <row r="4">
          <cell r="M4">
            <v>31672</v>
          </cell>
        </row>
        <row r="5">
          <cell r="M5">
            <v>31936</v>
          </cell>
        </row>
        <row r="6">
          <cell r="M6">
            <v>32829</v>
          </cell>
        </row>
        <row r="7">
          <cell r="M7">
            <v>32975</v>
          </cell>
        </row>
        <row r="8">
          <cell r="M8">
            <v>83305</v>
          </cell>
        </row>
        <row r="9">
          <cell r="M9">
            <v>83945</v>
          </cell>
        </row>
        <row r="10">
          <cell r="M10">
            <v>85007</v>
          </cell>
        </row>
        <row r="11">
          <cell r="M11">
            <v>85966</v>
          </cell>
        </row>
        <row r="12">
          <cell r="M12">
            <v>87102.035616438356</v>
          </cell>
        </row>
        <row r="13">
          <cell r="M13">
            <v>88588.098630136985</v>
          </cell>
        </row>
        <row r="14">
          <cell r="M14">
            <v>37511</v>
          </cell>
        </row>
        <row r="15">
          <cell r="M15">
            <v>38148</v>
          </cell>
        </row>
        <row r="16">
          <cell r="M16">
            <v>38856</v>
          </cell>
        </row>
        <row r="17">
          <cell r="M17">
            <v>39747</v>
          </cell>
        </row>
        <row r="18">
          <cell r="M18">
            <v>40794</v>
          </cell>
        </row>
        <row r="19">
          <cell r="M19">
            <v>41704</v>
          </cell>
        </row>
        <row r="20">
          <cell r="M20">
            <v>25556</v>
          </cell>
        </row>
        <row r="21">
          <cell r="M21">
            <v>25450</v>
          </cell>
        </row>
        <row r="22">
          <cell r="M22">
            <v>25392</v>
          </cell>
        </row>
        <row r="23">
          <cell r="M23">
            <v>25407</v>
          </cell>
        </row>
        <row r="24">
          <cell r="M24">
            <v>25512</v>
          </cell>
        </row>
        <row r="25">
          <cell r="M25">
            <v>42810</v>
          </cell>
        </row>
        <row r="26">
          <cell r="M26">
            <v>41982</v>
          </cell>
        </row>
        <row r="27">
          <cell r="M27">
            <v>39665</v>
          </cell>
        </row>
        <row r="28">
          <cell r="M28">
            <v>44206</v>
          </cell>
        </row>
        <row r="29">
          <cell r="M29">
            <v>44565.416666666657</v>
          </cell>
        </row>
        <row r="30">
          <cell r="M30">
            <v>44395.583333333328</v>
          </cell>
        </row>
        <row r="31">
          <cell r="M31">
            <v>24734.05961758085</v>
          </cell>
        </row>
        <row r="32">
          <cell r="M32">
            <v>24731.8000527453</v>
          </cell>
        </row>
        <row r="33">
          <cell r="M33">
            <v>24760.333333333339</v>
          </cell>
        </row>
        <row r="34">
          <cell r="M34">
            <v>24818</v>
          </cell>
        </row>
        <row r="35">
          <cell r="M35">
            <v>24913</v>
          </cell>
        </row>
        <row r="36">
          <cell r="M36">
            <v>25000</v>
          </cell>
        </row>
        <row r="37">
          <cell r="M37">
            <v>36718</v>
          </cell>
        </row>
        <row r="38">
          <cell r="M38">
            <v>38300</v>
          </cell>
        </row>
        <row r="39">
          <cell r="M39">
            <v>42698</v>
          </cell>
        </row>
        <row r="40">
          <cell r="M40">
            <v>36811</v>
          </cell>
        </row>
        <row r="41">
          <cell r="M41">
            <v>37442</v>
          </cell>
        </row>
        <row r="42">
          <cell r="M42">
            <v>38232</v>
          </cell>
        </row>
        <row r="43">
          <cell r="M43">
            <v>24445</v>
          </cell>
        </row>
        <row r="44">
          <cell r="M44">
            <v>24522.666666666661</v>
          </cell>
        </row>
        <row r="45">
          <cell r="M45">
            <v>24674.083333333339</v>
          </cell>
        </row>
        <row r="46">
          <cell r="M46">
            <v>24870</v>
          </cell>
        </row>
        <row r="47">
          <cell r="M47">
            <v>25132.666666666661</v>
          </cell>
        </row>
        <row r="48">
          <cell r="M48">
            <v>25374.083333333328</v>
          </cell>
        </row>
        <row r="49">
          <cell r="M49">
            <v>37293</v>
          </cell>
        </row>
        <row r="50">
          <cell r="M50">
            <v>37553.621345261243</v>
          </cell>
        </row>
        <row r="51">
          <cell r="M51">
            <v>38014</v>
          </cell>
        </row>
        <row r="52">
          <cell r="M52">
            <v>38535</v>
          </cell>
        </row>
        <row r="53">
          <cell r="M53">
            <v>39028</v>
          </cell>
        </row>
        <row r="54">
          <cell r="M54">
            <v>39578</v>
          </cell>
        </row>
        <row r="55">
          <cell r="M55">
            <v>54143</v>
          </cell>
        </row>
        <row r="56">
          <cell r="M56">
            <v>54641</v>
          </cell>
        </row>
        <row r="57">
          <cell r="M57">
            <v>56485</v>
          </cell>
        </row>
        <row r="58">
          <cell r="M58">
            <v>57247</v>
          </cell>
        </row>
        <row r="59">
          <cell r="M59">
            <v>57952</v>
          </cell>
        </row>
        <row r="60">
          <cell r="M60">
            <v>58430</v>
          </cell>
        </row>
        <row r="61">
          <cell r="M61">
            <v>322161.5</v>
          </cell>
        </row>
        <row r="62">
          <cell r="M62">
            <v>324593</v>
          </cell>
        </row>
        <row r="63">
          <cell r="M63">
            <v>327385.5</v>
          </cell>
        </row>
        <row r="64">
          <cell r="M64">
            <v>330577</v>
          </cell>
        </row>
        <row r="65">
          <cell r="M65">
            <v>334042</v>
          </cell>
        </row>
        <row r="66">
          <cell r="M66">
            <v>337134.5</v>
          </cell>
        </row>
        <row r="67">
          <cell r="M67">
            <v>23508</v>
          </cell>
        </row>
        <row r="68">
          <cell r="M68">
            <v>23595</v>
          </cell>
        </row>
        <row r="69">
          <cell r="M69">
            <v>23584</v>
          </cell>
        </row>
        <row r="70">
          <cell r="M70">
            <v>23652</v>
          </cell>
        </row>
        <row r="71">
          <cell r="M71">
            <v>23691</v>
          </cell>
        </row>
        <row r="72">
          <cell r="M72">
            <v>34578</v>
          </cell>
        </row>
        <row r="73">
          <cell r="M73">
            <v>34614.25</v>
          </cell>
        </row>
        <row r="74">
          <cell r="M74">
            <v>35090</v>
          </cell>
        </row>
        <row r="75">
          <cell r="M75">
            <v>35474</v>
          </cell>
        </row>
        <row r="76">
          <cell r="M76">
            <v>35507</v>
          </cell>
        </row>
        <row r="77">
          <cell r="M77">
            <v>35698</v>
          </cell>
        </row>
        <row r="78">
          <cell r="M78">
            <v>30606</v>
          </cell>
        </row>
        <row r="79">
          <cell r="M79">
            <v>30668</v>
          </cell>
        </row>
        <row r="80">
          <cell r="M80">
            <v>30771</v>
          </cell>
        </row>
        <row r="81">
          <cell r="M81">
            <v>31025</v>
          </cell>
        </row>
        <row r="82">
          <cell r="M82">
            <v>31365</v>
          </cell>
        </row>
        <row r="83">
          <cell r="M83">
            <v>31641</v>
          </cell>
        </row>
        <row r="84">
          <cell r="M84">
            <v>109315.5833333333</v>
          </cell>
        </row>
        <row r="85">
          <cell r="M85">
            <v>110029</v>
          </cell>
        </row>
        <row r="86">
          <cell r="M86">
            <v>110575.8333333333</v>
          </cell>
        </row>
        <row r="87">
          <cell r="M87">
            <v>111045.3333333333</v>
          </cell>
        </row>
        <row r="88">
          <cell r="M88">
            <v>111842</v>
          </cell>
        </row>
        <row r="89">
          <cell r="M89">
            <v>112781</v>
          </cell>
        </row>
        <row r="90">
          <cell r="M90">
            <v>536085.83333333349</v>
          </cell>
        </row>
        <row r="91">
          <cell r="M91">
            <v>540539</v>
          </cell>
        </row>
        <row r="92">
          <cell r="M92">
            <v>557490</v>
          </cell>
        </row>
        <row r="93">
          <cell r="M93">
            <v>23832</v>
          </cell>
        </row>
        <row r="94">
          <cell r="M94">
            <v>24203</v>
          </cell>
        </row>
        <row r="95">
          <cell r="M95">
            <v>24598</v>
          </cell>
        </row>
        <row r="96">
          <cell r="M96">
            <v>25099</v>
          </cell>
        </row>
        <row r="97">
          <cell r="M97">
            <v>25614</v>
          </cell>
        </row>
        <row r="98">
          <cell r="M98">
            <v>26077</v>
          </cell>
        </row>
        <row r="99">
          <cell r="M99">
            <v>84710.5</v>
          </cell>
        </row>
        <row r="100">
          <cell r="M100">
            <v>85809.5</v>
          </cell>
        </row>
        <row r="101">
          <cell r="M101">
            <v>86738</v>
          </cell>
        </row>
        <row r="102">
          <cell r="M102">
            <v>87703.333333333343</v>
          </cell>
        </row>
        <row r="103">
          <cell r="M103">
            <v>89079.666666666701</v>
          </cell>
        </row>
        <row r="104">
          <cell r="M104">
            <v>90601</v>
          </cell>
        </row>
        <row r="105">
          <cell r="M105">
            <v>164804.16666666669</v>
          </cell>
        </row>
        <row r="106">
          <cell r="M106">
            <v>164797.3315068493</v>
          </cell>
        </row>
        <row r="107">
          <cell r="M107">
            <v>165689.90934065939</v>
          </cell>
        </row>
        <row r="108">
          <cell r="M108">
            <v>166590.52602739731</v>
          </cell>
        </row>
        <row r="109">
          <cell r="M109">
            <v>166344</v>
          </cell>
        </row>
        <row r="110">
          <cell r="M110">
            <v>166909.58333333331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4126</v>
          </cell>
        </row>
        <row r="3">
          <cell r="M3">
            <v>4145</v>
          </cell>
        </row>
        <row r="4">
          <cell r="M4">
            <v>4180</v>
          </cell>
        </row>
        <row r="5">
          <cell r="M5">
            <v>4271.3974644884756</v>
          </cell>
        </row>
        <row r="6">
          <cell r="M6">
            <v>4191.0950000000003</v>
          </cell>
        </row>
        <row r="7">
          <cell r="M7">
            <v>4288</v>
          </cell>
        </row>
        <row r="8">
          <cell r="M8">
            <v>637</v>
          </cell>
        </row>
        <row r="9">
          <cell r="M9">
            <v>645</v>
          </cell>
        </row>
        <row r="10">
          <cell r="M10">
            <v>656</v>
          </cell>
        </row>
        <row r="11">
          <cell r="M11">
            <v>599.10044667560339</v>
          </cell>
        </row>
        <row r="12">
          <cell r="M12">
            <v>664</v>
          </cell>
        </row>
        <row r="13">
          <cell r="M13">
            <v>767</v>
          </cell>
        </row>
        <row r="14">
          <cell r="M14">
            <v>5542.6422050359388</v>
          </cell>
        </row>
        <row r="15">
          <cell r="M15">
            <v>5796</v>
          </cell>
        </row>
        <row r="16">
          <cell r="M16">
            <v>5814.6798517685511</v>
          </cell>
        </row>
        <row r="17">
          <cell r="M17">
            <v>5877.5070888003411</v>
          </cell>
        </row>
        <row r="18">
          <cell r="M18">
            <v>6135</v>
          </cell>
        </row>
        <row r="19">
          <cell r="M19">
            <v>6682.91</v>
          </cell>
        </row>
        <row r="20">
          <cell r="M20">
            <v>1645.0410654279569</v>
          </cell>
        </row>
        <row r="21">
          <cell r="M21">
            <v>1895</v>
          </cell>
        </row>
        <row r="22">
          <cell r="M22">
            <v>1924.5707989130351</v>
          </cell>
        </row>
        <row r="23">
          <cell r="M23">
            <v>1987.5609918646819</v>
          </cell>
        </row>
        <row r="24">
          <cell r="M24">
            <v>2201</v>
          </cell>
        </row>
        <row r="25">
          <cell r="M25">
            <v>2284.21</v>
          </cell>
        </row>
        <row r="26">
          <cell r="M26">
            <v>3062.4989999999998</v>
          </cell>
        </row>
        <row r="27">
          <cell r="M27">
            <v>3075.067</v>
          </cell>
        </row>
        <row r="28">
          <cell r="M28">
            <v>3124.9810000000002</v>
          </cell>
        </row>
        <row r="29">
          <cell r="M29">
            <v>3185.145198816861</v>
          </cell>
        </row>
        <row r="30">
          <cell r="M30">
            <v>3239.3993599369992</v>
          </cell>
        </row>
        <row r="31">
          <cell r="M31">
            <v>3234.5479071159989</v>
          </cell>
        </row>
        <row r="32">
          <cell r="M32">
            <v>663.84400000000005</v>
          </cell>
        </row>
        <row r="33">
          <cell r="M33">
            <v>689.99199999999996</v>
          </cell>
        </row>
        <row r="34">
          <cell r="M34">
            <v>744.1</v>
          </cell>
        </row>
        <row r="35">
          <cell r="M35">
            <v>823.88188884322767</v>
          </cell>
        </row>
        <row r="36">
          <cell r="M36">
            <v>873.527012947</v>
          </cell>
        </row>
        <row r="37">
          <cell r="M37">
            <v>892.87990696299994</v>
          </cell>
        </row>
        <row r="38">
          <cell r="M38">
            <v>3645.3530000000001</v>
          </cell>
        </row>
        <row r="39">
          <cell r="M39">
            <v>3650.5113490136018</v>
          </cell>
        </row>
        <row r="40">
          <cell r="M40">
            <v>3954.0351670250338</v>
          </cell>
        </row>
        <row r="41">
          <cell r="M41">
            <v>3952.563889718605</v>
          </cell>
        </row>
        <row r="42">
          <cell r="M42">
            <v>3951.7057826052619</v>
          </cell>
        </row>
        <row r="43">
          <cell r="M43">
            <v>3950.6127613150588</v>
          </cell>
        </row>
        <row r="44">
          <cell r="M44">
            <v>386.35300000000001</v>
          </cell>
        </row>
        <row r="45">
          <cell r="M45">
            <v>391.38682200000051</v>
          </cell>
        </row>
        <row r="46">
          <cell r="M46">
            <v>390.51878600000032</v>
          </cell>
        </row>
        <row r="47">
          <cell r="M47">
            <v>394.75977900000038</v>
          </cell>
        </row>
        <row r="48">
          <cell r="M48">
            <v>398.56680700000049</v>
          </cell>
        </row>
        <row r="49">
          <cell r="M49">
            <v>403.87853500000051</v>
          </cell>
        </row>
        <row r="50">
          <cell r="M50">
            <v>2256</v>
          </cell>
        </row>
        <row r="51">
          <cell r="M51">
            <v>2263</v>
          </cell>
        </row>
        <row r="52">
          <cell r="M52">
            <v>2256</v>
          </cell>
        </row>
        <row r="53">
          <cell r="M53">
            <v>2256</v>
          </cell>
        </row>
        <row r="54">
          <cell r="M54">
            <v>2248</v>
          </cell>
        </row>
        <row r="55">
          <cell r="M55">
            <v>2275</v>
          </cell>
        </row>
        <row r="56">
          <cell r="M56">
            <v>711</v>
          </cell>
        </row>
        <row r="57">
          <cell r="M57">
            <v>723</v>
          </cell>
        </row>
        <row r="58">
          <cell r="M58">
            <v>732</v>
          </cell>
        </row>
        <row r="59">
          <cell r="M59">
            <v>743</v>
          </cell>
        </row>
        <row r="60">
          <cell r="M60">
            <v>743</v>
          </cell>
        </row>
        <row r="61">
          <cell r="M61">
            <v>751</v>
          </cell>
        </row>
        <row r="62">
          <cell r="M62">
            <v>2372.63</v>
          </cell>
        </row>
        <row r="63">
          <cell r="M63">
            <v>2381.3679400000001</v>
          </cell>
        </row>
        <row r="64">
          <cell r="M64">
            <v>2494.3450499999999</v>
          </cell>
        </row>
        <row r="65">
          <cell r="M65">
            <v>2513.50479</v>
          </cell>
        </row>
        <row r="66">
          <cell r="M66">
            <v>2519.59184</v>
          </cell>
        </row>
        <row r="67">
          <cell r="M67">
            <v>2522.0376099999999</v>
          </cell>
        </row>
        <row r="68">
          <cell r="M68">
            <v>455.8</v>
          </cell>
        </row>
        <row r="69">
          <cell r="M69">
            <v>469.25599999999997</v>
          </cell>
        </row>
        <row r="70">
          <cell r="M70">
            <v>540.36164000000008</v>
          </cell>
        </row>
        <row r="71">
          <cell r="M71">
            <v>549.12087999999994</v>
          </cell>
        </row>
        <row r="72">
          <cell r="M72">
            <v>556.70023000000003</v>
          </cell>
        </row>
        <row r="73">
          <cell r="M73">
            <v>569.13651000000004</v>
          </cell>
        </row>
        <row r="74">
          <cell r="M74">
            <v>4812.0000000000009</v>
          </cell>
        </row>
        <row r="75">
          <cell r="M75">
            <v>4839.2</v>
          </cell>
        </row>
        <row r="76">
          <cell r="M76">
            <v>4899.8310000000001</v>
          </cell>
        </row>
        <row r="77">
          <cell r="M77">
            <v>4959.4000000000005</v>
          </cell>
        </row>
        <row r="78">
          <cell r="M78">
            <v>4987.2000000000007</v>
          </cell>
        </row>
        <row r="79">
          <cell r="M79">
            <v>5019.7000000000007</v>
          </cell>
        </row>
        <row r="80">
          <cell r="M80">
            <v>836.8</v>
          </cell>
        </row>
        <row r="81">
          <cell r="M81">
            <v>860.59999999999991</v>
          </cell>
        </row>
        <row r="82">
          <cell r="M82">
            <v>898.52300000000002</v>
          </cell>
        </row>
        <row r="83">
          <cell r="M83">
            <v>931.6</v>
          </cell>
        </row>
        <row r="84">
          <cell r="M84">
            <v>958.2</v>
          </cell>
        </row>
        <row r="85">
          <cell r="M85">
            <v>987.7</v>
          </cell>
        </row>
        <row r="86">
          <cell r="M86">
            <v>3300.125</v>
          </cell>
        </row>
        <row r="87">
          <cell r="M87">
            <v>3371.226000000001</v>
          </cell>
        </row>
        <row r="88">
          <cell r="M88">
            <v>3380.467000000001</v>
          </cell>
        </row>
        <row r="89">
          <cell r="M89">
            <v>3383.2134000000001</v>
          </cell>
        </row>
        <row r="90">
          <cell r="M90">
            <v>3395.9438339459498</v>
          </cell>
        </row>
        <row r="91">
          <cell r="M91">
            <v>3385.6069770712679</v>
          </cell>
        </row>
        <row r="92">
          <cell r="M92">
            <v>442.84300000000002</v>
          </cell>
        </row>
        <row r="93">
          <cell r="M93">
            <v>517.39600000000019</v>
          </cell>
        </row>
        <row r="94">
          <cell r="M94">
            <v>533.71199999999999</v>
          </cell>
        </row>
        <row r="95">
          <cell r="M95">
            <v>546.81340000000012</v>
          </cell>
        </row>
        <row r="96">
          <cell r="M96">
            <v>546.24391565382882</v>
          </cell>
        </row>
        <row r="97">
          <cell r="M97">
            <v>549.15602700770455</v>
          </cell>
        </row>
        <row r="98">
          <cell r="M98">
            <v>3374</v>
          </cell>
        </row>
        <row r="99">
          <cell r="M99">
            <v>3395</v>
          </cell>
        </row>
        <row r="100">
          <cell r="M100">
            <v>3570.9</v>
          </cell>
        </row>
        <row r="101">
          <cell r="M101">
            <v>3569.8</v>
          </cell>
        </row>
        <row r="102">
          <cell r="M102">
            <v>3581</v>
          </cell>
        </row>
        <row r="103">
          <cell r="M103">
            <v>3594</v>
          </cell>
        </row>
        <row r="104">
          <cell r="M104">
            <v>827</v>
          </cell>
        </row>
        <row r="105">
          <cell r="M105">
            <v>850</v>
          </cell>
        </row>
        <row r="106">
          <cell r="M106">
            <v>872.19999999999993</v>
          </cell>
        </row>
        <row r="107">
          <cell r="M107">
            <v>881.90000000000009</v>
          </cell>
        </row>
        <row r="108">
          <cell r="M108">
            <v>897</v>
          </cell>
        </row>
        <row r="109">
          <cell r="M109">
            <v>917</v>
          </cell>
        </row>
        <row r="110">
          <cell r="M110">
            <v>5771.2999999999993</v>
          </cell>
        </row>
        <row r="111">
          <cell r="M111">
            <v>5870.5645999999751</v>
          </cell>
        </row>
        <row r="112">
          <cell r="M112">
            <v>5894.0504700000001</v>
          </cell>
        </row>
        <row r="113">
          <cell r="M113">
            <v>5938.9158199999893</v>
          </cell>
        </row>
        <row r="114">
          <cell r="M114">
            <v>5981.1995200000092</v>
          </cell>
        </row>
        <row r="115">
          <cell r="M115">
            <v>6017.3980600000004</v>
          </cell>
        </row>
        <row r="116">
          <cell r="M116">
            <v>855.19999999999993</v>
          </cell>
        </row>
        <row r="117">
          <cell r="M117">
            <v>879.57328000000598</v>
          </cell>
        </row>
        <row r="118">
          <cell r="M118">
            <v>901.36377999999991</v>
          </cell>
        </row>
        <row r="119">
          <cell r="M119">
            <v>927.74556000001098</v>
          </cell>
        </row>
        <row r="120">
          <cell r="M120">
            <v>969.01152000000911</v>
          </cell>
        </row>
        <row r="121">
          <cell r="M121">
            <v>1005.25092</v>
          </cell>
        </row>
        <row r="122">
          <cell r="M122">
            <v>28879.355304661309</v>
          </cell>
        </row>
        <row r="123">
          <cell r="M123">
            <v>27731.452660999999</v>
          </cell>
        </row>
        <row r="124">
          <cell r="M124">
            <v>27832.707504999998</v>
          </cell>
        </row>
        <row r="125">
          <cell r="M125">
            <v>27903.905121</v>
          </cell>
        </row>
        <row r="126">
          <cell r="M126">
            <v>28034.445577999999</v>
          </cell>
        </row>
        <row r="127">
          <cell r="M127">
            <v>28114.51109399999</v>
          </cell>
        </row>
        <row r="128">
          <cell r="M128">
            <v>6603.5398328602496</v>
          </cell>
        </row>
        <row r="129">
          <cell r="M129">
            <v>5931.5481900000004</v>
          </cell>
        </row>
        <row r="130">
          <cell r="M130">
            <v>6037.3650520000001</v>
          </cell>
        </row>
        <row r="131">
          <cell r="M131">
            <v>6150.1530129999992</v>
          </cell>
        </row>
        <row r="132">
          <cell r="M132">
            <v>6297.4305909999994</v>
          </cell>
        </row>
        <row r="133">
          <cell r="M133">
            <v>6413.9254179999998</v>
          </cell>
        </row>
        <row r="134">
          <cell r="M134">
            <v>4340.0304100000103</v>
          </cell>
        </row>
        <row r="135">
          <cell r="M135">
            <v>4250.6271400000151</v>
          </cell>
        </row>
        <row r="136">
          <cell r="M136">
            <v>4330.1400389689588</v>
          </cell>
        </row>
        <row r="137">
          <cell r="M137">
            <v>4368.7104365912592</v>
          </cell>
        </row>
        <row r="138">
          <cell r="M138">
            <v>4346.5890500000014</v>
          </cell>
        </row>
        <row r="139">
          <cell r="M139">
            <v>4423.0749300000007</v>
          </cell>
        </row>
        <row r="140">
          <cell r="M140">
            <v>299.22651999999999</v>
          </cell>
        </row>
        <row r="141">
          <cell r="M141">
            <v>252.29101</v>
          </cell>
        </row>
        <row r="142">
          <cell r="M142">
            <v>301.65611999999999</v>
          </cell>
        </row>
        <row r="143">
          <cell r="M143">
            <v>307.55912000000001</v>
          </cell>
        </row>
        <row r="144">
          <cell r="M144">
            <v>309.32411999999999</v>
          </cell>
        </row>
        <row r="145">
          <cell r="M145">
            <v>317.79712000000001</v>
          </cell>
        </row>
        <row r="146">
          <cell r="M146">
            <v>8690.079380000001</v>
          </cell>
        </row>
        <row r="147">
          <cell r="M147">
            <v>8808.8112799999981</v>
          </cell>
        </row>
        <row r="148">
          <cell r="M148">
            <v>8808.497374999999</v>
          </cell>
        </row>
        <row r="149">
          <cell r="M149">
            <v>8844.8352999999988</v>
          </cell>
        </row>
        <row r="150">
          <cell r="M150">
            <v>8882.7531100001288</v>
          </cell>
        </row>
        <row r="151">
          <cell r="M151">
            <v>8826.1380949996983</v>
          </cell>
        </row>
        <row r="152">
          <cell r="M152">
            <v>343.10466000000002</v>
          </cell>
        </row>
        <row r="153">
          <cell r="M153">
            <v>350.69646999999998</v>
          </cell>
        </row>
        <row r="154">
          <cell r="M154">
            <v>360.32672000000002</v>
          </cell>
        </row>
        <row r="155">
          <cell r="M155">
            <v>370.63078000000002</v>
          </cell>
        </row>
        <row r="156">
          <cell r="M156">
            <v>380.93061999999998</v>
          </cell>
        </row>
        <row r="157">
          <cell r="M157">
            <v>369.61464000000018</v>
          </cell>
        </row>
        <row r="158">
          <cell r="M158">
            <v>3922.54</v>
          </cell>
        </row>
        <row r="159">
          <cell r="M159">
            <v>3955.3419600000002</v>
          </cell>
        </row>
        <row r="160">
          <cell r="M160">
            <v>3979.72</v>
          </cell>
        </row>
        <row r="161">
          <cell r="M161">
            <v>4016.1509999999998</v>
          </cell>
        </row>
        <row r="162">
          <cell r="M162">
            <v>4030.006200000003</v>
          </cell>
        </row>
        <row r="163">
          <cell r="M163">
            <v>4051.24</v>
          </cell>
        </row>
        <row r="164">
          <cell r="M164">
            <v>808.31</v>
          </cell>
        </row>
        <row r="165">
          <cell r="M165">
            <v>838.01214999999991</v>
          </cell>
        </row>
        <row r="166">
          <cell r="M166">
            <v>852.66000000000008</v>
          </cell>
        </row>
        <row r="167">
          <cell r="M167">
            <v>862.11999999999989</v>
          </cell>
        </row>
        <row r="168">
          <cell r="M168">
            <v>872.30259999999998</v>
          </cell>
        </row>
        <row r="169">
          <cell r="M169">
            <v>878.4</v>
          </cell>
        </row>
        <row r="170">
          <cell r="M170">
            <v>8035.9585540003454</v>
          </cell>
        </row>
        <row r="171">
          <cell r="M171">
            <v>8897.0341670002636</v>
          </cell>
        </row>
        <row r="172">
          <cell r="M172">
            <v>9083.1209169999347</v>
          </cell>
        </row>
        <row r="173">
          <cell r="M173">
            <v>9002.4532099999888</v>
          </cell>
        </row>
        <row r="174">
          <cell r="M174">
            <v>9181.8665469999578</v>
          </cell>
        </row>
        <row r="175">
          <cell r="M175">
            <v>9244.7115889999932</v>
          </cell>
        </row>
        <row r="176">
          <cell r="M176">
            <v>2536.2446869999721</v>
          </cell>
        </row>
        <row r="177">
          <cell r="M177">
            <v>3341.6851839999549</v>
          </cell>
        </row>
        <row r="178">
          <cell r="M178">
            <v>3391.737288000003</v>
          </cell>
        </row>
        <row r="179">
          <cell r="M179">
            <v>3488.0615940000039</v>
          </cell>
        </row>
        <row r="180">
          <cell r="M180">
            <v>3612.719898000003</v>
          </cell>
        </row>
        <row r="181">
          <cell r="M181">
            <v>3675.5578249999999</v>
          </cell>
        </row>
        <row r="182">
          <cell r="M182">
            <v>17848.91422799998</v>
          </cell>
        </row>
        <row r="183">
          <cell r="M183">
            <v>17961</v>
          </cell>
        </row>
        <row r="184">
          <cell r="M184">
            <v>18116.144</v>
          </cell>
        </row>
        <row r="185">
          <cell r="M185">
            <v>18265.681</v>
          </cell>
        </row>
        <row r="186">
          <cell r="M186">
            <v>18455.371760096899</v>
          </cell>
        </row>
        <row r="187">
          <cell r="M187">
            <v>18658.018</v>
          </cell>
        </row>
        <row r="188">
          <cell r="M188">
            <v>9416.5806809999503</v>
          </cell>
        </row>
        <row r="189">
          <cell r="M189">
            <v>9567</v>
          </cell>
        </row>
        <row r="190">
          <cell r="M190">
            <v>9741.5499999999993</v>
          </cell>
        </row>
        <row r="191">
          <cell r="M191">
            <v>9921.2890000000007</v>
          </cell>
        </row>
        <row r="192">
          <cell r="M192">
            <v>10100.897760096899</v>
          </cell>
        </row>
        <row r="193">
          <cell r="M193">
            <v>10314.826999999999</v>
          </cell>
        </row>
        <row r="194">
          <cell r="M194">
            <v>2076.4400399999981</v>
          </cell>
        </row>
        <row r="195">
          <cell r="M195">
            <v>2099.591619999997</v>
          </cell>
        </row>
        <row r="196">
          <cell r="M196">
            <v>2116.7104899999981</v>
          </cell>
        </row>
        <row r="197">
          <cell r="M197">
            <v>2135.9465699999978</v>
          </cell>
        </row>
        <row r="198">
          <cell r="M198">
            <v>2187.1608499999979</v>
          </cell>
        </row>
        <row r="199">
          <cell r="M199">
            <v>2211.7859399999979</v>
          </cell>
        </row>
        <row r="200">
          <cell r="M200">
            <v>351.67791000000011</v>
          </cell>
        </row>
        <row r="201">
          <cell r="M201">
            <v>370.8433500000001</v>
          </cell>
        </row>
        <row r="202">
          <cell r="M202">
            <v>389.1166300000001</v>
          </cell>
        </row>
        <row r="203">
          <cell r="M203">
            <v>401.26453000000009</v>
          </cell>
        </row>
        <row r="204">
          <cell r="M204">
            <v>418.11674000000022</v>
          </cell>
        </row>
        <row r="205">
          <cell r="M205">
            <v>441.93091000000021</v>
          </cell>
        </row>
        <row r="206">
          <cell r="M206">
            <v>5199.2606590290006</v>
          </cell>
        </row>
        <row r="207">
          <cell r="M207">
            <v>5241.1620953919992</v>
          </cell>
        </row>
        <row r="208">
          <cell r="M208">
            <v>5297.614156099</v>
          </cell>
        </row>
        <row r="209">
          <cell r="M209">
            <v>5338.2946160000001</v>
          </cell>
        </row>
        <row r="210">
          <cell r="M210">
            <v>5366.9447929999997</v>
          </cell>
        </row>
        <row r="211">
          <cell r="M211">
            <v>5397.5290889999997</v>
          </cell>
        </row>
        <row r="212">
          <cell r="M212">
            <v>1990.158469128</v>
          </cell>
        </row>
        <row r="213">
          <cell r="M213">
            <v>2005.490525123</v>
          </cell>
        </row>
        <row r="214">
          <cell r="M214">
            <v>2068.8413612939999</v>
          </cell>
        </row>
        <row r="215">
          <cell r="M215">
            <v>2139.5358550000001</v>
          </cell>
        </row>
        <row r="216">
          <cell r="M216">
            <v>2186.3457910000002</v>
          </cell>
        </row>
        <row r="217">
          <cell r="M217">
            <v>2236.3548150000001</v>
          </cell>
        </row>
        <row r="218">
          <cell r="M218">
            <v>4628.6880571315642</v>
          </cell>
        </row>
        <row r="219">
          <cell r="M219">
            <v>4638.7299271932034</v>
          </cell>
        </row>
        <row r="220">
          <cell r="M220">
            <v>4683.5934141183134</v>
          </cell>
        </row>
        <row r="221">
          <cell r="M221">
            <v>4697.4754011353334</v>
          </cell>
        </row>
        <row r="222">
          <cell r="M222">
            <v>4700.9699995854571</v>
          </cell>
        </row>
        <row r="223">
          <cell r="M223">
            <v>4724.5552152841228</v>
          </cell>
        </row>
        <row r="224">
          <cell r="M224">
            <v>2877.7600163049592</v>
          </cell>
        </row>
        <row r="225">
          <cell r="M225">
            <v>2891.525412870913</v>
          </cell>
        </row>
        <row r="226">
          <cell r="M226">
            <v>2938.778366964099</v>
          </cell>
        </row>
        <row r="227">
          <cell r="M227">
            <v>2959.3984479170308</v>
          </cell>
        </row>
        <row r="228">
          <cell r="M228">
            <v>2966.3415086559048</v>
          </cell>
        </row>
        <row r="229">
          <cell r="M229">
            <v>2992.2755982133358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B Database"/>
      <sheetName val="alignment check"/>
      <sheetName val="Industry Amortisation"/>
      <sheetName val="Non-exempt Amortisation"/>
      <sheetName val="LCI"/>
      <sheetName val="PPI &amp; Opex Price"/>
      <sheetName val="CGPI"/>
    </sheetNames>
    <sheetDataSet>
      <sheetData sheetId="0" refreshError="1">
        <row r="22">
          <cell r="A22" t="str">
            <v>Alpine Energy</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4 extract"/>
      <sheetName val="2014 transpose"/>
      <sheetName val="2015 extract"/>
      <sheetName val="2015 transpose"/>
      <sheetName val="2015 data"/>
    </sheetNames>
    <sheetDataSet>
      <sheetData sheetId="0">
        <row r="9">
          <cell r="M9">
            <v>127.10972</v>
          </cell>
        </row>
      </sheetData>
      <sheetData sheetId="1"/>
      <sheetData sheetId="2"/>
      <sheetData sheetId="3"/>
      <sheetData sheetId="4">
        <row r="15">
          <cell r="J15">
            <v>131.328</v>
          </cell>
          <cell r="P15" t="str">
            <v>Alpine Energy</v>
          </cell>
          <cell r="Q15">
            <v>2013</v>
          </cell>
          <cell r="R15">
            <v>2015</v>
          </cell>
          <cell r="S15">
            <v>2</v>
          </cell>
        </row>
        <row r="16">
          <cell r="P16" t="str">
            <v>Aurora Energy</v>
          </cell>
          <cell r="Q16">
            <v>2005</v>
          </cell>
          <cell r="R16">
            <v>2015</v>
          </cell>
          <cell r="S16">
            <v>2</v>
          </cell>
        </row>
        <row r="19">
          <cell r="P19" t="str">
            <v>Counties Power</v>
          </cell>
          <cell r="Q19">
            <v>2009</v>
          </cell>
          <cell r="R19">
            <v>2015</v>
          </cell>
          <cell r="S19">
            <v>2</v>
          </cell>
        </row>
        <row r="20">
          <cell r="P20" t="str">
            <v>Eastland Network</v>
          </cell>
          <cell r="Q20">
            <v>2014</v>
          </cell>
          <cell r="R20">
            <v>2015</v>
          </cell>
          <cell r="S20">
            <v>2</v>
          </cell>
        </row>
        <row r="21">
          <cell r="P21" t="str">
            <v>Electra</v>
          </cell>
          <cell r="Q21">
            <v>2007</v>
          </cell>
          <cell r="R21">
            <v>2015</v>
          </cell>
          <cell r="S21">
            <v>2</v>
          </cell>
        </row>
        <row r="24">
          <cell r="P24" t="str">
            <v>Horizon Energy</v>
          </cell>
          <cell r="Q24">
            <v>2015</v>
          </cell>
          <cell r="R24">
            <v>2015</v>
          </cell>
          <cell r="S24">
            <v>2</v>
          </cell>
        </row>
        <row r="25">
          <cell r="P25" t="str">
            <v>MainPower NZ</v>
          </cell>
          <cell r="Q25">
            <v>2010</v>
          </cell>
          <cell r="R25">
            <v>2015</v>
          </cell>
          <cell r="S25">
            <v>2</v>
          </cell>
        </row>
        <row r="26">
          <cell r="P26" t="str">
            <v>Marlborough Lines</v>
          </cell>
          <cell r="Q26">
            <v>2016</v>
          </cell>
          <cell r="R26">
            <v>2015</v>
          </cell>
          <cell r="S26">
            <v>2</v>
          </cell>
        </row>
        <row r="28">
          <cell r="P28" t="str">
            <v>Network Tasman</v>
          </cell>
          <cell r="Q28">
            <v>2008</v>
          </cell>
          <cell r="R28">
            <v>2015</v>
          </cell>
          <cell r="S28">
            <v>2</v>
          </cell>
        </row>
        <row r="30">
          <cell r="P30" t="str">
            <v>Northpower</v>
          </cell>
          <cell r="Q30">
            <v>2006</v>
          </cell>
          <cell r="R30">
            <v>2015</v>
          </cell>
          <cell r="S30">
            <v>2</v>
          </cell>
        </row>
        <row r="33">
          <cell r="P33" t="str">
            <v>Powerco</v>
          </cell>
          <cell r="Q33">
            <v>2002</v>
          </cell>
          <cell r="R33">
            <v>2015</v>
          </cell>
          <cell r="S33">
            <v>2</v>
          </cell>
        </row>
        <row r="35">
          <cell r="P35" t="str">
            <v>The Lines Company</v>
          </cell>
          <cell r="Q35">
            <v>2017</v>
          </cell>
          <cell r="R35">
            <v>2015</v>
          </cell>
          <cell r="S35">
            <v>2</v>
          </cell>
        </row>
        <row r="36">
          <cell r="P36" t="str">
            <v>The Power Company</v>
          </cell>
          <cell r="Q36">
            <v>2011</v>
          </cell>
          <cell r="R36">
            <v>2015</v>
          </cell>
          <cell r="S36">
            <v>2</v>
          </cell>
        </row>
        <row r="37">
          <cell r="P37" t="str">
            <v>Top Energy</v>
          </cell>
          <cell r="Q37">
            <v>2012</v>
          </cell>
          <cell r="R37">
            <v>2015</v>
          </cell>
          <cell r="S37">
            <v>2</v>
          </cell>
        </row>
        <row r="38">
          <cell r="P38" t="str">
            <v>Unison Networks</v>
          </cell>
          <cell r="Q38">
            <v>2003</v>
          </cell>
          <cell r="R38">
            <v>2015</v>
          </cell>
          <cell r="S38">
            <v>2</v>
          </cell>
        </row>
        <row r="39">
          <cell r="P39" t="str">
            <v>Vector Lines</v>
          </cell>
          <cell r="Q39">
            <v>2001</v>
          </cell>
          <cell r="R39">
            <v>2015</v>
          </cell>
          <cell r="S39">
            <v>2</v>
          </cell>
        </row>
        <row r="40">
          <cell r="P40" t="str">
            <v>WEL Networks</v>
          </cell>
          <cell r="Q40">
            <v>2004</v>
          </cell>
          <cell r="R40">
            <v>2015</v>
          </cell>
          <cell r="S40">
            <v>2</v>
          </cell>
        </row>
        <row r="41">
          <cell r="P41" t="str">
            <v>Waipa Networks</v>
          </cell>
          <cell r="Q41">
            <v>2018</v>
          </cell>
          <cell r="R41">
            <v>2015</v>
          </cell>
          <cell r="S41">
            <v>2</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18295.848386256512</v>
          </cell>
        </row>
        <row r="3">
          <cell r="M3">
            <v>42774.403120000003</v>
          </cell>
        </row>
        <row r="6">
          <cell r="M6">
            <v>14624</v>
          </cell>
        </row>
        <row r="8">
          <cell r="M8">
            <v>10078.79477</v>
          </cell>
        </row>
        <row r="9">
          <cell r="M9">
            <v>12149.87973692665</v>
          </cell>
        </row>
        <row r="11">
          <cell r="M11">
            <v>9468.8363742518395</v>
          </cell>
        </row>
        <row r="12">
          <cell r="M12">
            <v>17167.000749999999</v>
          </cell>
        </row>
        <row r="13">
          <cell r="M13">
            <v>15194</v>
          </cell>
        </row>
        <row r="15">
          <cell r="M15">
            <v>10504</v>
          </cell>
        </row>
        <row r="17">
          <cell r="M17">
            <v>24656.65646579548</v>
          </cell>
        </row>
        <row r="20">
          <cell r="M20">
            <v>87938.577067936509</v>
          </cell>
        </row>
        <row r="22">
          <cell r="M22">
            <v>14172.532937452999</v>
          </cell>
        </row>
        <row r="23">
          <cell r="M23">
            <v>16197.53</v>
          </cell>
        </row>
        <row r="24">
          <cell r="M24">
            <v>15409.336187160279</v>
          </cell>
        </row>
        <row r="25">
          <cell r="M25">
            <v>39408.432999999997</v>
          </cell>
        </row>
        <row r="26">
          <cell r="M26">
            <v>121961</v>
          </cell>
        </row>
        <row r="27">
          <cell r="M27">
            <v>22926.515536873801</v>
          </cell>
        </row>
        <row r="28">
          <cell r="M28">
            <v>8007</v>
          </cell>
        </row>
        <row r="29">
          <cell r="M29">
            <v>34017.113664792967</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
          <cell r="M2">
            <v>33211.5</v>
          </cell>
        </row>
        <row r="3">
          <cell r="M3">
            <v>89865.898630136973</v>
          </cell>
        </row>
        <row r="6">
          <cell r="M6">
            <v>42458</v>
          </cell>
        </row>
        <row r="8">
          <cell r="M8">
            <v>25597</v>
          </cell>
        </row>
        <row r="9">
          <cell r="M9">
            <v>44799.083333333343</v>
          </cell>
        </row>
        <row r="11">
          <cell r="M11">
            <v>25136</v>
          </cell>
        </row>
        <row r="12">
          <cell r="M12">
            <v>25629</v>
          </cell>
        </row>
        <row r="15">
          <cell r="M15">
            <v>59380</v>
          </cell>
        </row>
        <row r="18">
          <cell r="M18">
            <v>340378</v>
          </cell>
        </row>
        <row r="20">
          <cell r="M20">
            <v>23579</v>
          </cell>
        </row>
        <row r="21">
          <cell r="M21">
            <v>35958</v>
          </cell>
        </row>
        <row r="22">
          <cell r="M22">
            <v>32156</v>
          </cell>
        </row>
        <row r="23">
          <cell r="M23">
            <v>113676</v>
          </cell>
        </row>
        <row r="24">
          <cell r="M24">
            <v>91970.5</v>
          </cell>
        </row>
        <row r="25">
          <cell r="M25">
            <v>26672</v>
          </cell>
        </row>
        <row r="26">
          <cell r="M26">
            <v>167924.77777777781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mailto:info@stats.govt.nz"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mailto:info@stats.govt.nz" TargetMode="External"/><Relationship Id="rId2" Type="http://schemas.openxmlformats.org/officeDocument/2006/relationships/hyperlink" Target="mailto:info@stats.govt.nz" TargetMode="External"/><Relationship Id="rId1" Type="http://schemas.openxmlformats.org/officeDocument/2006/relationships/hyperlink" Target="mailto:info@stats.govt.nz"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5"/>
  <sheetViews>
    <sheetView topLeftCell="A43" zoomScaleNormal="100" workbookViewId="0">
      <selection activeCell="C51" sqref="C51"/>
    </sheetView>
  </sheetViews>
  <sheetFormatPr baseColWidth="10" defaultColWidth="8.83203125" defaultRowHeight="15"/>
  <cols>
    <col min="1" max="1" width="109.1640625" customWidth="1"/>
    <col min="2" max="2" width="49.6640625" style="97" customWidth="1"/>
    <col min="3" max="3" width="25.5" customWidth="1"/>
  </cols>
  <sheetData>
    <row r="1" spans="1:3" ht="16">
      <c r="A1" s="37" t="s">
        <v>357</v>
      </c>
    </row>
    <row r="3" spans="1:3">
      <c r="A3" s="38" t="s">
        <v>376</v>
      </c>
    </row>
    <row r="4" spans="1:3">
      <c r="A4" s="39"/>
    </row>
    <row r="5" spans="1:3">
      <c r="A5" s="39" t="s">
        <v>388</v>
      </c>
      <c r="B5" s="133">
        <v>2019</v>
      </c>
      <c r="C5" s="144">
        <v>2020</v>
      </c>
    </row>
    <row r="6" spans="1:3">
      <c r="A6" s="38"/>
    </row>
    <row r="7" spans="1:3" ht="64">
      <c r="A7" s="134" t="s">
        <v>377</v>
      </c>
      <c r="B7" s="93" t="s">
        <v>389</v>
      </c>
      <c r="C7" t="s">
        <v>417</v>
      </c>
    </row>
    <row r="8" spans="1:3" ht="48">
      <c r="A8" s="134" t="s">
        <v>378</v>
      </c>
      <c r="B8" s="93" t="s">
        <v>389</v>
      </c>
      <c r="C8" s="142" t="s">
        <v>417</v>
      </c>
    </row>
    <row r="9" spans="1:3" ht="80">
      <c r="A9" s="134" t="s">
        <v>387</v>
      </c>
      <c r="B9" s="93" t="s">
        <v>389</v>
      </c>
      <c r="C9" s="142" t="s">
        <v>417</v>
      </c>
    </row>
    <row r="10" spans="1:3" ht="64">
      <c r="A10" s="134" t="s">
        <v>379</v>
      </c>
      <c r="B10" s="93" t="s">
        <v>389</v>
      </c>
      <c r="C10" s="142" t="s">
        <v>417</v>
      </c>
    </row>
    <row r="11" spans="1:3" ht="48">
      <c r="A11" s="134" t="s">
        <v>380</v>
      </c>
      <c r="B11" s="93" t="s">
        <v>389</v>
      </c>
      <c r="C11" s="142" t="s">
        <v>417</v>
      </c>
    </row>
    <row r="12" spans="1:3">
      <c r="A12" s="97"/>
    </row>
    <row r="13" spans="1:3">
      <c r="A13" s="39" t="s">
        <v>349</v>
      </c>
    </row>
    <row r="14" spans="1:3">
      <c r="A14" s="97"/>
    </row>
    <row r="15" spans="1:3" ht="48">
      <c r="A15" s="134" t="s">
        <v>382</v>
      </c>
      <c r="B15" s="93"/>
    </row>
    <row r="16" spans="1:3">
      <c r="A16" s="97"/>
    </row>
    <row r="17" spans="1:3" ht="16">
      <c r="A17" s="96" t="s">
        <v>374</v>
      </c>
    </row>
    <row r="18" spans="1:3">
      <c r="A18" s="97"/>
    </row>
    <row r="19" spans="1:3" ht="16">
      <c r="A19" s="134" t="s">
        <v>316</v>
      </c>
      <c r="B19" s="93"/>
    </row>
    <row r="20" spans="1:3" ht="16">
      <c r="A20" s="134" t="s">
        <v>317</v>
      </c>
      <c r="B20" s="93"/>
    </row>
    <row r="21" spans="1:3">
      <c r="A21" s="97"/>
    </row>
    <row r="22" spans="1:3">
      <c r="A22" s="38" t="s">
        <v>348</v>
      </c>
    </row>
    <row r="23" spans="1:3">
      <c r="A23" s="39"/>
    </row>
    <row r="24" spans="1:3">
      <c r="A24" s="39" t="s">
        <v>399</v>
      </c>
      <c r="B24" s="133">
        <v>2019</v>
      </c>
      <c r="C24" s="144">
        <v>2020</v>
      </c>
    </row>
    <row r="25" spans="1:3">
      <c r="A25" s="39"/>
    </row>
    <row r="26" spans="1:3" ht="96">
      <c r="A26" s="134" t="s">
        <v>358</v>
      </c>
      <c r="B26" s="93" t="s">
        <v>392</v>
      </c>
      <c r="C26" s="93" t="s">
        <v>418</v>
      </c>
    </row>
    <row r="27" spans="1:3" ht="48">
      <c r="A27" s="134" t="s">
        <v>359</v>
      </c>
      <c r="B27" s="93" t="s">
        <v>393</v>
      </c>
      <c r="C27" s="93" t="s">
        <v>419</v>
      </c>
    </row>
    <row r="28" spans="1:3" ht="32">
      <c r="A28" s="134" t="s">
        <v>360</v>
      </c>
      <c r="B28" s="93" t="s">
        <v>394</v>
      </c>
    </row>
    <row r="29" spans="1:3" ht="64">
      <c r="A29" s="134" t="s">
        <v>361</v>
      </c>
      <c r="B29" s="93" t="s">
        <v>395</v>
      </c>
      <c r="C29" s="93" t="s">
        <v>420</v>
      </c>
    </row>
    <row r="30" spans="1:3" ht="48">
      <c r="A30" s="134" t="s">
        <v>362</v>
      </c>
      <c r="B30" s="93" t="s">
        <v>396</v>
      </c>
      <c r="C30" s="93" t="s">
        <v>421</v>
      </c>
    </row>
    <row r="31" spans="1:3" ht="48">
      <c r="A31" s="134" t="s">
        <v>363</v>
      </c>
      <c r="B31" s="93" t="s">
        <v>397</v>
      </c>
      <c r="C31" s="93" t="s">
        <v>422</v>
      </c>
    </row>
    <row r="32" spans="1:3" ht="48">
      <c r="A32" s="134" t="s">
        <v>364</v>
      </c>
      <c r="B32" s="93" t="s">
        <v>425</v>
      </c>
      <c r="C32" s="93" t="s">
        <v>423</v>
      </c>
    </row>
    <row r="33" spans="1:3" ht="48">
      <c r="A33" s="134" t="s">
        <v>365</v>
      </c>
      <c r="B33" s="93" t="s">
        <v>398</v>
      </c>
      <c r="C33" s="93" t="s">
        <v>398</v>
      </c>
    </row>
    <row r="34" spans="1:3">
      <c r="A34" s="39"/>
    </row>
    <row r="35" spans="1:3">
      <c r="A35" s="39" t="s">
        <v>349</v>
      </c>
    </row>
    <row r="36" spans="1:3">
      <c r="A36" s="39"/>
    </row>
    <row r="37" spans="1:3" ht="96">
      <c r="A37" s="134" t="s">
        <v>383</v>
      </c>
      <c r="B37" s="93" t="s">
        <v>400</v>
      </c>
      <c r="C37" s="93" t="s">
        <v>424</v>
      </c>
    </row>
    <row r="38" spans="1:3" ht="112">
      <c r="A38" s="134" t="s">
        <v>384</v>
      </c>
      <c r="B38" s="93" t="s">
        <v>401</v>
      </c>
      <c r="C38" s="93" t="s">
        <v>426</v>
      </c>
    </row>
    <row r="39" spans="1:3" ht="144">
      <c r="A39" s="134" t="s">
        <v>385</v>
      </c>
      <c r="B39" s="93" t="s">
        <v>402</v>
      </c>
      <c r="C39" s="93" t="s">
        <v>431</v>
      </c>
    </row>
    <row r="40" spans="1:3" ht="96">
      <c r="A40" s="134" t="s">
        <v>350</v>
      </c>
      <c r="B40" s="93" t="s">
        <v>403</v>
      </c>
      <c r="C40" s="93" t="s">
        <v>429</v>
      </c>
    </row>
    <row r="41" spans="1:3" ht="16">
      <c r="A41" s="134" t="s">
        <v>386</v>
      </c>
      <c r="B41" s="93"/>
    </row>
    <row r="42" spans="1:3">
      <c r="A42" s="7"/>
    </row>
    <row r="43" spans="1:3" ht="16">
      <c r="A43" s="96" t="s">
        <v>374</v>
      </c>
    </row>
    <row r="44" spans="1:3">
      <c r="A44" s="7"/>
    </row>
    <row r="45" spans="1:3" ht="16">
      <c r="A45" s="134" t="s">
        <v>356</v>
      </c>
      <c r="B45" s="93" t="s">
        <v>404</v>
      </c>
      <c r="C45" s="142" t="s">
        <v>433</v>
      </c>
    </row>
    <row r="46" spans="1:3" ht="32">
      <c r="A46" s="134" t="s">
        <v>352</v>
      </c>
      <c r="B46" s="93"/>
      <c r="C46" s="93" t="s">
        <v>430</v>
      </c>
    </row>
    <row r="47" spans="1:3" ht="16">
      <c r="A47" s="134" t="s">
        <v>351</v>
      </c>
      <c r="B47" s="93" t="s">
        <v>404</v>
      </c>
      <c r="C47" t="s">
        <v>433</v>
      </c>
    </row>
    <row r="48" spans="1:3" ht="16">
      <c r="A48" s="134" t="s">
        <v>353</v>
      </c>
      <c r="B48" s="93"/>
    </row>
    <row r="49" spans="1:3" ht="16">
      <c r="A49" s="134" t="s">
        <v>366</v>
      </c>
      <c r="B49" s="93"/>
    </row>
    <row r="50" spans="1:3" ht="16">
      <c r="A50" s="134" t="s">
        <v>354</v>
      </c>
      <c r="B50" s="93" t="s">
        <v>404</v>
      </c>
      <c r="C50" s="142" t="s">
        <v>433</v>
      </c>
    </row>
    <row r="51" spans="1:3" s="7" customFormat="1" ht="16">
      <c r="A51" s="134" t="s">
        <v>355</v>
      </c>
      <c r="B51" s="93"/>
    </row>
    <row r="52" spans="1:3" s="50" customFormat="1" ht="48">
      <c r="A52" s="93"/>
      <c r="B52" s="93" t="s">
        <v>405</v>
      </c>
    </row>
    <row r="53" spans="1:3" ht="48">
      <c r="A53" s="137"/>
      <c r="B53" s="93" t="s">
        <v>406</v>
      </c>
    </row>
    <row r="54" spans="1:3" ht="112">
      <c r="A54" s="137"/>
      <c r="B54" s="93" t="s">
        <v>432</v>
      </c>
    </row>
    <row r="55" spans="1:3" ht="80">
      <c r="C55" s="93" t="s">
        <v>428</v>
      </c>
    </row>
  </sheetData>
  <phoneticPr fontId="10" type="noConversion"/>
  <printOptions headings="1"/>
  <pageMargins left="0.70866141732283472" right="0.70866141732283472" top="0.74803149606299213" bottom="0.74803149606299213" header="0.31496062992125984" footer="0.31496062992125984"/>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A1:AE287"/>
  <sheetViews>
    <sheetView zoomScaleNormal="100" workbookViewId="0">
      <pane xSplit="3" ySplit="2" topLeftCell="D3" activePane="bottomRight" state="frozen"/>
      <selection pane="topRight" activeCell="D1" sqref="D1"/>
      <selection pane="bottomLeft" activeCell="A3" sqref="A3"/>
      <selection pane="bottomRight" activeCell="D3" sqref="D3"/>
    </sheetView>
  </sheetViews>
  <sheetFormatPr baseColWidth="10" defaultColWidth="8.83203125" defaultRowHeight="15"/>
  <cols>
    <col min="1" max="1" width="26.83203125" style="101" customWidth="1"/>
    <col min="2" max="4" width="9.1640625" style="101"/>
    <col min="5" max="5" width="14.83203125" style="17" bestFit="1" customWidth="1"/>
    <col min="6" max="6" width="9.1640625" style="13"/>
    <col min="7" max="7" width="10.5" style="18" customWidth="1"/>
    <col min="8" max="8" width="10.5" style="3" customWidth="1"/>
    <col min="9" max="9" width="11.1640625" style="18" customWidth="1"/>
    <col min="10" max="10" width="9.1640625" style="18"/>
    <col min="11" max="11" width="12.83203125" style="18" customWidth="1"/>
    <col min="12" max="12" width="12.83203125" style="19" customWidth="1"/>
    <col min="13" max="13" width="14.1640625" style="18" customWidth="1"/>
    <col min="14" max="14" width="12.83203125" style="15" customWidth="1"/>
  </cols>
  <sheetData>
    <row r="1" spans="1:31" s="7" customFormat="1" ht="48">
      <c r="A1" s="100" t="s">
        <v>14</v>
      </c>
      <c r="B1" s="100" t="s">
        <v>16</v>
      </c>
      <c r="C1" s="100" t="s">
        <v>17</v>
      </c>
      <c r="D1" s="100" t="s">
        <v>18</v>
      </c>
      <c r="E1" s="99" t="s">
        <v>2</v>
      </c>
      <c r="F1" s="50" t="s">
        <v>3</v>
      </c>
      <c r="G1" s="111" t="s">
        <v>1</v>
      </c>
      <c r="H1" s="112" t="s">
        <v>371</v>
      </c>
      <c r="I1" s="111" t="s">
        <v>0</v>
      </c>
      <c r="J1" s="111" t="s">
        <v>5</v>
      </c>
      <c r="K1" s="111" t="s">
        <v>370</v>
      </c>
      <c r="L1" s="113" t="s">
        <v>6</v>
      </c>
      <c r="M1" s="111" t="s">
        <v>368</v>
      </c>
      <c r="N1" s="98" t="s">
        <v>369</v>
      </c>
      <c r="O1" s="7" t="s">
        <v>375</v>
      </c>
    </row>
    <row r="2" spans="1:31">
      <c r="A2" s="101" t="s">
        <v>15</v>
      </c>
      <c r="B2" s="101" t="s">
        <v>7</v>
      </c>
      <c r="C2" s="101" t="s">
        <v>7</v>
      </c>
      <c r="D2" s="101" t="s">
        <v>7</v>
      </c>
      <c r="E2" s="17" t="s">
        <v>8</v>
      </c>
      <c r="F2" s="13" t="s">
        <v>10</v>
      </c>
      <c r="G2" s="18" t="s">
        <v>9</v>
      </c>
      <c r="H2" s="3" t="s">
        <v>9</v>
      </c>
      <c r="I2" s="18" t="s">
        <v>7</v>
      </c>
      <c r="J2" s="18" t="s">
        <v>12</v>
      </c>
      <c r="K2" s="18" t="s">
        <v>11</v>
      </c>
      <c r="L2" s="19" t="s">
        <v>13</v>
      </c>
    </row>
    <row r="3" spans="1:31">
      <c r="A3" s="101" t="str">
        <f>'[1]EDB Database'!A14</f>
        <v>Alpine Energy</v>
      </c>
      <c r="B3" s="101">
        <v>2013</v>
      </c>
      <c r="C3" s="102">
        <f>'[1]EDB Database'!B14</f>
        <v>2006</v>
      </c>
      <c r="D3" s="101">
        <v>2</v>
      </c>
      <c r="E3" s="17">
        <f t="shared" ref="E3:E8" si="0">E4*M3/M4</f>
        <v>4786.6087899503555</v>
      </c>
      <c r="F3">
        <f>'NZ PPI &amp; Opex Price'!M14</f>
        <v>1</v>
      </c>
      <c r="G3" s="18">
        <f>'NZ MaxDemand Calcs'!N4</f>
        <v>117.74059117697104</v>
      </c>
      <c r="H3" s="3">
        <f>G3</f>
        <v>117.74059117697104</v>
      </c>
      <c r="I3" s="18">
        <f>AVERAGE(N2,'[2]EDB Database'!$F$13)</f>
        <v>28697</v>
      </c>
      <c r="J3" s="18">
        <f>'[2]EDB Database'!$N14</f>
        <v>3815.5</v>
      </c>
      <c r="K3" s="18">
        <f>'[2]EDB Database'!$P14</f>
        <v>519.5</v>
      </c>
      <c r="L3" s="19">
        <f>K3/J3</f>
        <v>0.13615515659808675</v>
      </c>
      <c r="M3" s="18">
        <f>'[2]EDB Database'!$G14/1000</f>
        <v>4394.607</v>
      </c>
      <c r="N3" s="18">
        <f>'[2]EDB Database'!$F14</f>
        <v>29163</v>
      </c>
      <c r="O3" s="3">
        <f t="shared" ref="O3:O9" si="1">M3</f>
        <v>4394.607</v>
      </c>
      <c r="P3" s="3"/>
      <c r="Q3" s="3"/>
      <c r="R3" s="3"/>
      <c r="S3" s="3"/>
      <c r="T3" s="3"/>
      <c r="U3" s="3"/>
      <c r="V3" s="3"/>
      <c r="W3" s="3"/>
      <c r="X3" s="3"/>
      <c r="Y3" s="3"/>
      <c r="Z3" s="3"/>
      <c r="AA3" s="3"/>
      <c r="AB3" s="3"/>
      <c r="AC3" s="3"/>
      <c r="AD3" s="3"/>
      <c r="AE3" s="3"/>
    </row>
    <row r="4" spans="1:31">
      <c r="A4" s="101" t="str">
        <f>'[1]EDB Database'!A15</f>
        <v>Alpine Energy</v>
      </c>
      <c r="B4" s="101">
        <v>2013</v>
      </c>
      <c r="C4" s="102">
        <f>'[1]EDB Database'!B15</f>
        <v>2007</v>
      </c>
      <c r="D4" s="101">
        <v>2</v>
      </c>
      <c r="E4" s="17">
        <f t="shared" si="0"/>
        <v>7605.637605410825</v>
      </c>
      <c r="F4">
        <f>'NZ PPI &amp; Opex Price'!M15</f>
        <v>1.0438528231223547</v>
      </c>
      <c r="G4" s="18">
        <f>'NZ MaxDemand Calcs'!N5</f>
        <v>119.85006626552615</v>
      </c>
      <c r="H4" s="3">
        <f t="shared" ref="H4:H16" si="2">IF(G4&gt;H3,G4,H3)</f>
        <v>119.85006626552615</v>
      </c>
      <c r="I4" s="18">
        <f t="shared" ref="I4:I8" si="3">AVERAGE(N3:N4)</f>
        <v>29265</v>
      </c>
      <c r="J4" s="18">
        <f>'[2]EDB Database'!$N15</f>
        <v>3840</v>
      </c>
      <c r="K4" s="18">
        <f>'[2]EDB Database'!$P15</f>
        <v>552</v>
      </c>
      <c r="L4" s="19">
        <f t="shared" ref="L4:L77" si="4">K4/J4</f>
        <v>0.14374999999999999</v>
      </c>
      <c r="M4" s="18">
        <f>'[2]EDB Database'!$G15/1000</f>
        <v>6982.77</v>
      </c>
      <c r="N4" s="18">
        <f>'[2]EDB Database'!$F15</f>
        <v>29367</v>
      </c>
      <c r="O4" s="3">
        <f t="shared" si="1"/>
        <v>6982.77</v>
      </c>
      <c r="P4" s="3"/>
      <c r="Q4" s="3"/>
      <c r="R4" s="3"/>
      <c r="S4" s="3"/>
      <c r="T4" s="3"/>
      <c r="U4" s="3"/>
      <c r="V4" s="3"/>
      <c r="W4" s="3"/>
      <c r="X4" s="3"/>
      <c r="Y4" s="3"/>
      <c r="Z4" s="3"/>
      <c r="AA4" s="3"/>
      <c r="AB4" s="3"/>
      <c r="AC4" s="3"/>
      <c r="AD4" s="3"/>
      <c r="AE4" s="3"/>
    </row>
    <row r="5" spans="1:31">
      <c r="A5" s="103" t="str">
        <f>'[1]EDB Database'!A16</f>
        <v>Alpine Energy</v>
      </c>
      <c r="B5" s="101">
        <v>2013</v>
      </c>
      <c r="C5" s="102">
        <f>'[1]EDB Database'!B16</f>
        <v>2008</v>
      </c>
      <c r="D5" s="101">
        <v>2</v>
      </c>
      <c r="E5" s="17">
        <f t="shared" si="0"/>
        <v>7647.0000000000027</v>
      </c>
      <c r="F5">
        <f>'NZ PPI &amp; Opex Price'!M16</f>
        <v>1.0903851002750273</v>
      </c>
      <c r="G5" s="18">
        <f>'NZ MaxDemand Calcs'!N6</f>
        <v>137.40600000000001</v>
      </c>
      <c r="H5" s="3">
        <f t="shared" si="2"/>
        <v>137.40600000000001</v>
      </c>
      <c r="I5" s="18">
        <f t="shared" si="3"/>
        <v>29608</v>
      </c>
      <c r="J5" s="18">
        <f>'[2]EDB Database'!$N16</f>
        <v>4016.15</v>
      </c>
      <c r="K5" s="18">
        <f>'[2]EDB Database'!$P16</f>
        <v>592.43899999999996</v>
      </c>
      <c r="L5" s="19">
        <f t="shared" si="4"/>
        <v>0.1475141615726504</v>
      </c>
      <c r="M5" s="18">
        <f>'[2]EDB Database'!$G16/1000</f>
        <v>7020.7449999999999</v>
      </c>
      <c r="N5" s="18">
        <f>'[2]EDB Database'!$F16</f>
        <v>29849</v>
      </c>
      <c r="O5" s="3">
        <f t="shared" si="1"/>
        <v>7020.7449999999999</v>
      </c>
    </row>
    <row r="6" spans="1:31">
      <c r="A6" s="101" t="str">
        <f>'[1]EDB Database'!A17</f>
        <v>Alpine Energy</v>
      </c>
      <c r="B6" s="101">
        <v>2013</v>
      </c>
      <c r="C6" s="102">
        <f>'[1]EDB Database'!B17</f>
        <v>2009</v>
      </c>
      <c r="D6" s="101">
        <v>2</v>
      </c>
      <c r="E6" s="17">
        <f t="shared" si="0"/>
        <v>8206.228000000001</v>
      </c>
      <c r="F6">
        <f>'NZ PPI &amp; Opex Price'!M17</f>
        <v>1.1562469092885455</v>
      </c>
      <c r="G6" s="18">
        <f>'NZ MaxDemand Calcs'!N7</f>
        <v>137</v>
      </c>
      <c r="H6" s="3">
        <f t="shared" si="2"/>
        <v>137.40600000000001</v>
      </c>
      <c r="I6" s="18">
        <f t="shared" si="3"/>
        <v>30058</v>
      </c>
      <c r="J6" s="18">
        <f>'[2]EDB Database'!$N17</f>
        <v>4060</v>
      </c>
      <c r="K6" s="18">
        <f>'[2]EDB Database'!$P17</f>
        <v>618</v>
      </c>
      <c r="L6" s="19">
        <f t="shared" si="4"/>
        <v>0.15221674876847291</v>
      </c>
      <c r="M6" s="18">
        <f>'[2]EDB Database'!$G17/1000</f>
        <v>7534.1747351719614</v>
      </c>
      <c r="N6" s="18">
        <f>'[2]EDB Database'!$F17</f>
        <v>30267</v>
      </c>
      <c r="O6" s="3">
        <f t="shared" si="1"/>
        <v>7534.1747351719614</v>
      </c>
    </row>
    <row r="7" spans="1:31">
      <c r="A7" s="101" t="str">
        <f>'[1]EDB Database'!A18</f>
        <v>Alpine Energy</v>
      </c>
      <c r="B7" s="101">
        <v>2013</v>
      </c>
      <c r="C7" s="102">
        <f>'[1]EDB Database'!B18</f>
        <v>2010</v>
      </c>
      <c r="D7" s="101">
        <v>2</v>
      </c>
      <c r="E7" s="17">
        <f t="shared" si="0"/>
        <v>10288.732000000002</v>
      </c>
      <c r="F7">
        <f>'NZ PPI &amp; Opex Price'!M18</f>
        <v>1.1601923412470114</v>
      </c>
      <c r="G7" s="18">
        <f>'NZ MaxDemand Calcs'!N8</f>
        <v>141</v>
      </c>
      <c r="H7" s="3">
        <f t="shared" si="2"/>
        <v>141</v>
      </c>
      <c r="I7" s="18">
        <f t="shared" si="3"/>
        <v>30441</v>
      </c>
      <c r="J7" s="18">
        <f>'[2]EDB Database'!$N18</f>
        <v>4106</v>
      </c>
      <c r="K7" s="18">
        <f>'[2]EDB Database'!$P18</f>
        <v>651</v>
      </c>
      <c r="L7" s="19">
        <f t="shared" si="4"/>
        <v>0.15854846566000974</v>
      </c>
      <c r="M7" s="18">
        <f>'[2]EDB Database'!$G18/1000</f>
        <v>9446.1309984752188</v>
      </c>
      <c r="N7" s="18">
        <f>'[2]EDB Database'!$F18</f>
        <v>30615</v>
      </c>
      <c r="O7" s="3">
        <f t="shared" si="1"/>
        <v>9446.1309984752188</v>
      </c>
    </row>
    <row r="8" spans="1:31">
      <c r="A8" s="101" t="str">
        <f>'[1]EDB Database'!A19</f>
        <v>Alpine Energy</v>
      </c>
      <c r="B8" s="101">
        <v>2013</v>
      </c>
      <c r="C8" s="102">
        <f>'[1]EDB Database'!B19</f>
        <v>2011</v>
      </c>
      <c r="D8" s="101">
        <v>2</v>
      </c>
      <c r="E8" s="17">
        <f t="shared" si="0"/>
        <v>12057.84</v>
      </c>
      <c r="F8">
        <f>'NZ PPI &amp; Opex Price'!M19</f>
        <v>1.1900846681215445</v>
      </c>
      <c r="G8" s="18">
        <f>'NZ MaxDemand Calcs'!N9</f>
        <v>146</v>
      </c>
      <c r="H8" s="3">
        <f t="shared" si="2"/>
        <v>146</v>
      </c>
      <c r="I8" s="18">
        <f t="shared" si="3"/>
        <v>30720.5</v>
      </c>
      <c r="J8" s="18">
        <f>'[2]EDB Database'!$N19</f>
        <v>4120</v>
      </c>
      <c r="K8" s="18">
        <f>'[2]EDB Database'!$P19</f>
        <v>666</v>
      </c>
      <c r="L8" s="19">
        <f t="shared" si="4"/>
        <v>0.1616504854368932</v>
      </c>
      <c r="M8" s="18">
        <f>'[2]EDB Database'!$G19/1000</f>
        <v>11070.356988466063</v>
      </c>
      <c r="N8" s="18">
        <f>'[2]EDB Database'!$F19</f>
        <v>30826</v>
      </c>
      <c r="O8" s="3">
        <f t="shared" si="1"/>
        <v>11070.356988466063</v>
      </c>
    </row>
    <row r="9" spans="1:31">
      <c r="A9" s="101" t="str">
        <f>'[1]EDB Database'!A20</f>
        <v>Alpine Energy</v>
      </c>
      <c r="B9" s="101">
        <v>2013</v>
      </c>
      <c r="C9" s="102">
        <f>'[1]EDB Database'!B20</f>
        <v>2012</v>
      </c>
      <c r="D9" s="101">
        <v>2</v>
      </c>
      <c r="E9" s="17">
        <f>E10*M9/M10</f>
        <v>12562.809337000001</v>
      </c>
      <c r="F9">
        <f>'NZ PPI &amp; Opex Price'!M20</f>
        <v>1.2216652483575092</v>
      </c>
      <c r="G9" s="18">
        <f>'NZ MaxDemand Calcs'!N10</f>
        <v>137.66199999999998</v>
      </c>
      <c r="H9" s="3">
        <f t="shared" si="2"/>
        <v>146</v>
      </c>
      <c r="I9" s="18">
        <f>AVERAGE(N8:N9)</f>
        <v>30922</v>
      </c>
      <c r="J9" s="18">
        <f>'[2]EDB Database'!$N20</f>
        <v>4152</v>
      </c>
      <c r="K9" s="18">
        <f>'[2]EDB Database'!$P20</f>
        <v>690</v>
      </c>
      <c r="L9" s="19">
        <f t="shared" si="4"/>
        <v>0.16618497109826588</v>
      </c>
      <c r="M9" s="18">
        <f>'[2]EDB Database'!$G20/1000</f>
        <v>11533.971601764883</v>
      </c>
      <c r="N9" s="18">
        <f>'[2]EDB Database'!$F20</f>
        <v>31018</v>
      </c>
      <c r="O9" s="3">
        <f t="shared" si="1"/>
        <v>11533.971601764883</v>
      </c>
    </row>
    <row r="10" spans="1:31">
      <c r="A10" s="101" t="str">
        <f>'[1]EDB Database'!A21</f>
        <v>Alpine Energy</v>
      </c>
      <c r="B10" s="101">
        <v>2013</v>
      </c>
      <c r="C10" s="102">
        <f>'[1]EDB Database'!B21</f>
        <v>2013</v>
      </c>
      <c r="D10" s="101">
        <v>2</v>
      </c>
      <c r="E10" s="17">
        <f>[3]Sheet1!$M2</f>
        <v>12301.3112</v>
      </c>
      <c r="F10">
        <f>'NZ PPI &amp; Opex Price'!M21</f>
        <v>1.2421813017565195</v>
      </c>
      <c r="G10" s="18">
        <f>'NZ MaxDemand Calcs'!N11</f>
        <v>147.12706191401298</v>
      </c>
      <c r="H10" s="3">
        <f t="shared" si="2"/>
        <v>147.12706191401298</v>
      </c>
      <c r="I10" s="18">
        <f>[4]Sheet1!$M2</f>
        <v>31216</v>
      </c>
      <c r="J10" s="18">
        <f>[5]Sheet1!$M2</f>
        <v>4126</v>
      </c>
      <c r="K10" s="18">
        <f>[5]Sheet1!$M8</f>
        <v>637</v>
      </c>
      <c r="L10" s="19">
        <f t="shared" si="4"/>
        <v>0.15438681531749879</v>
      </c>
      <c r="M10" s="18">
        <f>'[2]EDB Database'!$G21/1000</f>
        <v>11293.888989256438</v>
      </c>
      <c r="O10" s="3">
        <f>M10</f>
        <v>11293.888989256438</v>
      </c>
    </row>
    <row r="11" spans="1:31" s="9" customFormat="1">
      <c r="A11" s="104" t="str">
        <f>'[6]EDB Database'!A22</f>
        <v>Alpine Energy</v>
      </c>
      <c r="B11" s="104">
        <v>2013</v>
      </c>
      <c r="C11" s="105">
        <f>'[1]EDB Database'!B22</f>
        <v>2014</v>
      </c>
      <c r="D11" s="104">
        <v>2</v>
      </c>
      <c r="E11" s="17">
        <f>[3]Sheet1!$M3</f>
        <v>15271.56043</v>
      </c>
      <c r="F11">
        <f>'NZ PPI &amp; Opex Price'!M22</f>
        <v>1.27237461042106</v>
      </c>
      <c r="G11" s="18">
        <f>'NZ MaxDemand Calcs'!N12</f>
        <v>147.80115106546157</v>
      </c>
      <c r="H11" s="3">
        <f t="shared" si="2"/>
        <v>147.80115106546157</v>
      </c>
      <c r="I11" s="18">
        <f>[4]Sheet1!$M3</f>
        <v>31413</v>
      </c>
      <c r="J11" s="18">
        <f>[5]Sheet1!$M3</f>
        <v>4145</v>
      </c>
      <c r="K11" s="18">
        <f>[5]Sheet1!$M9</f>
        <v>645</v>
      </c>
      <c r="L11" s="19">
        <f t="shared" si="4"/>
        <v>0.15560916767189384</v>
      </c>
      <c r="M11" s="18">
        <f>'[2]EDB Database'!$G22/1000</f>
        <v>14020.888130132122</v>
      </c>
      <c r="N11" s="42"/>
      <c r="O11" s="3">
        <f>O10*E11/E10</f>
        <v>14020.88813013212</v>
      </c>
    </row>
    <row r="12" spans="1:31" s="9" customFormat="1">
      <c r="A12" s="104" t="str">
        <f>'[7]2015 data'!P$15</f>
        <v>Alpine Energy</v>
      </c>
      <c r="B12" s="104">
        <f>'[7]2015 data'!Q$15</f>
        <v>2013</v>
      </c>
      <c r="C12" s="104">
        <f>'[7]2015 data'!R$15</f>
        <v>2015</v>
      </c>
      <c r="D12" s="104">
        <f>'[7]2015 data'!S$15</f>
        <v>2</v>
      </c>
      <c r="E12" s="17">
        <f>[3]Sheet1!$M4</f>
        <v>13822.025960000001</v>
      </c>
      <c r="F12">
        <f>'NZ PPI &amp; Opex Price'!M23</f>
        <v>1.2816685951411126</v>
      </c>
      <c r="G12" s="18">
        <f>'NZ MaxDemand Calcs'!N13</f>
        <v>152.70609963679362</v>
      </c>
      <c r="H12" s="3">
        <f t="shared" si="2"/>
        <v>152.70609963679362</v>
      </c>
      <c r="I12" s="18">
        <f>[4]Sheet1!$M4</f>
        <v>31672</v>
      </c>
      <c r="J12" s="18">
        <f>[5]Sheet1!$M4</f>
        <v>4180</v>
      </c>
      <c r="K12" s="18">
        <f>[5]Sheet1!$M10</f>
        <v>656</v>
      </c>
      <c r="L12" s="19">
        <f t="shared" si="4"/>
        <v>0.15693779904306221</v>
      </c>
      <c r="M12" s="131"/>
      <c r="N12" s="42"/>
      <c r="O12" s="3">
        <f t="shared" ref="O12:O17" si="5">O11*E12/E11</f>
        <v>12690.064031455497</v>
      </c>
    </row>
    <row r="13" spans="1:31" s="9" customFormat="1">
      <c r="A13" s="104" t="str">
        <f t="shared" ref="A13:B17" si="6">A12</f>
        <v>Alpine Energy</v>
      </c>
      <c r="B13" s="104">
        <f t="shared" si="6"/>
        <v>2013</v>
      </c>
      <c r="C13" s="104">
        <f>C12+1</f>
        <v>2016</v>
      </c>
      <c r="D13" s="104">
        <v>2</v>
      </c>
      <c r="E13" s="17">
        <f>[3]Sheet1!$M5</f>
        <v>14767.108340000001</v>
      </c>
      <c r="F13">
        <f>'NZ PPI &amp; Opex Price'!M24</f>
        <v>1.2867539916420168</v>
      </c>
      <c r="G13" s="18">
        <f>'NZ MaxDemand Calcs'!N14</f>
        <v>156.25263740586195</v>
      </c>
      <c r="H13" s="3">
        <f t="shared" si="2"/>
        <v>156.25263740586195</v>
      </c>
      <c r="I13" s="18">
        <f>[4]Sheet1!$M5</f>
        <v>31936</v>
      </c>
      <c r="J13" s="18">
        <f>[5]Sheet1!$M5</f>
        <v>4271.3974644884756</v>
      </c>
      <c r="K13" s="18">
        <f>[5]Sheet1!$M11</f>
        <v>599.10044667560339</v>
      </c>
      <c r="L13" s="19">
        <f t="shared" si="4"/>
        <v>0.14025865109870994</v>
      </c>
      <c r="M13" s="131"/>
      <c r="N13" s="42"/>
      <c r="O13" s="3">
        <f t="shared" si="5"/>
        <v>13557.748403624073</v>
      </c>
    </row>
    <row r="14" spans="1:31" s="9" customFormat="1">
      <c r="A14" s="104" t="str">
        <f t="shared" si="6"/>
        <v>Alpine Energy</v>
      </c>
      <c r="B14" s="104">
        <f t="shared" si="6"/>
        <v>2013</v>
      </c>
      <c r="C14" s="104">
        <f>C13+1</f>
        <v>2017</v>
      </c>
      <c r="D14" s="104">
        <v>2</v>
      </c>
      <c r="E14" s="17">
        <f>[3]Sheet1!$M6</f>
        <v>14568.654850000001</v>
      </c>
      <c r="F14">
        <f>'NZ PPI &amp; Opex Price'!M25</f>
        <v>1.3063682360796467</v>
      </c>
      <c r="G14" s="18">
        <f>'NZ MaxDemand Calcs'!N15</f>
        <v>155.75901233414982</v>
      </c>
      <c r="H14" s="3">
        <f t="shared" si="2"/>
        <v>156.25263740586195</v>
      </c>
      <c r="I14" s="18">
        <f>[4]Sheet1!$M6</f>
        <v>32829</v>
      </c>
      <c r="J14" s="18">
        <f>[5]Sheet1!$M6</f>
        <v>4191.0950000000003</v>
      </c>
      <c r="K14" s="18">
        <f>[5]Sheet1!$M12</f>
        <v>664</v>
      </c>
      <c r="L14" s="19">
        <f t="shared" si="4"/>
        <v>0.15843114985463225</v>
      </c>
      <c r="M14" s="131"/>
      <c r="N14" s="42"/>
      <c r="O14" s="3">
        <f t="shared" si="5"/>
        <v>13375.547364307995</v>
      </c>
    </row>
    <row r="15" spans="1:31" s="9" customFormat="1">
      <c r="A15" s="104" t="str">
        <f t="shared" si="6"/>
        <v>Alpine Energy</v>
      </c>
      <c r="B15" s="104">
        <f t="shared" si="6"/>
        <v>2013</v>
      </c>
      <c r="C15" s="104">
        <f>C14+1</f>
        <v>2018</v>
      </c>
      <c r="D15" s="104">
        <v>2</v>
      </c>
      <c r="E15" s="17">
        <f>[3]Sheet1!$M7</f>
        <v>17171.222979999999</v>
      </c>
      <c r="F15">
        <f>'NZ PPI &amp; Opex Price'!M26</f>
        <v>1.3404204496621166</v>
      </c>
      <c r="G15" s="18">
        <f>'NZ MaxDemand Calcs'!N16</f>
        <v>169.89437300447671</v>
      </c>
      <c r="H15" s="3">
        <f t="shared" si="2"/>
        <v>169.89437300447671</v>
      </c>
      <c r="I15" s="18">
        <f>[4]Sheet1!$M7</f>
        <v>32975</v>
      </c>
      <c r="J15" s="18">
        <f>[5]Sheet1!$M7</f>
        <v>4288</v>
      </c>
      <c r="K15" s="18">
        <f>[5]Sheet1!$M13</f>
        <v>767</v>
      </c>
      <c r="L15" s="19">
        <f t="shared" si="4"/>
        <v>0.17887126865671643</v>
      </c>
      <c r="M15" s="131"/>
      <c r="N15" s="42"/>
      <c r="O15" s="3">
        <f t="shared" si="5"/>
        <v>15764.976838069841</v>
      </c>
    </row>
    <row r="16" spans="1:31" s="9" customFormat="1">
      <c r="A16" s="104" t="str">
        <f t="shared" si="6"/>
        <v>Alpine Energy</v>
      </c>
      <c r="B16" s="104">
        <f t="shared" si="6"/>
        <v>2013</v>
      </c>
      <c r="C16" s="104">
        <f>C15+1</f>
        <v>2019</v>
      </c>
      <c r="D16" s="104">
        <v>2</v>
      </c>
      <c r="E16" s="17">
        <f>[8]Sheet1!$M$2</f>
        <v>18295.848386256512</v>
      </c>
      <c r="F16">
        <f>'NZ PPI &amp; Opex Price'!M27</f>
        <v>1.3740587734764929</v>
      </c>
      <c r="G16" s="18">
        <f>'NZ MaxDemand Calcs'!N17</f>
        <v>162.70139106343439</v>
      </c>
      <c r="H16" s="3">
        <f t="shared" si="2"/>
        <v>169.89437300447671</v>
      </c>
      <c r="I16" s="18">
        <f>[9]Sheet1!$M$2</f>
        <v>33211.5</v>
      </c>
      <c r="J16" s="18">
        <f>[10]Sheet1!$M$2</f>
        <v>4316.9399999999996</v>
      </c>
      <c r="K16" s="18">
        <f>[10]Sheet1!$M$3</f>
        <v>795.03</v>
      </c>
      <c r="L16" s="19">
        <f t="shared" si="4"/>
        <v>0.18416517255278045</v>
      </c>
      <c r="M16" s="131"/>
      <c r="N16" s="42"/>
      <c r="O16" s="3">
        <f t="shared" si="5"/>
        <v>16797.500467970243</v>
      </c>
    </row>
    <row r="17" spans="1:15" s="9" customFormat="1">
      <c r="A17" s="104" t="str">
        <f t="shared" si="6"/>
        <v>Alpine Energy</v>
      </c>
      <c r="B17" s="104">
        <f t="shared" si="6"/>
        <v>2013</v>
      </c>
      <c r="C17" s="104">
        <f>C16+1</f>
        <v>2020</v>
      </c>
      <c r="D17" s="104">
        <v>2</v>
      </c>
      <c r="E17" s="17">
        <f>[11]Sheet1!$M$2</f>
        <v>21343.088019999988</v>
      </c>
      <c r="F17" s="142">
        <f>'NZ PPI &amp; Opex Price'!M28</f>
        <v>1.4000516345247649</v>
      </c>
      <c r="G17" s="18">
        <f>'NZ MaxDemand Calcs'!N18</f>
        <v>162.56418254920177</v>
      </c>
      <c r="H17" s="3">
        <f t="shared" ref="H17" si="7">IF(G17&gt;H16,G17,H16)</f>
        <v>169.89437300447671</v>
      </c>
      <c r="I17" s="18">
        <f>[12]Sheet1!$M$2</f>
        <v>33445.5</v>
      </c>
      <c r="J17" s="18">
        <f>[13]Sheet1!$M$3</f>
        <v>4322.84</v>
      </c>
      <c r="K17" s="18">
        <f>[13]Sheet1!$M$2</f>
        <v>816.76</v>
      </c>
      <c r="L17" s="19">
        <f t="shared" si="4"/>
        <v>0.18894060386227571</v>
      </c>
      <c r="M17" s="131"/>
      <c r="N17" s="42"/>
      <c r="O17" s="3">
        <f t="shared" si="5"/>
        <v>19595.184843857041</v>
      </c>
    </row>
    <row r="18" spans="1:15">
      <c r="A18" s="101" t="str">
        <f>'[1]EDB Database'!A37</f>
        <v>Aurora Energy</v>
      </c>
      <c r="B18" s="101">
        <v>2005</v>
      </c>
      <c r="C18" s="102">
        <f>'[1]EDB Database'!B37</f>
        <v>2006</v>
      </c>
      <c r="D18" s="101">
        <v>2</v>
      </c>
      <c r="E18" s="17">
        <f t="shared" ref="E18:E23" si="8">E19*M18/M19</f>
        <v>14438.675204558256</v>
      </c>
      <c r="F18">
        <f t="shared" ref="F18:F32" si="9">F3</f>
        <v>1</v>
      </c>
      <c r="G18" s="18">
        <f>'NZ MaxDemand Calcs'!N19</f>
        <v>252.18025655313662</v>
      </c>
      <c r="H18" s="3">
        <f>G18</f>
        <v>252.18025655313662</v>
      </c>
      <c r="I18" s="18">
        <f>AVERAGE(N15,'[2]EDB Database'!$F$36)</f>
        <v>75117</v>
      </c>
      <c r="J18" s="18">
        <f>'[2]EDB Database'!$N37</f>
        <v>5252</v>
      </c>
      <c r="K18" s="18">
        <f>'[2]EDB Database'!$P37</f>
        <v>1327</v>
      </c>
      <c r="L18" s="19">
        <f t="shared" si="4"/>
        <v>0.25266565118050266</v>
      </c>
      <c r="M18" s="18">
        <f>'[2]EDB Database'!$G37/1000</f>
        <v>13198.191999999999</v>
      </c>
      <c r="N18" s="18">
        <f>'[2]EDB Database'!$F37</f>
        <v>76400</v>
      </c>
      <c r="O18" s="3">
        <f t="shared" ref="O18:O24" si="10">M18</f>
        <v>13198.191999999999</v>
      </c>
    </row>
    <row r="19" spans="1:15">
      <c r="A19" s="101" t="str">
        <f>'[1]EDB Database'!A38</f>
        <v>Aurora Energy</v>
      </c>
      <c r="B19" s="101">
        <v>2005</v>
      </c>
      <c r="C19" s="102">
        <f>'[1]EDB Database'!B38</f>
        <v>2007</v>
      </c>
      <c r="D19" s="101">
        <v>2</v>
      </c>
      <c r="E19" s="17">
        <f t="shared" si="8"/>
        <v>15397.488887842655</v>
      </c>
      <c r="F19">
        <f t="shared" si="9"/>
        <v>1.0438528231223547</v>
      </c>
      <c r="G19" s="18">
        <f>'NZ MaxDemand Calcs'!N20</f>
        <v>258.32031551812418</v>
      </c>
      <c r="H19" s="3">
        <f t="shared" ref="H19:H31" si="11">IF(G19&gt;H18,G19,H18)</f>
        <v>258.32031551812418</v>
      </c>
      <c r="I19" s="18">
        <f t="shared" ref="I19:I23" si="12">AVERAGE(N18:N19)</f>
        <v>77056</v>
      </c>
      <c r="J19" s="18">
        <f>'[2]EDB Database'!$N38</f>
        <v>5356</v>
      </c>
      <c r="K19" s="18">
        <f>'[2]EDB Database'!$P38</f>
        <v>1445</v>
      </c>
      <c r="L19" s="19">
        <f t="shared" si="4"/>
        <v>0.26979088872292756</v>
      </c>
      <c r="M19" s="18">
        <f>'[2]EDB Database'!$G38/1000</f>
        <v>14074.63024</v>
      </c>
      <c r="N19" s="18">
        <f>'[2]EDB Database'!$F38</f>
        <v>77712</v>
      </c>
      <c r="O19" s="3">
        <f t="shared" si="10"/>
        <v>14074.63024</v>
      </c>
    </row>
    <row r="20" spans="1:15">
      <c r="A20" s="103" t="str">
        <f>'[1]EDB Database'!A39</f>
        <v>Aurora Energy</v>
      </c>
      <c r="B20" s="101">
        <v>2005</v>
      </c>
      <c r="C20" s="102">
        <f>'[1]EDB Database'!B39</f>
        <v>2008</v>
      </c>
      <c r="D20" s="101">
        <v>2</v>
      </c>
      <c r="E20" s="17">
        <f t="shared" si="8"/>
        <v>18160.000000000004</v>
      </c>
      <c r="F20">
        <f t="shared" si="9"/>
        <v>1.0903851002750273</v>
      </c>
      <c r="G20" s="18">
        <f>'NZ MaxDemand Calcs'!N21</f>
        <v>265.50200000000001</v>
      </c>
      <c r="H20" s="3">
        <f t="shared" si="11"/>
        <v>265.50200000000001</v>
      </c>
      <c r="I20" s="18">
        <f t="shared" si="12"/>
        <v>78761.5</v>
      </c>
      <c r="J20" s="18">
        <f>'[2]EDB Database'!$N39</f>
        <v>5453.3</v>
      </c>
      <c r="K20" s="18">
        <f>'[2]EDB Database'!$P39</f>
        <v>1591.2</v>
      </c>
      <c r="L20" s="19">
        <f t="shared" si="4"/>
        <v>0.29178662461261989</v>
      </c>
      <c r="M20" s="18">
        <f>'[2]EDB Database'!$G39/1000</f>
        <v>16599.803189999999</v>
      </c>
      <c r="N20" s="18">
        <f>'[2]EDB Database'!$F39</f>
        <v>79811</v>
      </c>
      <c r="O20" s="3">
        <f t="shared" si="10"/>
        <v>16599.803189999999</v>
      </c>
    </row>
    <row r="21" spans="1:15">
      <c r="A21" s="101" t="str">
        <f>'[1]EDB Database'!A40</f>
        <v>Aurora Energy</v>
      </c>
      <c r="B21" s="101">
        <v>2005</v>
      </c>
      <c r="C21" s="102">
        <f>'[1]EDB Database'!B40</f>
        <v>2009</v>
      </c>
      <c r="D21" s="101">
        <v>2</v>
      </c>
      <c r="E21" s="17">
        <f t="shared" si="8"/>
        <v>19823.000000000004</v>
      </c>
      <c r="F21">
        <f t="shared" si="9"/>
        <v>1.1562469092885455</v>
      </c>
      <c r="G21" s="18">
        <f>'NZ MaxDemand Calcs'!N22</f>
        <v>269.88200000000001</v>
      </c>
      <c r="H21" s="3">
        <f t="shared" si="11"/>
        <v>269.88200000000001</v>
      </c>
      <c r="I21" s="18">
        <f t="shared" si="12"/>
        <v>80248.5</v>
      </c>
      <c r="J21" s="18">
        <f>'[2]EDB Database'!$N40</f>
        <v>5544.4</v>
      </c>
      <c r="K21" s="18">
        <f>'[2]EDB Database'!$P40</f>
        <v>1643.7</v>
      </c>
      <c r="L21" s="19">
        <f t="shared" si="4"/>
        <v>0.2964612942789121</v>
      </c>
      <c r="M21" s="18">
        <f>'[2]EDB Database'!$G40/1000</f>
        <v>18119.92833895209</v>
      </c>
      <c r="N21" s="18">
        <f>'[2]EDB Database'!$F40</f>
        <v>80686</v>
      </c>
      <c r="O21" s="3">
        <f t="shared" si="10"/>
        <v>18119.92833895209</v>
      </c>
    </row>
    <row r="22" spans="1:15">
      <c r="A22" s="101" t="str">
        <f>'[1]EDB Database'!A41</f>
        <v>Aurora Energy</v>
      </c>
      <c r="B22" s="101">
        <v>2005</v>
      </c>
      <c r="C22" s="102">
        <f>'[1]EDB Database'!B41</f>
        <v>2010</v>
      </c>
      <c r="D22" s="101">
        <v>2</v>
      </c>
      <c r="E22" s="17">
        <f t="shared" si="8"/>
        <v>20013.000000000007</v>
      </c>
      <c r="F22">
        <f t="shared" si="9"/>
        <v>1.1601923412470114</v>
      </c>
      <c r="G22" s="18">
        <f>'NZ MaxDemand Calcs'!N23</f>
        <v>279.11</v>
      </c>
      <c r="H22" s="3">
        <f t="shared" si="11"/>
        <v>279.11</v>
      </c>
      <c r="I22" s="18">
        <f t="shared" si="12"/>
        <v>81129.5</v>
      </c>
      <c r="J22" s="18">
        <f>'[2]EDB Database'!$N41</f>
        <v>5600</v>
      </c>
      <c r="K22" s="18">
        <f>'[2]EDB Database'!$P41</f>
        <v>1708.5</v>
      </c>
      <c r="L22" s="19">
        <f t="shared" si="4"/>
        <v>0.30508928571428573</v>
      </c>
      <c r="M22" s="18">
        <f>'[2]EDB Database'!$G41/1000</f>
        <v>18293.604693913545</v>
      </c>
      <c r="N22" s="18">
        <f>'[2]EDB Database'!$F41</f>
        <v>81573</v>
      </c>
      <c r="O22" s="3">
        <f t="shared" si="10"/>
        <v>18293.604693913545</v>
      </c>
    </row>
    <row r="23" spans="1:15">
      <c r="A23" s="101" t="str">
        <f>'[1]EDB Database'!A42</f>
        <v>Aurora Energy</v>
      </c>
      <c r="B23" s="101">
        <v>2005</v>
      </c>
      <c r="C23" s="102">
        <f>'[1]EDB Database'!B42</f>
        <v>2011</v>
      </c>
      <c r="D23" s="101">
        <v>2</v>
      </c>
      <c r="E23" s="17">
        <f t="shared" si="8"/>
        <v>19005.000000000007</v>
      </c>
      <c r="F23">
        <f t="shared" si="9"/>
        <v>1.1900846681215445</v>
      </c>
      <c r="G23" s="18">
        <f>'NZ MaxDemand Calcs'!N24</f>
        <v>266.09399999999999</v>
      </c>
      <c r="H23" s="3">
        <f t="shared" si="11"/>
        <v>279.11</v>
      </c>
      <c r="I23" s="18">
        <f t="shared" si="12"/>
        <v>81970.5</v>
      </c>
      <c r="J23" s="18">
        <f>'[2]EDB Database'!$N42</f>
        <v>5621.3</v>
      </c>
      <c r="K23" s="18">
        <f>'[2]EDB Database'!$P42</f>
        <v>1730.1</v>
      </c>
      <c r="L23" s="19">
        <f t="shared" si="4"/>
        <v>0.30777578140287831</v>
      </c>
      <c r="M23" s="18">
        <f>'[2]EDB Database'!$G42/1000</f>
        <v>17372.205926539096</v>
      </c>
      <c r="N23" s="18">
        <f>'[2]EDB Database'!$F42</f>
        <v>82368</v>
      </c>
      <c r="O23" s="3">
        <f t="shared" si="10"/>
        <v>17372.205926539096</v>
      </c>
    </row>
    <row r="24" spans="1:15">
      <c r="A24" s="101" t="str">
        <f>'[1]EDB Database'!A43</f>
        <v>Aurora Energy</v>
      </c>
      <c r="B24" s="101">
        <v>2005</v>
      </c>
      <c r="C24" s="102">
        <f>'[1]EDB Database'!B43</f>
        <v>2012</v>
      </c>
      <c r="D24" s="101">
        <v>2</v>
      </c>
      <c r="E24" s="17">
        <f>E25*M24/M25</f>
        <v>20026.000000000004</v>
      </c>
      <c r="F24">
        <f t="shared" si="9"/>
        <v>1.2216652483575092</v>
      </c>
      <c r="G24" s="18">
        <f>'NZ MaxDemand Calcs'!N25</f>
        <v>269.42</v>
      </c>
      <c r="H24" s="3">
        <f t="shared" si="11"/>
        <v>279.11</v>
      </c>
      <c r="I24" s="18">
        <f>AVERAGE(N23:N24)</f>
        <v>82638</v>
      </c>
      <c r="J24" s="18">
        <f>'[2]EDB Database'!$N43</f>
        <v>5677</v>
      </c>
      <c r="K24" s="18">
        <f>'[2]EDB Database'!$P43</f>
        <v>1778</v>
      </c>
      <c r="L24" s="19">
        <f t="shared" si="4"/>
        <v>0.31319358816276205</v>
      </c>
      <c r="M24" s="18">
        <f>'[2]EDB Database'!$G43/1000</f>
        <v>18305.487812937223</v>
      </c>
      <c r="N24" s="18">
        <f>'[2]EDB Database'!$F43</f>
        <v>82908</v>
      </c>
      <c r="O24" s="3">
        <f t="shared" si="10"/>
        <v>18305.487812937223</v>
      </c>
    </row>
    <row r="25" spans="1:15">
      <c r="A25" s="101" t="str">
        <f>'[1]EDB Database'!A44</f>
        <v>Aurora Energy</v>
      </c>
      <c r="B25" s="101">
        <v>2005</v>
      </c>
      <c r="C25" s="102">
        <f>'[1]EDB Database'!B44</f>
        <v>2013</v>
      </c>
      <c r="D25" s="101">
        <v>2</v>
      </c>
      <c r="E25" s="17">
        <f>[3]Sheet1!$M8</f>
        <v>18641</v>
      </c>
      <c r="F25">
        <f t="shared" si="9"/>
        <v>1.2421813017565195</v>
      </c>
      <c r="G25" s="18">
        <f>'NZ MaxDemand Calcs'!N26</f>
        <v>264.11540831110432</v>
      </c>
      <c r="H25" s="3">
        <f t="shared" si="11"/>
        <v>279.11</v>
      </c>
      <c r="I25" s="18">
        <f>[4]Sheet1!$M8</f>
        <v>83305</v>
      </c>
      <c r="J25" s="18">
        <f>[5]Sheet1!$M14</f>
        <v>5542.6422050359388</v>
      </c>
      <c r="K25" s="18">
        <f>[5]Sheet1!$M20</f>
        <v>1645.0410654279569</v>
      </c>
      <c r="L25" s="19">
        <f t="shared" si="4"/>
        <v>0.2967972682655402</v>
      </c>
      <c r="M25" s="18">
        <f>'[2]EDB Database'!$G44/1000</f>
        <v>17039.478593876098</v>
      </c>
      <c r="O25" s="3">
        <f>M25</f>
        <v>17039.478593876098</v>
      </c>
    </row>
    <row r="26" spans="1:15" s="9" customFormat="1">
      <c r="A26" s="104" t="str">
        <f>'[1]EDB Database'!A45</f>
        <v>Aurora Energy</v>
      </c>
      <c r="B26" s="104">
        <v>2005</v>
      </c>
      <c r="C26" s="105">
        <f>'[1]EDB Database'!B45</f>
        <v>2014</v>
      </c>
      <c r="D26" s="104">
        <v>2</v>
      </c>
      <c r="E26" s="17">
        <f>[3]Sheet1!$M9</f>
        <v>22317</v>
      </c>
      <c r="F26">
        <f t="shared" si="9"/>
        <v>1.27237461042106</v>
      </c>
      <c r="G26" s="18">
        <f>'NZ MaxDemand Calcs'!N27</f>
        <v>259.48924520835749</v>
      </c>
      <c r="H26" s="3">
        <f t="shared" si="11"/>
        <v>279.11</v>
      </c>
      <c r="I26" s="18">
        <f>[4]Sheet1!$M9</f>
        <v>83945</v>
      </c>
      <c r="J26" s="18">
        <f>[5]Sheet1!$M15</f>
        <v>5796</v>
      </c>
      <c r="K26" s="18">
        <f>[5]Sheet1!$M21</f>
        <v>1895</v>
      </c>
      <c r="L26" s="19">
        <f t="shared" si="4"/>
        <v>0.32694962042788128</v>
      </c>
      <c r="M26" s="18">
        <f>'[2]EDB Database'!$G45/1000</f>
        <v>20399.659019340856</v>
      </c>
      <c r="N26" s="42"/>
      <c r="O26" s="3">
        <f>O25*E26/E25</f>
        <v>20399.659019340852</v>
      </c>
    </row>
    <row r="27" spans="1:15" s="9" customFormat="1">
      <c r="A27" s="104" t="str">
        <f>'[7]2015 data'!P$16</f>
        <v>Aurora Energy</v>
      </c>
      <c r="B27" s="104">
        <f>'[7]2015 data'!Q$16</f>
        <v>2005</v>
      </c>
      <c r="C27" s="104">
        <f>'[7]2015 data'!R$16</f>
        <v>2015</v>
      </c>
      <c r="D27" s="104">
        <f>'[7]2015 data'!S$16</f>
        <v>2</v>
      </c>
      <c r="E27" s="17">
        <f>[3]Sheet1!$M10</f>
        <v>23608</v>
      </c>
      <c r="F27">
        <f t="shared" si="9"/>
        <v>1.2816685951411126</v>
      </c>
      <c r="G27" s="18">
        <f>'NZ MaxDemand Calcs'!N28</f>
        <v>265.69937623723615</v>
      </c>
      <c r="H27" s="3">
        <f t="shared" si="11"/>
        <v>279.11</v>
      </c>
      <c r="I27" s="18">
        <f>[4]Sheet1!$M10</f>
        <v>85007</v>
      </c>
      <c r="J27" s="18">
        <f>[5]Sheet1!$M16</f>
        <v>5814.6798517685511</v>
      </c>
      <c r="K27" s="18">
        <f>[5]Sheet1!$M22</f>
        <v>1924.5707989130351</v>
      </c>
      <c r="L27" s="19">
        <f t="shared" si="4"/>
        <v>0.33098482598791257</v>
      </c>
      <c r="M27" s="131"/>
      <c r="N27" s="42"/>
      <c r="O27" s="3">
        <f t="shared" ref="O27:O32" si="13">O26*E27/E26</f>
        <v>21579.74414699999</v>
      </c>
    </row>
    <row r="28" spans="1:15" s="9" customFormat="1">
      <c r="A28" s="104" t="str">
        <f t="shared" ref="A28:B32" si="14">A27</f>
        <v>Aurora Energy</v>
      </c>
      <c r="B28" s="104">
        <f t="shared" si="14"/>
        <v>2005</v>
      </c>
      <c r="C28" s="104">
        <f>C27+1</f>
        <v>2016</v>
      </c>
      <c r="D28" s="104">
        <v>2</v>
      </c>
      <c r="E28" s="17">
        <f>[3]Sheet1!$M11</f>
        <v>25173</v>
      </c>
      <c r="F28">
        <f t="shared" si="9"/>
        <v>1.2867539916420168</v>
      </c>
      <c r="G28" s="18">
        <f>'NZ MaxDemand Calcs'!N29</f>
        <v>270.3123751436508</v>
      </c>
      <c r="H28" s="3">
        <f t="shared" si="11"/>
        <v>279.11</v>
      </c>
      <c r="I28" s="18">
        <f>[4]Sheet1!$M11</f>
        <v>85966</v>
      </c>
      <c r="J28" s="18">
        <f>[5]Sheet1!$M17</f>
        <v>5877.5070888003411</v>
      </c>
      <c r="K28" s="18">
        <f>[5]Sheet1!$M23</f>
        <v>1987.5609918646819</v>
      </c>
      <c r="L28" s="19">
        <f t="shared" si="4"/>
        <v>0.3381639463526982</v>
      </c>
      <c r="M28" s="131"/>
      <c r="N28" s="42"/>
      <c r="O28" s="3">
        <f t="shared" si="13"/>
        <v>23010.288860235123</v>
      </c>
    </row>
    <row r="29" spans="1:15" s="9" customFormat="1">
      <c r="A29" s="104" t="str">
        <f t="shared" si="14"/>
        <v>Aurora Energy</v>
      </c>
      <c r="B29" s="104">
        <f t="shared" si="14"/>
        <v>2005</v>
      </c>
      <c r="C29" s="104">
        <f>C28+1</f>
        <v>2017</v>
      </c>
      <c r="D29" s="104">
        <v>2</v>
      </c>
      <c r="E29" s="17">
        <f>[3]Sheet1!$M12</f>
        <v>27472</v>
      </c>
      <c r="F29">
        <f t="shared" si="9"/>
        <v>1.3063682360796467</v>
      </c>
      <c r="G29" s="18">
        <f>'NZ MaxDemand Calcs'!N30</f>
        <v>270.98258936057505</v>
      </c>
      <c r="H29" s="3">
        <f t="shared" si="11"/>
        <v>279.11</v>
      </c>
      <c r="I29" s="18">
        <f>[4]Sheet1!$M12</f>
        <v>87102.035616438356</v>
      </c>
      <c r="J29" s="18">
        <f>[5]Sheet1!$M18</f>
        <v>6135</v>
      </c>
      <c r="K29" s="18">
        <f>[5]Sheet1!$M24</f>
        <v>2201</v>
      </c>
      <c r="L29" s="19">
        <f t="shared" si="4"/>
        <v>0.35876120619396901</v>
      </c>
      <c r="M29" s="131"/>
      <c r="N29" s="42"/>
      <c r="O29" s="3">
        <f t="shared" si="13"/>
        <v>25111.77275526871</v>
      </c>
    </row>
    <row r="30" spans="1:15" s="9" customFormat="1">
      <c r="A30" s="104" t="str">
        <f t="shared" si="14"/>
        <v>Aurora Energy</v>
      </c>
      <c r="B30" s="104">
        <f t="shared" si="14"/>
        <v>2005</v>
      </c>
      <c r="C30" s="104">
        <f>C29+1</f>
        <v>2018</v>
      </c>
      <c r="D30" s="104">
        <v>2</v>
      </c>
      <c r="E30" s="17">
        <f>[3]Sheet1!$M13</f>
        <v>35344</v>
      </c>
      <c r="F30">
        <f t="shared" si="9"/>
        <v>1.3404204496621166</v>
      </c>
      <c r="G30" s="18">
        <f>'NZ MaxDemand Calcs'!N31</f>
        <v>278.77955571824845</v>
      </c>
      <c r="H30" s="3">
        <f t="shared" si="11"/>
        <v>279.11</v>
      </c>
      <c r="I30" s="18">
        <f>[4]Sheet1!$M13</f>
        <v>88588.098630136985</v>
      </c>
      <c r="J30" s="18">
        <f>[5]Sheet1!$M19</f>
        <v>6682.91</v>
      </c>
      <c r="K30" s="18">
        <f>[5]Sheet1!$M25</f>
        <v>2284.21</v>
      </c>
      <c r="L30" s="19">
        <f t="shared" si="4"/>
        <v>0.3417987074492998</v>
      </c>
      <c r="M30" s="131"/>
      <c r="N30" s="42"/>
      <c r="O30" s="3">
        <f t="shared" si="13"/>
        <v>32307.458367145358</v>
      </c>
    </row>
    <row r="31" spans="1:15" s="9" customFormat="1">
      <c r="A31" s="104" t="str">
        <f t="shared" si="14"/>
        <v>Aurora Energy</v>
      </c>
      <c r="B31" s="104">
        <f t="shared" si="14"/>
        <v>2005</v>
      </c>
      <c r="C31" s="104">
        <f>C30+1</f>
        <v>2019</v>
      </c>
      <c r="D31" s="104">
        <v>2</v>
      </c>
      <c r="E31" s="17">
        <f>[8]Sheet1!$M$3</f>
        <v>42774.403120000003</v>
      </c>
      <c r="F31">
        <f t="shared" si="9"/>
        <v>1.3740587734764929</v>
      </c>
      <c r="G31" s="18">
        <f>'NZ MaxDemand Calcs'!N32</f>
        <v>277.75212804832904</v>
      </c>
      <c r="H31" s="3">
        <f t="shared" si="11"/>
        <v>279.11</v>
      </c>
      <c r="I31" s="18">
        <f>[9]Sheet1!$M$3</f>
        <v>89865.898630136973</v>
      </c>
      <c r="J31" s="18">
        <f>[10]Sheet1!$M$5</f>
        <v>6575.0028240628853</v>
      </c>
      <c r="K31" s="18">
        <f>[10]Sheet1!$M$4</f>
        <v>2167.529760353028</v>
      </c>
      <c r="L31" s="19">
        <f t="shared" si="4"/>
        <v>0.32966217937130077</v>
      </c>
      <c r="M31" s="131"/>
      <c r="N31" s="42"/>
      <c r="O31" s="3">
        <f t="shared" si="13"/>
        <v>39099.486418597007</v>
      </c>
    </row>
    <row r="32" spans="1:15" s="9" customFormat="1">
      <c r="A32" s="104" t="str">
        <f t="shared" si="14"/>
        <v>Aurora Energy</v>
      </c>
      <c r="B32" s="104">
        <f t="shared" si="14"/>
        <v>2005</v>
      </c>
      <c r="C32" s="104">
        <f>C31+1</f>
        <v>2020</v>
      </c>
      <c r="D32" s="104">
        <v>2</v>
      </c>
      <c r="E32" s="17">
        <f>[11]Sheet1!$M$3</f>
        <v>48022.637669999996</v>
      </c>
      <c r="F32" s="142">
        <f t="shared" si="9"/>
        <v>1.4000516345247649</v>
      </c>
      <c r="G32" s="18">
        <f>'NZ MaxDemand Calcs'!N33</f>
        <v>263.39014424136781</v>
      </c>
      <c r="H32" s="3">
        <f t="shared" ref="H32" si="15">IF(G32&gt;H31,G32,H31)</f>
        <v>279.11</v>
      </c>
      <c r="I32" s="18">
        <f>[12]Sheet1!$M$3</f>
        <v>91071</v>
      </c>
      <c r="J32" s="18">
        <f>[13]Sheet1!$M$5</f>
        <v>6101.0862593712754</v>
      </c>
      <c r="K32" s="18">
        <f>[13]Sheet1!$M$4</f>
        <v>2232.9688430229262</v>
      </c>
      <c r="L32" s="19">
        <f t="shared" si="4"/>
        <v>0.3659952913455507</v>
      </c>
      <c r="M32" s="131"/>
      <c r="N32" s="42"/>
      <c r="O32" s="3">
        <f t="shared" si="13"/>
        <v>43896.82455873787</v>
      </c>
    </row>
    <row r="33" spans="1:15">
      <c r="A33" s="101" t="str">
        <f>'[1]EDB Database'!A106</f>
        <v>Counties Power</v>
      </c>
      <c r="B33" s="101">
        <v>2009</v>
      </c>
      <c r="C33" s="102">
        <f>'[1]EDB Database'!B106</f>
        <v>2006</v>
      </c>
      <c r="D33" s="101">
        <v>2</v>
      </c>
      <c r="E33" s="17">
        <f t="shared" ref="E33:E38" si="16">E34*M33/M34</f>
        <v>7219.9182267720498</v>
      </c>
      <c r="F33">
        <f t="shared" ref="F33:F47" si="17">F18</f>
        <v>1</v>
      </c>
      <c r="G33" s="18">
        <f>'NZ MaxDemand Calcs'!N34</f>
        <v>91.68716410611502</v>
      </c>
      <c r="H33" s="3">
        <f>G33</f>
        <v>91.68716410611502</v>
      </c>
      <c r="I33" s="18">
        <f>AVERAGE(N30,'[2]EDB Database'!$F$105)</f>
        <v>33931</v>
      </c>
      <c r="J33" s="18">
        <f>'[2]EDB Database'!$N106</f>
        <v>3260.46</v>
      </c>
      <c r="K33" s="18">
        <f>'[2]EDB Database'!$P106</f>
        <v>473.39</v>
      </c>
      <c r="L33" s="19">
        <f t="shared" si="4"/>
        <v>0.14519116934420295</v>
      </c>
      <c r="M33" s="18">
        <f>'[2]EDB Database'!$G106/1000</f>
        <v>6592.2098479999995</v>
      </c>
      <c r="N33" s="18">
        <f>'[2]EDB Database'!$F106</f>
        <v>34813</v>
      </c>
      <c r="O33" s="3">
        <f t="shared" ref="O33:O39" si="18">M33</f>
        <v>6592.2098479999995</v>
      </c>
    </row>
    <row r="34" spans="1:15">
      <c r="A34" s="101" t="str">
        <f>'[1]EDB Database'!A107</f>
        <v>Counties Power</v>
      </c>
      <c r="B34" s="101">
        <v>2009</v>
      </c>
      <c r="C34" s="102">
        <f>'[1]EDB Database'!B107</f>
        <v>2007</v>
      </c>
      <c r="D34" s="101">
        <v>2</v>
      </c>
      <c r="E34" s="17">
        <f t="shared" si="16"/>
        <v>7482.0329480581522</v>
      </c>
      <c r="F34">
        <f t="shared" si="17"/>
        <v>1.0438528231223547</v>
      </c>
      <c r="G34" s="18">
        <f>'NZ MaxDemand Calcs'!N35</f>
        <v>96.327420132427406</v>
      </c>
      <c r="H34" s="3">
        <f t="shared" ref="H34:H46" si="19">IF(G34&gt;H33,G34,H33)</f>
        <v>96.327420132427406</v>
      </c>
      <c r="I34" s="18">
        <f t="shared" ref="I34:I38" si="20">AVERAGE(N33:N34)</f>
        <v>35179</v>
      </c>
      <c r="J34" s="18">
        <f>'[2]EDB Database'!$N107</f>
        <v>2962.92</v>
      </c>
      <c r="K34" s="18">
        <f>'[2]EDB Database'!$P107</f>
        <v>511.26</v>
      </c>
      <c r="L34" s="19">
        <f t="shared" si="4"/>
        <v>0.17255275201490422</v>
      </c>
      <c r="M34" s="18">
        <f>'[2]EDB Database'!$G107/1000</f>
        <v>6831.5360000000001</v>
      </c>
      <c r="N34" s="18">
        <f>'[2]EDB Database'!$F107</f>
        <v>35545</v>
      </c>
      <c r="O34" s="3">
        <f t="shared" si="18"/>
        <v>6831.5360000000001</v>
      </c>
    </row>
    <row r="35" spans="1:15">
      <c r="A35" s="103" t="str">
        <f>'[1]EDB Database'!A108</f>
        <v>Counties Power</v>
      </c>
      <c r="B35" s="101">
        <v>2009</v>
      </c>
      <c r="C35" s="102">
        <f>'[1]EDB Database'!B108</f>
        <v>2008</v>
      </c>
      <c r="D35" s="101">
        <v>2</v>
      </c>
      <c r="E35" s="17">
        <f t="shared" si="16"/>
        <v>9247.0000000000018</v>
      </c>
      <c r="F35">
        <f t="shared" si="17"/>
        <v>1.0903851002750273</v>
      </c>
      <c r="G35" s="18">
        <f>'NZ MaxDemand Calcs'!N36</f>
        <v>97.298000000000002</v>
      </c>
      <c r="H35" s="3">
        <f t="shared" si="19"/>
        <v>97.298000000000002</v>
      </c>
      <c r="I35" s="18">
        <f t="shared" si="20"/>
        <v>35579</v>
      </c>
      <c r="J35" s="18">
        <f>'[2]EDB Database'!$N108</f>
        <v>2975.0801585443901</v>
      </c>
      <c r="K35" s="18">
        <f>'[2]EDB Database'!$P108</f>
        <v>545.19990992742498</v>
      </c>
      <c r="L35" s="19">
        <f t="shared" si="4"/>
        <v>0.18325553627912114</v>
      </c>
      <c r="M35" s="18">
        <f>'[2]EDB Database'!$G108/1000</f>
        <v>8443.0546925612161</v>
      </c>
      <c r="N35" s="18">
        <f>'[2]EDB Database'!$F108</f>
        <v>35613</v>
      </c>
      <c r="O35" s="3">
        <f t="shared" si="18"/>
        <v>8443.0546925612161</v>
      </c>
    </row>
    <row r="36" spans="1:15">
      <c r="A36" s="101" t="str">
        <f>'[1]EDB Database'!A109</f>
        <v>Counties Power</v>
      </c>
      <c r="B36" s="101">
        <v>2009</v>
      </c>
      <c r="C36" s="102">
        <f>'[1]EDB Database'!B109</f>
        <v>2009</v>
      </c>
      <c r="D36" s="101">
        <v>2</v>
      </c>
      <c r="E36" s="17">
        <f t="shared" si="16"/>
        <v>9775.0000000000018</v>
      </c>
      <c r="F36">
        <f t="shared" si="17"/>
        <v>1.1562469092885455</v>
      </c>
      <c r="G36" s="18">
        <f>'NZ MaxDemand Calcs'!N37</f>
        <v>99.385999999999996</v>
      </c>
      <c r="H36" s="3">
        <f t="shared" si="19"/>
        <v>99.385999999999996</v>
      </c>
      <c r="I36" s="18">
        <f t="shared" si="20"/>
        <v>35791.5</v>
      </c>
      <c r="J36" s="18">
        <f>'[2]EDB Database'!$N109</f>
        <v>3009.0077421952601</v>
      </c>
      <c r="K36" s="18">
        <f>'[2]EDB Database'!$P109</f>
        <v>562.75280167665596</v>
      </c>
      <c r="L36" s="19">
        <f t="shared" si="4"/>
        <v>0.18702271642082663</v>
      </c>
      <c r="M36" s="18">
        <f>'[2]EDB Database'!$G109/1000</f>
        <v>8925.1497371889145</v>
      </c>
      <c r="N36" s="18">
        <f>'[2]EDB Database'!$F109</f>
        <v>35970</v>
      </c>
      <c r="O36" s="3">
        <f t="shared" si="18"/>
        <v>8925.1497371889145</v>
      </c>
    </row>
    <row r="37" spans="1:15">
      <c r="A37" s="101" t="str">
        <f>'[1]EDB Database'!A110</f>
        <v>Counties Power</v>
      </c>
      <c r="B37" s="101">
        <v>2009</v>
      </c>
      <c r="C37" s="102">
        <f>'[1]EDB Database'!B110</f>
        <v>2010</v>
      </c>
      <c r="D37" s="101">
        <v>2</v>
      </c>
      <c r="E37" s="17">
        <f t="shared" si="16"/>
        <v>9600.4003200000043</v>
      </c>
      <c r="F37">
        <f t="shared" si="17"/>
        <v>1.1601923412470114</v>
      </c>
      <c r="G37" s="18">
        <f>'NZ MaxDemand Calcs'!N38</f>
        <v>99.811999999999998</v>
      </c>
      <c r="H37" s="3">
        <f t="shared" si="19"/>
        <v>99.811999999999998</v>
      </c>
      <c r="I37" s="18">
        <f t="shared" si="20"/>
        <v>36208.5</v>
      </c>
      <c r="J37" s="18">
        <f>'[2]EDB Database'!$N110</f>
        <v>3022.4918404226701</v>
      </c>
      <c r="K37" s="18">
        <f>'[2]EDB Database'!$P110</f>
        <v>584.17918377596595</v>
      </c>
      <c r="L37" s="19">
        <f t="shared" si="4"/>
        <v>0.19327734022741758</v>
      </c>
      <c r="M37" s="18">
        <f>'[2]EDB Database'!$G110/1000</f>
        <v>8765.7299634737992</v>
      </c>
      <c r="N37" s="18">
        <f>'[2]EDB Database'!$F110</f>
        <v>36447</v>
      </c>
      <c r="O37" s="3">
        <f t="shared" si="18"/>
        <v>8765.7299634737992</v>
      </c>
    </row>
    <row r="38" spans="1:15">
      <c r="A38" s="101" t="str">
        <f>'[1]EDB Database'!A111</f>
        <v>Counties Power</v>
      </c>
      <c r="B38" s="101">
        <v>2009</v>
      </c>
      <c r="C38" s="102">
        <f>'[1]EDB Database'!B111</f>
        <v>2011</v>
      </c>
      <c r="D38" s="101">
        <v>2</v>
      </c>
      <c r="E38" s="17">
        <f t="shared" si="16"/>
        <v>9843.0000000000018</v>
      </c>
      <c r="F38">
        <f t="shared" si="17"/>
        <v>1.1900846681215445</v>
      </c>
      <c r="G38" s="18">
        <f>'NZ MaxDemand Calcs'!N39</f>
        <v>96.072000000000003</v>
      </c>
      <c r="H38" s="3">
        <f t="shared" si="19"/>
        <v>99.811999999999998</v>
      </c>
      <c r="I38" s="18">
        <f t="shared" si="20"/>
        <v>36653</v>
      </c>
      <c r="J38" s="18">
        <f>'[2]EDB Database'!$N111</f>
        <v>3032.8179436202499</v>
      </c>
      <c r="K38" s="18">
        <f>'[2]EDB Database'!$P111</f>
        <v>613.26694362024898</v>
      </c>
      <c r="L38" s="19">
        <f t="shared" si="4"/>
        <v>0.2022102727630915</v>
      </c>
      <c r="M38" s="18">
        <f>'[2]EDB Database'!$G111/1000</f>
        <v>8987.2377353606626</v>
      </c>
      <c r="N38" s="18">
        <f>'[2]EDB Database'!$F111</f>
        <v>36859</v>
      </c>
      <c r="O38" s="3">
        <f t="shared" si="18"/>
        <v>8987.2377353606626</v>
      </c>
    </row>
    <row r="39" spans="1:15">
      <c r="A39" s="101" t="str">
        <f>'[1]EDB Database'!A112</f>
        <v>Counties Power</v>
      </c>
      <c r="B39" s="101">
        <v>2009</v>
      </c>
      <c r="C39" s="102">
        <f>'[1]EDB Database'!B112</f>
        <v>2012</v>
      </c>
      <c r="D39" s="101">
        <v>2</v>
      </c>
      <c r="E39" s="17">
        <f>E40*M39/M40</f>
        <v>9732.6010000000024</v>
      </c>
      <c r="F39">
        <f t="shared" si="17"/>
        <v>1.2216652483575092</v>
      </c>
      <c r="G39" s="18">
        <f>'NZ MaxDemand Calcs'!N40</f>
        <v>103.16</v>
      </c>
      <c r="H39" s="3">
        <f t="shared" si="19"/>
        <v>103.16</v>
      </c>
      <c r="I39" s="18">
        <f>AVERAGE(N38:N39)</f>
        <v>37040.5</v>
      </c>
      <c r="J39" s="18">
        <f>'[2]EDB Database'!$N112</f>
        <v>3054.9488799999999</v>
      </c>
      <c r="K39" s="18">
        <f>'[2]EDB Database'!$P112</f>
        <v>643.00612000000001</v>
      </c>
      <c r="L39" s="19">
        <f t="shared" si="4"/>
        <v>0.21048015703621201</v>
      </c>
      <c r="M39" s="18">
        <f>'[2]EDB Database'!$G112/1000</f>
        <v>8886.4369572700325</v>
      </c>
      <c r="N39" s="18">
        <f>'[2]EDB Database'!$F112</f>
        <v>37222</v>
      </c>
      <c r="O39" s="3">
        <f t="shared" si="18"/>
        <v>8886.4369572700325</v>
      </c>
    </row>
    <row r="40" spans="1:15">
      <c r="A40" s="101" t="str">
        <f>'[1]EDB Database'!A113</f>
        <v>Counties Power</v>
      </c>
      <c r="B40" s="101">
        <v>2009</v>
      </c>
      <c r="C40" s="102">
        <f>'[1]EDB Database'!B113</f>
        <v>2013</v>
      </c>
      <c r="D40" s="101">
        <v>2</v>
      </c>
      <c r="E40" s="17">
        <f>[3]Sheet1!$M14</f>
        <v>9414.26361</v>
      </c>
      <c r="F40">
        <f t="shared" si="17"/>
        <v>1.2421813017565195</v>
      </c>
      <c r="G40" s="18">
        <f>'NZ MaxDemand Calcs'!N41</f>
        <v>104.64083016347769</v>
      </c>
      <c r="H40" s="3">
        <f t="shared" si="19"/>
        <v>104.64083016347769</v>
      </c>
      <c r="I40" s="18">
        <f>[4]Sheet1!$M14</f>
        <v>37511</v>
      </c>
      <c r="J40" s="18">
        <f>[5]Sheet1!$M26</f>
        <v>3062.4989999999998</v>
      </c>
      <c r="K40" s="18">
        <f>[5]Sheet1!$M32</f>
        <v>663.84400000000005</v>
      </c>
      <c r="L40" s="19">
        <f t="shared" si="4"/>
        <v>0.21676545853565996</v>
      </c>
      <c r="M40" s="18">
        <f>'[2]EDB Database'!$G113/1000</f>
        <v>8595.7762030300401</v>
      </c>
      <c r="O40" s="3">
        <f>M40</f>
        <v>8595.7762030300401</v>
      </c>
    </row>
    <row r="41" spans="1:15" s="9" customFormat="1">
      <c r="A41" s="104" t="str">
        <f>'[1]EDB Database'!A114</f>
        <v>Counties Power</v>
      </c>
      <c r="B41" s="104">
        <v>2009</v>
      </c>
      <c r="C41" s="105">
        <f>'[1]EDB Database'!B114</f>
        <v>2014</v>
      </c>
      <c r="D41" s="104">
        <v>2</v>
      </c>
      <c r="E41" s="17">
        <f>[3]Sheet1!$M15</f>
        <v>10633</v>
      </c>
      <c r="F41">
        <f t="shared" si="17"/>
        <v>1.27237461042106</v>
      </c>
      <c r="G41" s="18">
        <f>'NZ MaxDemand Calcs'!N42</f>
        <v>117.59327042241978</v>
      </c>
      <c r="H41" s="3">
        <f t="shared" si="19"/>
        <v>117.59327042241978</v>
      </c>
      <c r="I41" s="18">
        <f>[4]Sheet1!$M15</f>
        <v>38148</v>
      </c>
      <c r="J41" s="18">
        <f>[5]Sheet1!$M27</f>
        <v>3075.067</v>
      </c>
      <c r="K41" s="18">
        <f>[5]Sheet1!$M33</f>
        <v>689.99199999999996</v>
      </c>
      <c r="L41" s="19">
        <f t="shared" si="4"/>
        <v>0.22438275328635116</v>
      </c>
      <c r="M41" s="18">
        <f>'[2]EDB Database'!$G114/1000</f>
        <v>9708.5541847089225</v>
      </c>
      <c r="N41" s="42"/>
      <c r="O41" s="3">
        <f>O40*E41/E40</f>
        <v>9708.5541847089207</v>
      </c>
    </row>
    <row r="42" spans="1:15" s="9" customFormat="1">
      <c r="A42" s="104" t="str">
        <f>'[7]2015 data'!P$19</f>
        <v>Counties Power</v>
      </c>
      <c r="B42" s="104">
        <f>'[7]2015 data'!Q$19</f>
        <v>2009</v>
      </c>
      <c r="C42" s="104">
        <f>'[7]2015 data'!R$19</f>
        <v>2015</v>
      </c>
      <c r="D42" s="104">
        <f>'[7]2015 data'!S$19</f>
        <v>2</v>
      </c>
      <c r="E42" s="17">
        <f>[3]Sheet1!$M16</f>
        <v>11382.10564</v>
      </c>
      <c r="F42">
        <f t="shared" si="17"/>
        <v>1.2816685951411126</v>
      </c>
      <c r="G42" s="18">
        <f>'NZ MaxDemand Calcs'!N43</f>
        <v>121.85872741426638</v>
      </c>
      <c r="H42" s="3">
        <f t="shared" si="19"/>
        <v>121.85872741426638</v>
      </c>
      <c r="I42" s="18">
        <f>[4]Sheet1!$M16</f>
        <v>38856</v>
      </c>
      <c r="J42" s="18">
        <f>[5]Sheet1!$M28</f>
        <v>3124.9810000000002</v>
      </c>
      <c r="K42" s="18">
        <f>[5]Sheet1!$M34</f>
        <v>744.1</v>
      </c>
      <c r="L42" s="19">
        <f t="shared" si="4"/>
        <v>0.2381134477297622</v>
      </c>
      <c r="M42" s="131"/>
      <c r="N42" s="42"/>
      <c r="O42" s="3">
        <f t="shared" ref="O42:O47" si="21">O41*E42/E41</f>
        <v>10392.53167892608</v>
      </c>
    </row>
    <row r="43" spans="1:15" s="9" customFormat="1">
      <c r="A43" s="104" t="str">
        <f t="shared" ref="A43:B47" si="22">A42</f>
        <v>Counties Power</v>
      </c>
      <c r="B43" s="104">
        <f t="shared" si="22"/>
        <v>2009</v>
      </c>
      <c r="C43" s="104">
        <f>C42+1</f>
        <v>2016</v>
      </c>
      <c r="D43" s="104">
        <v>2</v>
      </c>
      <c r="E43" s="17">
        <f>[3]Sheet1!$M17</f>
        <v>11566.047167500001</v>
      </c>
      <c r="F43">
        <f t="shared" si="17"/>
        <v>1.2867539916420168</v>
      </c>
      <c r="G43" s="18">
        <f>'NZ MaxDemand Calcs'!N44</f>
        <v>121.20887901012004</v>
      </c>
      <c r="H43" s="3">
        <f t="shared" si="19"/>
        <v>121.85872741426638</v>
      </c>
      <c r="I43" s="18">
        <f>[4]Sheet1!$M17</f>
        <v>39747</v>
      </c>
      <c r="J43" s="18">
        <f>[5]Sheet1!$M29</f>
        <v>3185.145198816861</v>
      </c>
      <c r="K43" s="18">
        <f>[5]Sheet1!$M35</f>
        <v>823.88188884322767</v>
      </c>
      <c r="L43" s="19">
        <f t="shared" si="4"/>
        <v>0.25866384023851186</v>
      </c>
      <c r="M43" s="131"/>
      <c r="N43" s="42"/>
      <c r="O43" s="3">
        <f t="shared" si="21"/>
        <v>10560.481108677974</v>
      </c>
    </row>
    <row r="44" spans="1:15" s="9" customFormat="1">
      <c r="A44" s="104" t="str">
        <f t="shared" si="22"/>
        <v>Counties Power</v>
      </c>
      <c r="B44" s="104">
        <f t="shared" si="22"/>
        <v>2009</v>
      </c>
      <c r="C44" s="104">
        <f>C43+1</f>
        <v>2017</v>
      </c>
      <c r="D44" s="104">
        <v>2</v>
      </c>
      <c r="E44" s="17">
        <f>[3]Sheet1!$M18</f>
        <v>13095</v>
      </c>
      <c r="F44">
        <f t="shared" si="17"/>
        <v>1.3063682360796467</v>
      </c>
      <c r="G44" s="18">
        <f>'NZ MaxDemand Calcs'!N45</f>
        <v>121.31031876101119</v>
      </c>
      <c r="H44" s="3">
        <f t="shared" si="19"/>
        <v>121.85872741426638</v>
      </c>
      <c r="I44" s="18">
        <f>[4]Sheet1!$M18</f>
        <v>40794</v>
      </c>
      <c r="J44" s="18">
        <f>[5]Sheet1!$M30</f>
        <v>3239.3993599369992</v>
      </c>
      <c r="K44" s="18">
        <f>[5]Sheet1!$M36</f>
        <v>873.527012947</v>
      </c>
      <c r="L44" s="19">
        <f t="shared" si="4"/>
        <v>0.26965709253087849</v>
      </c>
      <c r="M44" s="131"/>
      <c r="N44" s="42"/>
      <c r="O44" s="3">
        <f t="shared" si="21"/>
        <v>11956.50494204489</v>
      </c>
    </row>
    <row r="45" spans="1:15" s="9" customFormat="1">
      <c r="A45" s="104" t="str">
        <f t="shared" si="22"/>
        <v>Counties Power</v>
      </c>
      <c r="B45" s="104">
        <f t="shared" si="22"/>
        <v>2009</v>
      </c>
      <c r="C45" s="104">
        <f>C44+1</f>
        <v>2018</v>
      </c>
      <c r="D45" s="104">
        <v>2</v>
      </c>
      <c r="E45" s="17">
        <f>[3]Sheet1!$M19</f>
        <v>12890</v>
      </c>
      <c r="F45">
        <f t="shared" si="17"/>
        <v>1.3404204496621166</v>
      </c>
      <c r="G45" s="18">
        <f>'NZ MaxDemand Calcs'!N46</f>
        <v>123.07389109681648</v>
      </c>
      <c r="H45" s="3">
        <f t="shared" si="19"/>
        <v>123.07389109681648</v>
      </c>
      <c r="I45" s="18">
        <f>[4]Sheet1!$M19</f>
        <v>41704</v>
      </c>
      <c r="J45" s="18">
        <f>[5]Sheet1!$M31</f>
        <v>3234.5479071159989</v>
      </c>
      <c r="K45" s="18">
        <f>[5]Sheet1!$M37</f>
        <v>892.87990696299994</v>
      </c>
      <c r="L45" s="19">
        <f t="shared" si="4"/>
        <v>0.27604473101130023</v>
      </c>
      <c r="M45" s="131"/>
      <c r="N45" s="42"/>
      <c r="O45" s="3">
        <f t="shared" si="21"/>
        <v>11769.327888733</v>
      </c>
    </row>
    <row r="46" spans="1:15" s="9" customFormat="1">
      <c r="A46" s="104" t="str">
        <f t="shared" si="22"/>
        <v>Counties Power</v>
      </c>
      <c r="B46" s="104">
        <f t="shared" si="22"/>
        <v>2009</v>
      </c>
      <c r="C46" s="104">
        <f>C45+1</f>
        <v>2019</v>
      </c>
      <c r="D46" s="104">
        <v>2</v>
      </c>
      <c r="E46" s="17">
        <f>[8]Sheet1!$M$6</f>
        <v>14624</v>
      </c>
      <c r="F46">
        <f t="shared" si="17"/>
        <v>1.3740587734764929</v>
      </c>
      <c r="G46" s="18">
        <f>'NZ MaxDemand Calcs'!N47</f>
        <v>135.67228549186709</v>
      </c>
      <c r="H46" s="3">
        <f t="shared" si="19"/>
        <v>135.67228549186709</v>
      </c>
      <c r="I46" s="18">
        <f>[9]Sheet1!$M$6</f>
        <v>42458</v>
      </c>
      <c r="J46" s="18">
        <f>[10]Sheet1!$M$11</f>
        <v>3251.2265001792989</v>
      </c>
      <c r="K46" s="18">
        <f>[10]Sheet1!$M$10</f>
        <v>925.66533091013707</v>
      </c>
      <c r="L46" s="19">
        <f t="shared" si="4"/>
        <v>0.28471265562675757</v>
      </c>
      <c r="M46" s="131"/>
      <c r="N46" s="42"/>
      <c r="O46" s="3">
        <f t="shared" si="21"/>
        <v>13352.571842112598</v>
      </c>
    </row>
    <row r="47" spans="1:15" s="9" customFormat="1">
      <c r="A47" s="104" t="str">
        <f t="shared" si="22"/>
        <v>Counties Power</v>
      </c>
      <c r="B47" s="104">
        <f t="shared" si="22"/>
        <v>2009</v>
      </c>
      <c r="C47" s="104">
        <f>C46+1</f>
        <v>2020</v>
      </c>
      <c r="D47" s="104">
        <v>2</v>
      </c>
      <c r="E47" s="17">
        <f>[11]Sheet1!$M$6</f>
        <v>15741</v>
      </c>
      <c r="F47" s="142">
        <f t="shared" si="17"/>
        <v>1.4000516345247649</v>
      </c>
      <c r="G47" s="18">
        <f>'NZ MaxDemand Calcs'!N48</f>
        <v>136.3318552054738</v>
      </c>
      <c r="H47" s="3">
        <f t="shared" ref="H47" si="23">IF(G47&gt;H46,G47,H46)</f>
        <v>136.3318552054738</v>
      </c>
      <c r="I47" s="94">
        <v>43485</v>
      </c>
      <c r="J47" s="18">
        <f>[13]Sheet1!$M$11</f>
        <v>3369.35659883889</v>
      </c>
      <c r="K47" s="18">
        <f>[13]Sheet1!$M$10</f>
        <v>1051.1766166759819</v>
      </c>
      <c r="L47" s="19">
        <f t="shared" si="4"/>
        <v>0.31198140827190174</v>
      </c>
      <c r="M47" s="131"/>
      <c r="N47" s="42"/>
      <c r="O47" s="3">
        <f t="shared" si="21"/>
        <v>14372.45851796324</v>
      </c>
    </row>
    <row r="48" spans="1:15">
      <c r="A48" s="101" t="str">
        <f>'[1]EDB Database'!A129</f>
        <v>Eastland Network</v>
      </c>
      <c r="B48" s="101">
        <v>2014</v>
      </c>
      <c r="C48" s="102">
        <f>'[1]EDB Database'!B129</f>
        <v>2006</v>
      </c>
      <c r="D48" s="101">
        <v>2</v>
      </c>
      <c r="E48" s="17">
        <f t="shared" ref="E48:E53" si="24">E49*M48/M49</f>
        <v>4292.3715006886478</v>
      </c>
      <c r="F48">
        <f t="shared" ref="F48:F62" si="25">F33</f>
        <v>1</v>
      </c>
      <c r="G48" s="18">
        <f>'NZ MaxDemand Calcs'!N49</f>
        <v>51.646442141623481</v>
      </c>
      <c r="H48" s="3">
        <f>G48</f>
        <v>51.646442141623481</v>
      </c>
      <c r="I48" s="18">
        <f>AVERAGE(N45,'[2]EDB Database'!$F$128)</f>
        <v>24856</v>
      </c>
      <c r="J48" s="18">
        <f>'[2]EDB Database'!$N129</f>
        <v>3666.64</v>
      </c>
      <c r="K48" s="18">
        <f>'[2]EDB Database'!$P129</f>
        <v>331.58</v>
      </c>
      <c r="L48" s="19">
        <f t="shared" si="4"/>
        <v>9.0431566775031086E-2</v>
      </c>
      <c r="M48" s="18">
        <f>'[2]EDB Database'!$G129/1000</f>
        <v>4286.8440799999998</v>
      </c>
      <c r="N48" s="18">
        <f>'[2]EDB Database'!$F129</f>
        <v>24864</v>
      </c>
      <c r="O48" s="3">
        <f t="shared" ref="O48:O54" si="26">M48</f>
        <v>4286.8440799999998</v>
      </c>
    </row>
    <row r="49" spans="1:15">
      <c r="A49" s="101" t="str">
        <f>'[1]EDB Database'!A130</f>
        <v>Eastland Network</v>
      </c>
      <c r="B49" s="101">
        <v>2014</v>
      </c>
      <c r="C49" s="102">
        <f>'[1]EDB Database'!B130</f>
        <v>2007</v>
      </c>
      <c r="D49" s="101">
        <v>2</v>
      </c>
      <c r="E49" s="17">
        <f t="shared" si="24"/>
        <v>5092.404398008799</v>
      </c>
      <c r="F49">
        <f t="shared" si="25"/>
        <v>1.0438528231223547</v>
      </c>
      <c r="G49" s="18">
        <f>'NZ MaxDemand Calcs'!N50</f>
        <v>54.712297063903286</v>
      </c>
      <c r="H49" s="3">
        <f t="shared" ref="H49:H61" si="27">IF(G49&gt;H48,G49,H48)</f>
        <v>54.712297063903286</v>
      </c>
      <c r="I49" s="18">
        <f t="shared" ref="I49:I53" si="28">AVERAGE(N48:N49)</f>
        <v>24913</v>
      </c>
      <c r="J49" s="18">
        <f>'[2]EDB Database'!$N130</f>
        <v>3647.25</v>
      </c>
      <c r="K49" s="18">
        <f>'[2]EDB Database'!$P130</f>
        <v>341.18</v>
      </c>
      <c r="L49" s="19">
        <f t="shared" si="4"/>
        <v>9.3544451298923845E-2</v>
      </c>
      <c r="M49" s="18">
        <f>'[2]EDB Database'!$G130/1000</f>
        <v>5085.8467499999997</v>
      </c>
      <c r="N49" s="18">
        <f>'[2]EDB Database'!$F130</f>
        <v>24962</v>
      </c>
      <c r="O49" s="3">
        <f t="shared" si="26"/>
        <v>5085.8467499999997</v>
      </c>
    </row>
    <row r="50" spans="1:15">
      <c r="A50" s="103" t="str">
        <f>'[1]EDB Database'!A131</f>
        <v>Eastland Network</v>
      </c>
      <c r="B50" s="101">
        <v>2014</v>
      </c>
      <c r="C50" s="102">
        <f>'[1]EDB Database'!B131</f>
        <v>2008</v>
      </c>
      <c r="D50" s="101">
        <v>2</v>
      </c>
      <c r="E50" s="17">
        <f t="shared" si="24"/>
        <v>4907.0800000000008</v>
      </c>
      <c r="F50">
        <f t="shared" si="25"/>
        <v>1.0903851002750273</v>
      </c>
      <c r="G50" s="18">
        <f>'NZ MaxDemand Calcs'!N51</f>
        <v>53.5</v>
      </c>
      <c r="H50" s="3">
        <f t="shared" si="27"/>
        <v>54.712297063903286</v>
      </c>
      <c r="I50" s="18">
        <f t="shared" si="28"/>
        <v>25079</v>
      </c>
      <c r="J50" s="18">
        <f>'[2]EDB Database'!$N131</f>
        <v>3653</v>
      </c>
      <c r="K50" s="18">
        <f>'[2]EDB Database'!$P131</f>
        <v>359.3</v>
      </c>
      <c r="L50" s="19">
        <f t="shared" si="4"/>
        <v>9.8357514371749249E-2</v>
      </c>
      <c r="M50" s="18">
        <f>'[2]EDB Database'!$G131/1000</f>
        <v>4900.7610000000004</v>
      </c>
      <c r="N50" s="18">
        <f>'[2]EDB Database'!$F131</f>
        <v>25196</v>
      </c>
      <c r="O50" s="3">
        <f t="shared" si="26"/>
        <v>4900.7610000000004</v>
      </c>
    </row>
    <row r="51" spans="1:15">
      <c r="A51" s="101" t="str">
        <f>'[1]EDB Database'!A132</f>
        <v>Eastland Network</v>
      </c>
      <c r="B51" s="101">
        <v>2014</v>
      </c>
      <c r="C51" s="102">
        <f>'[1]EDB Database'!B132</f>
        <v>2009</v>
      </c>
      <c r="D51" s="101">
        <v>2</v>
      </c>
      <c r="E51" s="17">
        <f t="shared" si="24"/>
        <v>6117.0000000000009</v>
      </c>
      <c r="F51">
        <f t="shared" si="25"/>
        <v>1.1562469092885455</v>
      </c>
      <c r="G51" s="18">
        <f>'NZ MaxDemand Calcs'!N52</f>
        <v>52</v>
      </c>
      <c r="H51" s="3">
        <f t="shared" si="27"/>
        <v>54.712297063903286</v>
      </c>
      <c r="I51" s="18">
        <f t="shared" si="28"/>
        <v>25248</v>
      </c>
      <c r="J51" s="18">
        <f>'[2]EDB Database'!$N132</f>
        <v>3664.21</v>
      </c>
      <c r="K51" s="18">
        <f>'[2]EDB Database'!$P132</f>
        <v>377.71</v>
      </c>
      <c r="L51" s="19">
        <f t="shared" si="4"/>
        <v>0.1030808823730081</v>
      </c>
      <c r="M51" s="18">
        <f>'[2]EDB Database'!$G132/1000</f>
        <v>6109.1229482706622</v>
      </c>
      <c r="N51" s="18">
        <f>'[2]EDB Database'!$F132</f>
        <v>25300</v>
      </c>
      <c r="O51" s="3">
        <f t="shared" si="26"/>
        <v>6109.1229482706622</v>
      </c>
    </row>
    <row r="52" spans="1:15">
      <c r="A52" s="101" t="str">
        <f>'[1]EDB Database'!A133</f>
        <v>Eastland Network</v>
      </c>
      <c r="B52" s="101">
        <v>2014</v>
      </c>
      <c r="C52" s="102">
        <f>'[1]EDB Database'!B133</f>
        <v>2010</v>
      </c>
      <c r="D52" s="101">
        <v>2</v>
      </c>
      <c r="E52" s="17">
        <f t="shared" si="24"/>
        <v>5839</v>
      </c>
      <c r="F52">
        <f t="shared" si="25"/>
        <v>1.1601923412470114</v>
      </c>
      <c r="G52" s="18">
        <f>'NZ MaxDemand Calcs'!N53</f>
        <v>54.188000000000002</v>
      </c>
      <c r="H52" s="3">
        <f t="shared" si="27"/>
        <v>54.712297063903286</v>
      </c>
      <c r="I52" s="18">
        <f t="shared" si="28"/>
        <v>25366</v>
      </c>
      <c r="J52" s="18">
        <f>'[2]EDB Database'!$N133</f>
        <v>3661.7159999999999</v>
      </c>
      <c r="K52" s="18">
        <f>'[2]EDB Database'!$P133</f>
        <v>382.00400000000002</v>
      </c>
      <c r="L52" s="19">
        <f t="shared" si="4"/>
        <v>0.10432376514180784</v>
      </c>
      <c r="M52" s="18">
        <f>'[2]EDB Database'!$G133/1000</f>
        <v>5831.4809375433033</v>
      </c>
      <c r="N52" s="18">
        <f>'[2]EDB Database'!$F133</f>
        <v>25432</v>
      </c>
      <c r="O52" s="3">
        <f t="shared" si="26"/>
        <v>5831.4809375433033</v>
      </c>
    </row>
    <row r="53" spans="1:15">
      <c r="A53" s="101" t="str">
        <f>'[1]EDB Database'!A134</f>
        <v>Eastland Network</v>
      </c>
      <c r="B53" s="101">
        <v>2014</v>
      </c>
      <c r="C53" s="102">
        <f>'[1]EDB Database'!B134</f>
        <v>2011</v>
      </c>
      <c r="D53" s="101">
        <v>2</v>
      </c>
      <c r="E53" s="17">
        <f t="shared" si="24"/>
        <v>5824</v>
      </c>
      <c r="F53">
        <f t="shared" si="25"/>
        <v>1.1900846681215445</v>
      </c>
      <c r="G53" s="18">
        <f>'NZ MaxDemand Calcs'!N54</f>
        <v>52.594000000000001</v>
      </c>
      <c r="H53" s="3">
        <f t="shared" si="27"/>
        <v>54.712297063903286</v>
      </c>
      <c r="I53" s="18">
        <f t="shared" si="28"/>
        <v>25473</v>
      </c>
      <c r="J53" s="18">
        <f>'[2]EDB Database'!$N134</f>
        <v>3653.630236</v>
      </c>
      <c r="K53" s="18">
        <f>'[2]EDB Database'!$P134</f>
        <v>381.11623600000001</v>
      </c>
      <c r="L53" s="19">
        <f t="shared" si="4"/>
        <v>0.10431166028920504</v>
      </c>
      <c r="M53" s="18">
        <f>'[2]EDB Database'!$G134/1000</f>
        <v>5816.5002535112517</v>
      </c>
      <c r="N53" s="18">
        <f>'[2]EDB Database'!$F134</f>
        <v>25514</v>
      </c>
      <c r="O53" s="3">
        <f t="shared" si="26"/>
        <v>5816.5002535112517</v>
      </c>
    </row>
    <row r="54" spans="1:15">
      <c r="A54" s="101" t="str">
        <f>'[1]EDB Database'!A135</f>
        <v>Eastland Network</v>
      </c>
      <c r="B54" s="101">
        <v>2014</v>
      </c>
      <c r="C54" s="102">
        <f>'[1]EDB Database'!B135</f>
        <v>2012</v>
      </c>
      <c r="D54" s="101">
        <v>2</v>
      </c>
      <c r="E54" s="17">
        <f>E55*M54/M55</f>
        <v>6035.4040000000005</v>
      </c>
      <c r="F54">
        <f t="shared" si="25"/>
        <v>1.2216652483575092</v>
      </c>
      <c r="G54" s="18">
        <f>'NZ MaxDemand Calcs'!N55</f>
        <v>53.78</v>
      </c>
      <c r="H54" s="3">
        <f t="shared" si="27"/>
        <v>54.712297063903286</v>
      </c>
      <c r="I54" s="18">
        <f>AVERAGE(N53:N54)</f>
        <v>25540.5</v>
      </c>
      <c r="J54" s="18">
        <f>'[2]EDB Database'!$N135</f>
        <v>3645.8049999999998</v>
      </c>
      <c r="K54" s="18">
        <f>'[2]EDB Database'!$P135</f>
        <v>384.80500000000001</v>
      </c>
      <c r="L54" s="19">
        <f t="shared" si="4"/>
        <v>0.10554733453928557</v>
      </c>
      <c r="M54" s="18">
        <f>'[2]EDB Database'!$G135/1000</f>
        <v>6027.6320219853751</v>
      </c>
      <c r="N54" s="18">
        <f>'[2]EDB Database'!$F135</f>
        <v>25567</v>
      </c>
      <c r="O54" s="3">
        <f t="shared" si="26"/>
        <v>6027.6320219853751</v>
      </c>
    </row>
    <row r="55" spans="1:15">
      <c r="A55" s="101" t="str">
        <f>'[1]EDB Database'!A136</f>
        <v>Eastland Network</v>
      </c>
      <c r="B55" s="101">
        <v>2014</v>
      </c>
      <c r="C55" s="102">
        <f>'[1]EDB Database'!B136</f>
        <v>2013</v>
      </c>
      <c r="D55" s="101">
        <v>2</v>
      </c>
      <c r="E55" s="17">
        <f>[3]Sheet1!$M20</f>
        <v>7445.1994499999992</v>
      </c>
      <c r="F55">
        <f t="shared" si="25"/>
        <v>1.2421813017565195</v>
      </c>
      <c r="G55" s="18">
        <f>'NZ MaxDemand Calcs'!N56</f>
        <v>53.707181191531262</v>
      </c>
      <c r="H55" s="3">
        <f t="shared" si="27"/>
        <v>54.712297063903286</v>
      </c>
      <c r="I55" s="18">
        <f>[4]Sheet1!$M20</f>
        <v>25556</v>
      </c>
      <c r="J55" s="18">
        <f>[5]Sheet1!$M38</f>
        <v>3645.3530000000001</v>
      </c>
      <c r="K55" s="18">
        <f>[5]Sheet1!$M44</f>
        <v>386.35300000000001</v>
      </c>
      <c r="L55" s="19">
        <f t="shared" si="4"/>
        <v>0.10598507195325117</v>
      </c>
      <c r="M55" s="18">
        <f>'[2]EDB Database'!$G136/1000</f>
        <v>7435.6120344036453</v>
      </c>
      <c r="O55" s="3">
        <f>M55</f>
        <v>7435.6120344036453</v>
      </c>
    </row>
    <row r="56" spans="1:15" s="9" customFormat="1">
      <c r="A56" s="104" t="str">
        <f>'[1]EDB Database'!A137</f>
        <v>Eastland Network</v>
      </c>
      <c r="B56" s="104">
        <v>2014</v>
      </c>
      <c r="C56" s="105">
        <f>'[1]EDB Database'!B137</f>
        <v>2014</v>
      </c>
      <c r="D56" s="104">
        <v>2</v>
      </c>
      <c r="E56" s="17">
        <f>[3]Sheet1!$M21</f>
        <v>7809.8741499999996</v>
      </c>
      <c r="F56">
        <f t="shared" si="25"/>
        <v>1.27237461042106</v>
      </c>
      <c r="G56" s="18">
        <f>'NZ MaxDemand Calcs'!N57</f>
        <v>56.606693746922694</v>
      </c>
      <c r="H56" s="3">
        <f t="shared" si="27"/>
        <v>56.606693746922694</v>
      </c>
      <c r="I56" s="18">
        <f>[4]Sheet1!$M21</f>
        <v>25450</v>
      </c>
      <c r="J56" s="18">
        <f>[5]Sheet1!$M39</f>
        <v>3650.5113490136018</v>
      </c>
      <c r="K56" s="18">
        <f>[5]Sheet1!$M45</f>
        <v>391.38682200000051</v>
      </c>
      <c r="L56" s="19">
        <f t="shared" si="4"/>
        <v>0.1072142460550784</v>
      </c>
      <c r="M56" s="18">
        <f>'[2]EDB Database'!$G137/1000</f>
        <v>7799.8171314158608</v>
      </c>
      <c r="N56" s="42"/>
      <c r="O56" s="3">
        <f>O55*E56/E55</f>
        <v>7799.8171314158608</v>
      </c>
    </row>
    <row r="57" spans="1:15" s="9" customFormat="1">
      <c r="A57" s="104" t="str">
        <f>'[7]2015 data'!P$20</f>
        <v>Eastland Network</v>
      </c>
      <c r="B57" s="104">
        <f>'[7]2015 data'!Q$20</f>
        <v>2014</v>
      </c>
      <c r="C57" s="104">
        <f>'[7]2015 data'!R$20</f>
        <v>2015</v>
      </c>
      <c r="D57" s="104">
        <f>'[7]2015 data'!S$20</f>
        <v>2</v>
      </c>
      <c r="E57" s="17">
        <f>[3]Sheet1!$M22</f>
        <v>7854.0554200000006</v>
      </c>
      <c r="F57">
        <f t="shared" si="25"/>
        <v>1.2816685951411126</v>
      </c>
      <c r="G57" s="18">
        <f>'NZ MaxDemand Calcs'!N58</f>
        <v>52.338376732081315</v>
      </c>
      <c r="H57" s="3">
        <f t="shared" si="27"/>
        <v>56.606693746922694</v>
      </c>
      <c r="I57" s="18">
        <f>[4]Sheet1!$M22</f>
        <v>25392</v>
      </c>
      <c r="J57" s="18">
        <f>[5]Sheet1!$M40</f>
        <v>3954.0351670250338</v>
      </c>
      <c r="K57" s="18">
        <f>[5]Sheet1!$M46</f>
        <v>390.51878600000032</v>
      </c>
      <c r="L57" s="19">
        <f t="shared" si="4"/>
        <v>9.8764621330826891E-2</v>
      </c>
      <c r="M57" s="131"/>
      <c r="N57" s="42"/>
      <c r="O57" s="3">
        <f t="shared" ref="O57:O62" si="29">O56*E57/E56</f>
        <v>7843.9415078161792</v>
      </c>
    </row>
    <row r="58" spans="1:15" s="9" customFormat="1">
      <c r="A58" s="104" t="str">
        <f t="shared" ref="A58:B62" si="30">A57</f>
        <v>Eastland Network</v>
      </c>
      <c r="B58" s="104">
        <f t="shared" si="30"/>
        <v>2014</v>
      </c>
      <c r="C58" s="104">
        <f>C57+1</f>
        <v>2016</v>
      </c>
      <c r="D58" s="104">
        <v>2</v>
      </c>
      <c r="E58" s="17">
        <f>[3]Sheet1!$M23</f>
        <v>9448.3410999999996</v>
      </c>
      <c r="F58">
        <f t="shared" si="25"/>
        <v>1.2867539916420168</v>
      </c>
      <c r="G58" s="18">
        <f>'NZ MaxDemand Calcs'!N59</f>
        <v>57.044552296546385</v>
      </c>
      <c r="H58" s="3">
        <f t="shared" si="27"/>
        <v>57.044552296546385</v>
      </c>
      <c r="I58" s="18">
        <v>25415</v>
      </c>
      <c r="J58" s="18">
        <f>[5]Sheet1!$M41</f>
        <v>3952.563889718605</v>
      </c>
      <c r="K58" s="18">
        <f>[5]Sheet1!$M47</f>
        <v>394.75977900000038</v>
      </c>
      <c r="L58" s="19">
        <f t="shared" si="4"/>
        <v>9.987435750927344E-2</v>
      </c>
      <c r="M58" s="131"/>
      <c r="N58" s="42"/>
      <c r="O58" s="3">
        <f t="shared" si="29"/>
        <v>9436.1741764098188</v>
      </c>
    </row>
    <row r="59" spans="1:15" s="9" customFormat="1">
      <c r="A59" s="104" t="str">
        <f t="shared" si="30"/>
        <v>Eastland Network</v>
      </c>
      <c r="B59" s="104">
        <f t="shared" si="30"/>
        <v>2014</v>
      </c>
      <c r="C59" s="104">
        <f>C58+1</f>
        <v>2017</v>
      </c>
      <c r="D59" s="104">
        <v>2</v>
      </c>
      <c r="E59" s="17">
        <f>[3]Sheet1!$M24</f>
        <v>9248.2761300000002</v>
      </c>
      <c r="F59">
        <f t="shared" si="25"/>
        <v>1.3063682360796467</v>
      </c>
      <c r="G59" s="18">
        <f>'NZ MaxDemand Calcs'!N60</f>
        <v>55.523868608004484</v>
      </c>
      <c r="H59" s="3">
        <f t="shared" si="27"/>
        <v>57.044552296546385</v>
      </c>
      <c r="I59" s="18">
        <f>[4]Sheet1!$M23</f>
        <v>25407</v>
      </c>
      <c r="J59" s="18">
        <f>[5]Sheet1!$M42</f>
        <v>3951.7057826052619</v>
      </c>
      <c r="K59" s="18">
        <f>[5]Sheet1!$M48</f>
        <v>398.56680700000049</v>
      </c>
      <c r="L59" s="19">
        <f t="shared" si="4"/>
        <v>0.10085943360318572</v>
      </c>
      <c r="M59" s="131"/>
      <c r="N59" s="42"/>
      <c r="O59" s="3">
        <f t="shared" si="29"/>
        <v>9236.3668363130255</v>
      </c>
    </row>
    <row r="60" spans="1:15" s="9" customFormat="1">
      <c r="A60" s="104" t="str">
        <f t="shared" si="30"/>
        <v>Eastland Network</v>
      </c>
      <c r="B60" s="104">
        <f t="shared" si="30"/>
        <v>2014</v>
      </c>
      <c r="C60" s="104">
        <f>C59+1</f>
        <v>2018</v>
      </c>
      <c r="D60" s="104">
        <v>2</v>
      </c>
      <c r="E60" s="17">
        <f>[3]Sheet1!$M25</f>
        <v>9922.0477800000008</v>
      </c>
      <c r="F60">
        <f t="shared" si="25"/>
        <v>1.3404204496621166</v>
      </c>
      <c r="G60" s="18">
        <f>'NZ MaxDemand Calcs'!N61</f>
        <v>55.523868608004484</v>
      </c>
      <c r="H60" s="3">
        <f t="shared" si="27"/>
        <v>57.044552296546385</v>
      </c>
      <c r="I60" s="18">
        <f>[4]Sheet1!$M24</f>
        <v>25512</v>
      </c>
      <c r="J60" s="18">
        <f>[5]Sheet1!$M43</f>
        <v>3950.6127613150588</v>
      </c>
      <c r="K60" s="18">
        <f>[5]Sheet1!$M49</f>
        <v>403.87853500000051</v>
      </c>
      <c r="L60" s="19">
        <f t="shared" si="4"/>
        <v>0.10223187120611628</v>
      </c>
      <c r="M60" s="131"/>
      <c r="N60" s="42"/>
      <c r="O60" s="3">
        <f t="shared" si="29"/>
        <v>9909.2708495399656</v>
      </c>
    </row>
    <row r="61" spans="1:15" s="9" customFormat="1">
      <c r="A61" s="104" t="str">
        <f t="shared" si="30"/>
        <v>Eastland Network</v>
      </c>
      <c r="B61" s="104">
        <f t="shared" si="30"/>
        <v>2014</v>
      </c>
      <c r="C61" s="104">
        <f>C60+1</f>
        <v>2019</v>
      </c>
      <c r="D61" s="104">
        <v>2</v>
      </c>
      <c r="E61" s="17">
        <f>[8]Sheet1!$M$8</f>
        <v>10078.79477</v>
      </c>
      <c r="F61">
        <f t="shared" si="25"/>
        <v>1.3740587734764929</v>
      </c>
      <c r="G61" s="18">
        <f>'NZ MaxDemand Calcs'!N62</f>
        <v>55.447077864528381</v>
      </c>
      <c r="H61" s="3">
        <f t="shared" si="27"/>
        <v>57.044552296546385</v>
      </c>
      <c r="I61" s="18">
        <f>[9]Sheet1!$M$8</f>
        <v>25597</v>
      </c>
      <c r="J61" s="18">
        <f>[10]Sheet1!$M$14</f>
        <v>3948.8112600313329</v>
      </c>
      <c r="K61" s="18">
        <f>[10]Sheet1!$M$15</f>
        <v>406.66836900000033</v>
      </c>
      <c r="L61" s="19">
        <f t="shared" si="4"/>
        <v>0.10298501048053978</v>
      </c>
      <c r="M61" s="131"/>
      <c r="N61" s="42"/>
      <c r="O61" s="3">
        <f t="shared" si="29"/>
        <v>10065.815991550977</v>
      </c>
    </row>
    <row r="62" spans="1:15" s="9" customFormat="1">
      <c r="A62" s="104" t="str">
        <f t="shared" si="30"/>
        <v>Eastland Network</v>
      </c>
      <c r="B62" s="104">
        <f t="shared" si="30"/>
        <v>2014</v>
      </c>
      <c r="C62" s="104">
        <f>C61+1</f>
        <v>2020</v>
      </c>
      <c r="D62" s="104">
        <v>2</v>
      </c>
      <c r="E62" s="17">
        <f>[11]Sheet1!$M$8</f>
        <v>11381.92239</v>
      </c>
      <c r="F62" s="142">
        <f t="shared" si="25"/>
        <v>1.4000516345247649</v>
      </c>
      <c r="G62" s="18">
        <f>'NZ MaxDemand Calcs'!N63</f>
        <v>55.985369627910245</v>
      </c>
      <c r="H62" s="3">
        <f t="shared" ref="H62" si="31">IF(G62&gt;H61,G62,H61)</f>
        <v>57.044552296546385</v>
      </c>
      <c r="I62" s="18">
        <f>[12]Sheet1!$M$7</f>
        <v>25658</v>
      </c>
      <c r="J62" s="18">
        <f>[13]Sheet1!$M$14</f>
        <v>3948.6204266991272</v>
      </c>
      <c r="K62" s="18">
        <f>[13]Sheet1!$M$15</f>
        <v>412.94861100000128</v>
      </c>
      <c r="L62" s="19">
        <f t="shared" si="4"/>
        <v>0.10458047783164819</v>
      </c>
      <c r="M62" s="131"/>
      <c r="N62" s="42"/>
      <c r="O62" s="3">
        <f t="shared" si="29"/>
        <v>11367.265533461607</v>
      </c>
    </row>
    <row r="63" spans="1:15">
      <c r="A63" s="101" t="str">
        <f>'[1]EDB Database'!A152</f>
        <v>Electra</v>
      </c>
      <c r="B63" s="101">
        <v>2007</v>
      </c>
      <c r="C63" s="102">
        <f>'[1]EDB Database'!B152</f>
        <v>2006</v>
      </c>
      <c r="D63" s="101">
        <v>2</v>
      </c>
      <c r="E63" s="17">
        <f t="shared" ref="E63:E68" si="32">E64*M63/M64</f>
        <v>4830.6685908416775</v>
      </c>
      <c r="F63">
        <f>F48</f>
        <v>1</v>
      </c>
      <c r="G63" s="18">
        <f>'NZ MaxDemand Calcs'!N64</f>
        <v>91.93</v>
      </c>
      <c r="H63" s="3">
        <f>G63</f>
        <v>91.93</v>
      </c>
      <c r="I63" s="18">
        <f>AVERAGE(N60,'[2]EDB Database'!$F$151)</f>
        <v>39906</v>
      </c>
      <c r="J63" s="18">
        <f>'[2]EDB Database'!$N152</f>
        <v>2179</v>
      </c>
      <c r="K63" s="18">
        <f>'[2]EDB Database'!$P152</f>
        <v>629</v>
      </c>
      <c r="L63" s="19">
        <f t="shared" si="4"/>
        <v>0.28866452501147316</v>
      </c>
      <c r="M63" s="18">
        <f>'[2]EDB Database'!$G152/1000</f>
        <v>4756.4369999999999</v>
      </c>
      <c r="N63" s="18">
        <f>'[2]EDB Database'!$F152</f>
        <v>40458</v>
      </c>
      <c r="O63" s="3">
        <f t="shared" ref="O63:O69" si="33">M63</f>
        <v>4756.4369999999999</v>
      </c>
    </row>
    <row r="64" spans="1:15">
      <c r="A64" s="101" t="str">
        <f>'[1]EDB Database'!A153</f>
        <v>Electra</v>
      </c>
      <c r="B64" s="101">
        <v>2007</v>
      </c>
      <c r="C64" s="102">
        <f>'[1]EDB Database'!B153</f>
        <v>2007</v>
      </c>
      <c r="D64" s="101">
        <v>2</v>
      </c>
      <c r="E64" s="17">
        <f t="shared" si="32"/>
        <v>5842.869816056389</v>
      </c>
      <c r="F64">
        <f t="shared" ref="F64" si="34">F49</f>
        <v>1.0438528231223547</v>
      </c>
      <c r="G64" s="18">
        <f>'NZ MaxDemand Calcs'!N65</f>
        <v>98</v>
      </c>
      <c r="H64" s="3">
        <f t="shared" ref="H64:H76" si="35">IF(G64&gt;H63,G64,H63)</f>
        <v>98</v>
      </c>
      <c r="I64" s="18">
        <f t="shared" ref="I64:I68" si="36">AVERAGE(N63:N64)</f>
        <v>40659</v>
      </c>
      <c r="J64" s="18">
        <f>'[2]EDB Database'!$N153</f>
        <v>2188</v>
      </c>
      <c r="K64" s="18">
        <f>'[2]EDB Database'!$P153</f>
        <v>639</v>
      </c>
      <c r="L64" s="19">
        <f t="shared" si="4"/>
        <v>0.2920475319926874</v>
      </c>
      <c r="M64" s="18">
        <f>'[2]EDB Database'!$G153/1000</f>
        <v>5753.0839999999998</v>
      </c>
      <c r="N64" s="18">
        <f>'[2]EDB Database'!$F153</f>
        <v>40860</v>
      </c>
      <c r="O64" s="3">
        <f t="shared" si="33"/>
        <v>5753.0839999999998</v>
      </c>
    </row>
    <row r="65" spans="1:15">
      <c r="A65" s="103" t="str">
        <f>'[1]EDB Database'!A154</f>
        <v>Electra</v>
      </c>
      <c r="B65" s="101">
        <v>2007</v>
      </c>
      <c r="C65" s="102">
        <f>'[1]EDB Database'!B154</f>
        <v>2008</v>
      </c>
      <c r="D65" s="101">
        <v>2</v>
      </c>
      <c r="E65" s="17">
        <f t="shared" si="32"/>
        <v>6606.9999999999982</v>
      </c>
      <c r="F65">
        <f t="shared" ref="F65:F77" si="37">F50</f>
        <v>1.0903851002750273</v>
      </c>
      <c r="G65" s="18">
        <f>'NZ MaxDemand Calcs'!N66</f>
        <v>95</v>
      </c>
      <c r="H65" s="3">
        <f t="shared" si="35"/>
        <v>98</v>
      </c>
      <c r="I65" s="18">
        <f t="shared" si="36"/>
        <v>41186</v>
      </c>
      <c r="J65" s="18">
        <f>'[2]EDB Database'!$N154</f>
        <v>2558</v>
      </c>
      <c r="K65" s="18">
        <f>'[2]EDB Database'!$P154</f>
        <v>947</v>
      </c>
      <c r="L65" s="19">
        <f t="shared" si="4"/>
        <v>0.37021110242376859</v>
      </c>
      <c r="M65" s="18">
        <f>'[2]EDB Database'!$G154/1000</f>
        <v>6505.4719999999998</v>
      </c>
      <c r="N65" s="18">
        <f>'[2]EDB Database'!$F154</f>
        <v>41512</v>
      </c>
      <c r="O65" s="3">
        <f t="shared" si="33"/>
        <v>6505.4719999999998</v>
      </c>
    </row>
    <row r="66" spans="1:15">
      <c r="A66" s="101" t="str">
        <f>'[1]EDB Database'!A155</f>
        <v>Electra</v>
      </c>
      <c r="B66" s="101">
        <v>2007</v>
      </c>
      <c r="C66" s="102">
        <f>'[1]EDB Database'!B155</f>
        <v>2009</v>
      </c>
      <c r="D66" s="101">
        <v>2</v>
      </c>
      <c r="E66" s="17">
        <f t="shared" si="32"/>
        <v>7978.9999999999982</v>
      </c>
      <c r="F66">
        <f t="shared" si="37"/>
        <v>1.1562469092885455</v>
      </c>
      <c r="G66" s="18">
        <f>'NZ MaxDemand Calcs'!N67</f>
        <v>95</v>
      </c>
      <c r="H66" s="3">
        <f t="shared" si="35"/>
        <v>98</v>
      </c>
      <c r="I66" s="18">
        <f t="shared" si="36"/>
        <v>41636.5</v>
      </c>
      <c r="J66" s="18">
        <f>'[2]EDB Database'!$N155</f>
        <v>2561</v>
      </c>
      <c r="K66" s="18">
        <f>'[2]EDB Database'!$P155</f>
        <v>947.7</v>
      </c>
      <c r="L66" s="19">
        <f t="shared" si="4"/>
        <v>0.37005076142131982</v>
      </c>
      <c r="M66" s="18">
        <f>'[2]EDB Database'!$G155/1000</f>
        <v>7856.3888433479642</v>
      </c>
      <c r="N66" s="18">
        <f>'[2]EDB Database'!$F155</f>
        <v>41761</v>
      </c>
      <c r="O66" s="3">
        <f t="shared" si="33"/>
        <v>7856.3888433479642</v>
      </c>
    </row>
    <row r="67" spans="1:15">
      <c r="A67" s="101" t="str">
        <f>'[1]EDB Database'!A156</f>
        <v>Electra</v>
      </c>
      <c r="B67" s="101">
        <v>2007</v>
      </c>
      <c r="C67" s="102">
        <f>'[1]EDB Database'!B156</f>
        <v>2010</v>
      </c>
      <c r="D67" s="101">
        <v>2</v>
      </c>
      <c r="E67" s="17">
        <f t="shared" si="32"/>
        <v>8257.9999999999982</v>
      </c>
      <c r="F67">
        <f t="shared" si="37"/>
        <v>1.1601923412470114</v>
      </c>
      <c r="G67" s="18">
        <f>'NZ MaxDemand Calcs'!N68</f>
        <v>98</v>
      </c>
      <c r="H67" s="3">
        <f t="shared" si="35"/>
        <v>98</v>
      </c>
      <c r="I67" s="18">
        <f t="shared" si="36"/>
        <v>41982.5</v>
      </c>
      <c r="J67" s="18">
        <f>'[2]EDB Database'!$N156</f>
        <v>2576.6999999999998</v>
      </c>
      <c r="K67" s="18">
        <f>'[2]EDB Database'!$P156</f>
        <v>957.8</v>
      </c>
      <c r="L67" s="19">
        <f t="shared" si="4"/>
        <v>0.37171576046881671</v>
      </c>
      <c r="M67" s="18">
        <f>'[2]EDB Database'!$G156/1000</f>
        <v>8131.1015250491901</v>
      </c>
      <c r="N67" s="18">
        <f>'[2]EDB Database'!$F156</f>
        <v>42204</v>
      </c>
      <c r="O67" s="3">
        <f t="shared" si="33"/>
        <v>8131.1015250491901</v>
      </c>
    </row>
    <row r="68" spans="1:15">
      <c r="A68" s="101" t="str">
        <f>'[1]EDB Database'!A157</f>
        <v>Electra</v>
      </c>
      <c r="B68" s="101">
        <v>2007</v>
      </c>
      <c r="C68" s="102">
        <f>'[1]EDB Database'!B157</f>
        <v>2011</v>
      </c>
      <c r="D68" s="101">
        <v>2</v>
      </c>
      <c r="E68" s="17">
        <f t="shared" si="32"/>
        <v>7778</v>
      </c>
      <c r="F68">
        <f t="shared" si="37"/>
        <v>1.1900846681215445</v>
      </c>
      <c r="G68" s="18">
        <f>'NZ MaxDemand Calcs'!N69</f>
        <v>95.052000000000007</v>
      </c>
      <c r="H68" s="3">
        <f t="shared" si="35"/>
        <v>98</v>
      </c>
      <c r="I68" s="18">
        <f t="shared" si="36"/>
        <v>42343.5</v>
      </c>
      <c r="J68" s="18">
        <f>'[2]EDB Database'!$N157</f>
        <v>2580.46</v>
      </c>
      <c r="K68" s="18">
        <f>'[2]EDB Database'!$P157</f>
        <v>952.7</v>
      </c>
      <c r="L68" s="19">
        <f t="shared" si="4"/>
        <v>0.36919773993784055</v>
      </c>
      <c r="M68" s="18">
        <f>'[2]EDB Database'!$G157/1000</f>
        <v>7658.4775565309528</v>
      </c>
      <c r="N68" s="18">
        <f>'[2]EDB Database'!$F157</f>
        <v>42483</v>
      </c>
      <c r="O68" s="3">
        <f t="shared" si="33"/>
        <v>7658.4775565309528</v>
      </c>
    </row>
    <row r="69" spans="1:15">
      <c r="A69" s="101" t="str">
        <f>'[1]EDB Database'!A158</f>
        <v>Electra</v>
      </c>
      <c r="B69" s="101">
        <v>2007</v>
      </c>
      <c r="C69" s="102">
        <f>'[1]EDB Database'!B158</f>
        <v>2012</v>
      </c>
      <c r="D69" s="101">
        <v>2</v>
      </c>
      <c r="E69" s="17">
        <f>E70*M69/M70</f>
        <v>9616</v>
      </c>
      <c r="F69">
        <f t="shared" si="37"/>
        <v>1.2216652483575092</v>
      </c>
      <c r="G69" s="18">
        <f>'NZ MaxDemand Calcs'!N70</f>
        <v>104.05</v>
      </c>
      <c r="H69" s="3">
        <f t="shared" si="35"/>
        <v>104.05</v>
      </c>
      <c r="I69" s="18">
        <f>AVERAGE(N68:N69)</f>
        <v>42539</v>
      </c>
      <c r="J69" s="18">
        <f>'[2]EDB Database'!$N158</f>
        <v>2583.46</v>
      </c>
      <c r="K69" s="18">
        <f>'[2]EDB Database'!$P158</f>
        <v>952.7</v>
      </c>
      <c r="L69" s="19">
        <f t="shared" si="4"/>
        <v>0.36876901519667427</v>
      </c>
      <c r="M69" s="18">
        <f>'[2]EDB Database'!$G158/1000</f>
        <v>9468.2335026487071</v>
      </c>
      <c r="N69" s="18">
        <f>'[2]EDB Database'!$F158</f>
        <v>42595</v>
      </c>
      <c r="O69" s="3">
        <f t="shared" si="33"/>
        <v>9468.2335026487071</v>
      </c>
    </row>
    <row r="70" spans="1:15">
      <c r="A70" s="101" t="str">
        <f>'[1]EDB Database'!A159</f>
        <v>Electra</v>
      </c>
      <c r="B70" s="101">
        <v>2007</v>
      </c>
      <c r="C70" s="102">
        <f>'[1]EDB Database'!B159</f>
        <v>2013</v>
      </c>
      <c r="D70" s="101">
        <v>2</v>
      </c>
      <c r="E70" s="17">
        <f>[3]Sheet1!$M26</f>
        <v>8513</v>
      </c>
      <c r="F70">
        <f t="shared" si="37"/>
        <v>1.2421813017565195</v>
      </c>
      <c r="G70" s="18">
        <f>'NZ MaxDemand Calcs'!N71</f>
        <v>93.403957528957534</v>
      </c>
      <c r="H70" s="3">
        <f t="shared" si="35"/>
        <v>104.05</v>
      </c>
      <c r="I70" s="18">
        <f>[4]Sheet1!$M25</f>
        <v>42810</v>
      </c>
      <c r="J70" s="18">
        <f>[5]Sheet1!$M50</f>
        <v>2256</v>
      </c>
      <c r="K70" s="18">
        <f>[5]Sheet1!$M56</f>
        <v>711</v>
      </c>
      <c r="L70" s="19">
        <f t="shared" si="4"/>
        <v>0.31515957446808512</v>
      </c>
      <c r="M70" s="18">
        <f>'[2]EDB Database'!$G159/1000</f>
        <v>8382.1830083245059</v>
      </c>
      <c r="O70" s="3">
        <f>M70</f>
        <v>8382.1830083245059</v>
      </c>
    </row>
    <row r="71" spans="1:15" s="9" customFormat="1">
      <c r="A71" s="104" t="str">
        <f>'[1]EDB Database'!A160</f>
        <v>Electra</v>
      </c>
      <c r="B71" s="104">
        <v>2007</v>
      </c>
      <c r="C71" s="105">
        <f>'[1]EDB Database'!B160</f>
        <v>2014</v>
      </c>
      <c r="D71" s="104">
        <v>2</v>
      </c>
      <c r="E71" s="17">
        <f>[3]Sheet1!$M27</f>
        <v>10191</v>
      </c>
      <c r="F71">
        <f t="shared" si="37"/>
        <v>1.27237461042106</v>
      </c>
      <c r="G71" s="18">
        <f>'NZ MaxDemand Calcs'!N72</f>
        <v>93.403957528957534</v>
      </c>
      <c r="H71" s="3">
        <f t="shared" si="35"/>
        <v>104.05</v>
      </c>
      <c r="I71" s="18">
        <f>[4]Sheet1!$M26</f>
        <v>41982</v>
      </c>
      <c r="J71" s="18">
        <f>[5]Sheet1!$M51</f>
        <v>2263</v>
      </c>
      <c r="K71" s="18">
        <f>[5]Sheet1!$M57</f>
        <v>723</v>
      </c>
      <c r="L71" s="19">
        <f t="shared" si="4"/>
        <v>0.31948740609809989</v>
      </c>
      <c r="M71" s="18">
        <f>'[2]EDB Database'!$G160/1000</f>
        <v>10034.397631602849</v>
      </c>
      <c r="N71" s="42"/>
      <c r="O71" s="3">
        <f>O70*E71/E70</f>
        <v>10034.397631602847</v>
      </c>
    </row>
    <row r="72" spans="1:15" s="9" customFormat="1">
      <c r="A72" s="104" t="str">
        <f>'[7]2015 data'!P$21</f>
        <v>Electra</v>
      </c>
      <c r="B72" s="104">
        <f>'[7]2015 data'!Q$21</f>
        <v>2007</v>
      </c>
      <c r="C72" s="104">
        <f>'[7]2015 data'!R$21</f>
        <v>2015</v>
      </c>
      <c r="D72" s="104">
        <f>'[7]2015 data'!S$21</f>
        <v>2</v>
      </c>
      <c r="E72" s="17">
        <f>[3]Sheet1!$M28</f>
        <v>10629</v>
      </c>
      <c r="F72">
        <f t="shared" si="37"/>
        <v>1.2816685951411126</v>
      </c>
      <c r="G72" s="18">
        <f>'NZ MaxDemand Calcs'!N73</f>
        <v>89.025019305019313</v>
      </c>
      <c r="H72" s="3">
        <f t="shared" si="35"/>
        <v>104.05</v>
      </c>
      <c r="I72" s="18">
        <f>[4]Sheet1!$M27</f>
        <v>39665</v>
      </c>
      <c r="J72" s="18">
        <f>[5]Sheet1!$M52</f>
        <v>2256</v>
      </c>
      <c r="K72" s="18">
        <f>[5]Sheet1!$M58</f>
        <v>732</v>
      </c>
      <c r="L72" s="19">
        <f t="shared" si="4"/>
        <v>0.32446808510638298</v>
      </c>
      <c r="M72" s="131"/>
      <c r="N72" s="42"/>
      <c r="O72" s="3">
        <f t="shared" ref="O72:O77" si="38">O71*E72/E71</f>
        <v>10465.66700287574</v>
      </c>
    </row>
    <row r="73" spans="1:15" s="9" customFormat="1">
      <c r="A73" s="104" t="str">
        <f t="shared" ref="A73:B77" si="39">A72</f>
        <v>Electra</v>
      </c>
      <c r="B73" s="104">
        <f t="shared" si="39"/>
        <v>2007</v>
      </c>
      <c r="C73" s="104">
        <f>C72+1</f>
        <v>2016</v>
      </c>
      <c r="D73" s="104">
        <v>2</v>
      </c>
      <c r="E73" s="17">
        <f>[3]Sheet1!$M29</f>
        <v>10567</v>
      </c>
      <c r="F73">
        <f t="shared" si="37"/>
        <v>1.2867539916420168</v>
      </c>
      <c r="G73" s="18">
        <f>'NZ MaxDemand Calcs'!N74</f>
        <v>107.5350723938224</v>
      </c>
      <c r="H73" s="3">
        <f t="shared" si="35"/>
        <v>107.5350723938224</v>
      </c>
      <c r="I73" s="18">
        <f>[4]Sheet1!$M28</f>
        <v>44206</v>
      </c>
      <c r="J73" s="18">
        <f>[5]Sheet1!$M53</f>
        <v>2256</v>
      </c>
      <c r="K73" s="18">
        <f>[5]Sheet1!$M59</f>
        <v>743</v>
      </c>
      <c r="L73" s="19">
        <f t="shared" si="4"/>
        <v>0.32934397163120566</v>
      </c>
      <c r="M73" s="131"/>
      <c r="N73" s="42"/>
      <c r="O73" s="3">
        <f t="shared" si="38"/>
        <v>10404.619740275468</v>
      </c>
    </row>
    <row r="74" spans="1:15" s="9" customFormat="1">
      <c r="A74" s="104" t="str">
        <f t="shared" si="39"/>
        <v>Electra</v>
      </c>
      <c r="B74" s="104">
        <f t="shared" si="39"/>
        <v>2007</v>
      </c>
      <c r="C74" s="104">
        <f>C73+1</f>
        <v>2017</v>
      </c>
      <c r="D74" s="104">
        <v>2</v>
      </c>
      <c r="E74" s="17">
        <f>[3]Sheet1!$M30</f>
        <v>10919</v>
      </c>
      <c r="F74">
        <f t="shared" si="37"/>
        <v>1.3063682360796467</v>
      </c>
      <c r="G74" s="18">
        <f>'NZ MaxDemand Calcs'!N75</f>
        <v>103.44739382239383</v>
      </c>
      <c r="H74" s="3">
        <f t="shared" si="35"/>
        <v>107.5350723938224</v>
      </c>
      <c r="I74" s="18">
        <f>[4]Sheet1!$M29</f>
        <v>44565.416666666657</v>
      </c>
      <c r="J74" s="18">
        <f>[5]Sheet1!$M54</f>
        <v>2248</v>
      </c>
      <c r="K74" s="18">
        <f>[5]Sheet1!$M60</f>
        <v>743</v>
      </c>
      <c r="L74" s="19">
        <f t="shared" si="4"/>
        <v>0.33051601423487542</v>
      </c>
      <c r="M74" s="131"/>
      <c r="N74" s="42"/>
      <c r="O74" s="3">
        <f t="shared" si="38"/>
        <v>10751.210650522176</v>
      </c>
    </row>
    <row r="75" spans="1:15" s="9" customFormat="1">
      <c r="A75" s="104" t="str">
        <f t="shared" si="39"/>
        <v>Electra</v>
      </c>
      <c r="B75" s="104">
        <f t="shared" si="39"/>
        <v>2007</v>
      </c>
      <c r="C75" s="104">
        <f>C74+1</f>
        <v>2018</v>
      </c>
      <c r="D75" s="104">
        <v>2</v>
      </c>
      <c r="E75" s="17">
        <f>[3]Sheet1!$M31</f>
        <v>12071</v>
      </c>
      <c r="F75">
        <f t="shared" si="37"/>
        <v>1.3404204496621166</v>
      </c>
      <c r="G75" s="18">
        <f>'NZ MaxDemand Calcs'!N76</f>
        <v>104.45173745173747</v>
      </c>
      <c r="H75" s="3">
        <f t="shared" si="35"/>
        <v>107.5350723938224</v>
      </c>
      <c r="I75" s="18">
        <f>[4]Sheet1!$M30</f>
        <v>44395.583333333328</v>
      </c>
      <c r="J75" s="18">
        <f>[5]Sheet1!$M55</f>
        <v>2275</v>
      </c>
      <c r="K75" s="18">
        <f>[5]Sheet1!$M61</f>
        <v>751</v>
      </c>
      <c r="L75" s="19">
        <f t="shared" si="4"/>
        <v>0.33010989010989011</v>
      </c>
      <c r="M75" s="131"/>
      <c r="N75" s="42"/>
      <c r="O75" s="3">
        <f t="shared" si="38"/>
        <v>11885.508174965948</v>
      </c>
    </row>
    <row r="76" spans="1:15" s="9" customFormat="1">
      <c r="A76" s="104" t="str">
        <f t="shared" si="39"/>
        <v>Electra</v>
      </c>
      <c r="B76" s="104">
        <f t="shared" si="39"/>
        <v>2007</v>
      </c>
      <c r="C76" s="104">
        <f>C75+1</f>
        <v>2019</v>
      </c>
      <c r="D76" s="104">
        <v>2</v>
      </c>
      <c r="E76" s="17">
        <f>[8]Sheet1!$M$9</f>
        <v>12149.87973692665</v>
      </c>
      <c r="F76">
        <f t="shared" si="37"/>
        <v>1.3740587734764929</v>
      </c>
      <c r="G76" s="18">
        <f>'NZ MaxDemand Calcs'!N77</f>
        <v>102.36471138996141</v>
      </c>
      <c r="H76" s="3">
        <f t="shared" si="35"/>
        <v>107.5350723938224</v>
      </c>
      <c r="I76" s="18">
        <f>[9]Sheet1!$M$9</f>
        <v>44799.083333333343</v>
      </c>
      <c r="J76" s="18">
        <f>[10]Sheet1!$M$16</f>
        <v>2288.9655210294582</v>
      </c>
      <c r="K76" s="18">
        <f>[10]Sheet1!$M$17</f>
        <v>764.57637152812208</v>
      </c>
      <c r="L76" s="19">
        <f t="shared" si="4"/>
        <v>0.33402703732481526</v>
      </c>
      <c r="M76" s="131"/>
      <c r="N76" s="42"/>
      <c r="O76" s="3">
        <f t="shared" si="38"/>
        <v>11963.175788095006</v>
      </c>
    </row>
    <row r="77" spans="1:15" s="9" customFormat="1">
      <c r="A77" s="104" t="str">
        <f t="shared" si="39"/>
        <v>Electra</v>
      </c>
      <c r="B77" s="104">
        <f t="shared" si="39"/>
        <v>2007</v>
      </c>
      <c r="C77" s="104">
        <f>C76+1</f>
        <v>2020</v>
      </c>
      <c r="D77" s="104">
        <v>2</v>
      </c>
      <c r="E77" s="17">
        <f>[11]Sheet1!$M$9</f>
        <v>13019.239627223</v>
      </c>
      <c r="F77" s="142">
        <f t="shared" si="37"/>
        <v>1.4000516345247649</v>
      </c>
      <c r="G77" s="18">
        <f>'NZ MaxDemand Calcs'!N78</f>
        <v>101.82437451737454</v>
      </c>
      <c r="H77" s="3">
        <f t="shared" ref="H77" si="40">IF(G77&gt;H76,G77,H76)</f>
        <v>107.5350723938224</v>
      </c>
      <c r="I77" s="18">
        <f>[12]Sheet1!$M$8</f>
        <v>45192.159090909103</v>
      </c>
      <c r="J77" s="94">
        <v>2323</v>
      </c>
      <c r="K77" s="18">
        <f>[13]Sheet1!$M$16</f>
        <v>769.06883716531797</v>
      </c>
      <c r="L77" s="19">
        <f t="shared" si="4"/>
        <v>0.33106708444482047</v>
      </c>
      <c r="M77" s="131"/>
      <c r="N77" s="42"/>
      <c r="O77" s="3">
        <f t="shared" si="38"/>
        <v>12819.176457725091</v>
      </c>
    </row>
    <row r="78" spans="1:15">
      <c r="A78" s="101" t="str">
        <f>'[1]EDB Database'!A221</f>
        <v>Horizon Energy</v>
      </c>
      <c r="B78" s="101">
        <v>2015</v>
      </c>
      <c r="C78" s="102">
        <f>'[1]EDB Database'!B221</f>
        <v>2006</v>
      </c>
      <c r="D78" s="101">
        <v>2</v>
      </c>
      <c r="E78" s="17">
        <f t="shared" ref="E78:E83" si="41">E79*M78/M79</f>
        <v>3495.7872792518169</v>
      </c>
      <c r="F78">
        <f t="shared" ref="F78:F92" si="42">F63</f>
        <v>1</v>
      </c>
      <c r="G78" s="18">
        <f>'NZ MaxDemand Calcs'!N79</f>
        <v>88.293245806035728</v>
      </c>
      <c r="H78" s="3">
        <f>G78</f>
        <v>88.293245806035728</v>
      </c>
      <c r="I78" s="18">
        <f>AVERAGE(N75,'[2]EDB Database'!$F$220)</f>
        <v>23572</v>
      </c>
      <c r="J78" s="18">
        <f>'[2]EDB Database'!$N221</f>
        <v>2403</v>
      </c>
      <c r="K78" s="18">
        <f>'[2]EDB Database'!$P221</f>
        <v>451</v>
      </c>
      <c r="L78" s="19">
        <f t="shared" ref="L78:L149" si="43">K78/J78</f>
        <v>0.18768206408655846</v>
      </c>
      <c r="M78" s="18">
        <f>'[2]EDB Database'!$G221/1000</f>
        <v>4640.2209999999995</v>
      </c>
      <c r="N78" s="18">
        <f>'[2]EDB Database'!$F221</f>
        <v>23887</v>
      </c>
      <c r="O78" s="3">
        <f t="shared" ref="O78:O84" si="44">M78</f>
        <v>4640.2209999999995</v>
      </c>
    </row>
    <row r="79" spans="1:15">
      <c r="A79" s="101" t="str">
        <f>'[1]EDB Database'!A222</f>
        <v>Horizon Energy</v>
      </c>
      <c r="B79" s="101">
        <v>2015</v>
      </c>
      <c r="C79" s="102">
        <f>'[1]EDB Database'!B222</f>
        <v>2007</v>
      </c>
      <c r="D79" s="101">
        <v>2</v>
      </c>
      <c r="E79" s="17">
        <f t="shared" si="41"/>
        <v>4444.6004648512526</v>
      </c>
      <c r="F79">
        <f t="shared" si="42"/>
        <v>1.0438528231223547</v>
      </c>
      <c r="G79" s="18">
        <f>'NZ MaxDemand Calcs'!N80</f>
        <v>88.361760028284607</v>
      </c>
      <c r="H79" s="3">
        <f t="shared" ref="H79:H91" si="45">IF(G79&gt;H78,G79,H78)</f>
        <v>88.361760028284607</v>
      </c>
      <c r="I79" s="18">
        <f t="shared" ref="I79:I83" si="46">AVERAGE(N78:N79)</f>
        <v>23929.5</v>
      </c>
      <c r="J79" s="18">
        <f>'[2]EDB Database'!$N222</f>
        <v>2408</v>
      </c>
      <c r="K79" s="18">
        <f>'[2]EDB Database'!$P222</f>
        <v>442</v>
      </c>
      <c r="L79" s="19">
        <f t="shared" si="43"/>
        <v>0.18355481727574752</v>
      </c>
      <c r="M79" s="18">
        <f>'[2]EDB Database'!$G222/1000</f>
        <v>5899.652</v>
      </c>
      <c r="N79" s="18">
        <f>'[2]EDB Database'!$F222</f>
        <v>23972</v>
      </c>
      <c r="O79" s="3">
        <f t="shared" si="44"/>
        <v>5899.652</v>
      </c>
    </row>
    <row r="80" spans="1:15">
      <c r="A80" s="103" t="str">
        <f>'[1]EDB Database'!A223</f>
        <v>Horizon Energy</v>
      </c>
      <c r="B80" s="101">
        <v>2015</v>
      </c>
      <c r="C80" s="102">
        <f>'[1]EDB Database'!B223</f>
        <v>2008</v>
      </c>
      <c r="D80" s="101">
        <v>2</v>
      </c>
      <c r="E80" s="17">
        <f t="shared" si="41"/>
        <v>6458.5614800000021</v>
      </c>
      <c r="F80">
        <f t="shared" si="42"/>
        <v>1.0903851002750273</v>
      </c>
      <c r="G80" s="18">
        <f>'NZ MaxDemand Calcs'!N81</f>
        <v>90.15</v>
      </c>
      <c r="H80" s="3">
        <f t="shared" si="45"/>
        <v>90.15</v>
      </c>
      <c r="I80" s="18">
        <f t="shared" si="46"/>
        <v>24096</v>
      </c>
      <c r="J80" s="18">
        <f>'[2]EDB Database'!$N223</f>
        <v>2342.4</v>
      </c>
      <c r="K80" s="18">
        <f>'[2]EDB Database'!$P223</f>
        <v>424.4</v>
      </c>
      <c r="L80" s="19">
        <f t="shared" si="43"/>
        <v>0.18118169398907102</v>
      </c>
      <c r="M80" s="18">
        <f>'[2]EDB Database'!$G223/1000</f>
        <v>8572.9337100000012</v>
      </c>
      <c r="N80" s="18">
        <f>'[2]EDB Database'!$F223</f>
        <v>24220</v>
      </c>
      <c r="O80" s="3">
        <f t="shared" si="44"/>
        <v>8572.9337100000012</v>
      </c>
    </row>
    <row r="81" spans="1:15">
      <c r="A81" s="101" t="str">
        <f>'[1]EDB Database'!A224</f>
        <v>Horizon Energy</v>
      </c>
      <c r="B81" s="101">
        <v>2015</v>
      </c>
      <c r="C81" s="102">
        <f>'[1]EDB Database'!B224</f>
        <v>2009</v>
      </c>
      <c r="D81" s="101">
        <v>2</v>
      </c>
      <c r="E81" s="17">
        <f t="shared" si="41"/>
        <v>7002.9490600000008</v>
      </c>
      <c r="F81">
        <f t="shared" si="42"/>
        <v>1.1562469092885455</v>
      </c>
      <c r="G81" s="18">
        <f>'NZ MaxDemand Calcs'!N82</f>
        <v>82.31</v>
      </c>
      <c r="H81" s="3">
        <f t="shared" si="45"/>
        <v>90.15</v>
      </c>
      <c r="I81" s="18">
        <f t="shared" si="46"/>
        <v>24237.032230662749</v>
      </c>
      <c r="J81" s="18">
        <f>'[2]EDB Database'!$N224</f>
        <v>2341.4</v>
      </c>
      <c r="K81" s="18">
        <f>'[2]EDB Database'!$P224</f>
        <v>433.1</v>
      </c>
      <c r="L81" s="19">
        <f t="shared" si="43"/>
        <v>0.18497480140087127</v>
      </c>
      <c r="M81" s="18">
        <f>'[2]EDB Database'!$G224/1000</f>
        <v>9295.5402300957594</v>
      </c>
      <c r="N81" s="18">
        <f>'[2]EDB Database'!$F224</f>
        <v>24254.064461325499</v>
      </c>
      <c r="O81" s="3">
        <f t="shared" si="44"/>
        <v>9295.5402300957594</v>
      </c>
    </row>
    <row r="82" spans="1:15">
      <c r="A82" s="101" t="str">
        <f>'[1]EDB Database'!A225</f>
        <v>Horizon Energy</v>
      </c>
      <c r="B82" s="101">
        <v>2015</v>
      </c>
      <c r="C82" s="102">
        <f>'[1]EDB Database'!B225</f>
        <v>2010</v>
      </c>
      <c r="D82" s="101">
        <v>2</v>
      </c>
      <c r="E82" s="17">
        <f t="shared" si="41"/>
        <v>6865.6130000000021</v>
      </c>
      <c r="F82">
        <f t="shared" si="42"/>
        <v>1.1601923412470114</v>
      </c>
      <c r="G82" s="18">
        <f>'NZ MaxDemand Calcs'!N83</f>
        <v>88.811999999999998</v>
      </c>
      <c r="H82" s="3">
        <f t="shared" si="45"/>
        <v>90.15</v>
      </c>
      <c r="I82" s="18">
        <f t="shared" si="46"/>
        <v>24379.032230662749</v>
      </c>
      <c r="J82" s="18">
        <f>'[2]EDB Database'!$N225</f>
        <v>2359.1</v>
      </c>
      <c r="K82" s="18">
        <f>'[2]EDB Database'!$P225</f>
        <v>438.1</v>
      </c>
      <c r="L82" s="19">
        <f t="shared" si="43"/>
        <v>0.18570641346276123</v>
      </c>
      <c r="M82" s="18">
        <f>'[2]EDB Database'!$G225/1000</f>
        <v>9113.2437633022637</v>
      </c>
      <c r="N82" s="18">
        <f>'[2]EDB Database'!$F225</f>
        <v>24504</v>
      </c>
      <c r="O82" s="3">
        <f t="shared" si="44"/>
        <v>9113.2437633022637</v>
      </c>
    </row>
    <row r="83" spans="1:15">
      <c r="A83" s="101" t="str">
        <f>'[1]EDB Database'!A226</f>
        <v>Horizon Energy</v>
      </c>
      <c r="B83" s="101">
        <v>2015</v>
      </c>
      <c r="C83" s="102">
        <f>'[1]EDB Database'!B226</f>
        <v>2011</v>
      </c>
      <c r="D83" s="101">
        <v>2</v>
      </c>
      <c r="E83" s="17">
        <f t="shared" si="41"/>
        <v>6832.0897200000009</v>
      </c>
      <c r="F83">
        <f t="shared" si="42"/>
        <v>1.1900846681215445</v>
      </c>
      <c r="G83" s="18">
        <f>'NZ MaxDemand Calcs'!N84</f>
        <v>91</v>
      </c>
      <c r="H83" s="3">
        <f t="shared" si="45"/>
        <v>91</v>
      </c>
      <c r="I83" s="18">
        <f t="shared" si="46"/>
        <v>24548.5</v>
      </c>
      <c r="J83" s="18">
        <f>'[2]EDB Database'!$N226</f>
        <v>2363.8130000000001</v>
      </c>
      <c r="K83" s="18">
        <f>'[2]EDB Database'!$P226</f>
        <v>444.95100000000002</v>
      </c>
      <c r="L83" s="19">
        <f t="shared" si="43"/>
        <v>0.188234433096019</v>
      </c>
      <c r="M83" s="18">
        <f>'[2]EDB Database'!$G226/1000</f>
        <v>9068.7457960580505</v>
      </c>
      <c r="N83" s="18">
        <f>'[2]EDB Database'!$F226</f>
        <v>24593</v>
      </c>
      <c r="O83" s="3">
        <f t="shared" si="44"/>
        <v>9068.7457960580505</v>
      </c>
    </row>
    <row r="84" spans="1:15">
      <c r="A84" s="101" t="str">
        <f>'[1]EDB Database'!A227</f>
        <v>Horizon Energy</v>
      </c>
      <c r="B84" s="101">
        <v>2015</v>
      </c>
      <c r="C84" s="102">
        <f>'[1]EDB Database'!B227</f>
        <v>2012</v>
      </c>
      <c r="D84" s="101">
        <v>2</v>
      </c>
      <c r="E84" s="17">
        <f>E85*M84/M85</f>
        <v>6931.5298300000013</v>
      </c>
      <c r="F84">
        <f t="shared" si="42"/>
        <v>1.2216652483575092</v>
      </c>
      <c r="G84" s="18">
        <f>'NZ MaxDemand Calcs'!N85</f>
        <v>94.722459999999998</v>
      </c>
      <c r="H84" s="3">
        <f t="shared" si="45"/>
        <v>94.722459999999998</v>
      </c>
      <c r="I84" s="18">
        <f>AVERAGE(N83:N84)</f>
        <v>24614.5</v>
      </c>
      <c r="J84" s="18">
        <f>'[2]EDB Database'!$N227</f>
        <v>2369.7049999999999</v>
      </c>
      <c r="K84" s="18">
        <f>'[2]EDB Database'!$P227</f>
        <v>450.94499999999999</v>
      </c>
      <c r="L84" s="19">
        <f t="shared" si="43"/>
        <v>0.19029583851154469</v>
      </c>
      <c r="M84" s="18">
        <f>'[2]EDB Database'!$G227/1000</f>
        <v>9200.7401223155302</v>
      </c>
      <c r="N84" s="18">
        <f>'[2]EDB Database'!$F227</f>
        <v>24636</v>
      </c>
      <c r="O84" s="3">
        <f t="shared" si="44"/>
        <v>9200.7401223155302</v>
      </c>
    </row>
    <row r="85" spans="1:15">
      <c r="A85" s="101" t="str">
        <f>'[1]EDB Database'!A228</f>
        <v>Horizon Energy</v>
      </c>
      <c r="B85" s="101">
        <v>2015</v>
      </c>
      <c r="C85" s="102">
        <f>'[1]EDB Database'!B228</f>
        <v>2013</v>
      </c>
      <c r="D85" s="101">
        <v>2</v>
      </c>
      <c r="E85" s="17">
        <f>[3]Sheet1!$M32</f>
        <v>6992.3367739845071</v>
      </c>
      <c r="F85">
        <f t="shared" si="42"/>
        <v>1.2421813017565195</v>
      </c>
      <c r="G85" s="18">
        <f>'NZ MaxDemand Calcs'!N86</f>
        <v>85.559591457905867</v>
      </c>
      <c r="H85" s="3">
        <f t="shared" si="45"/>
        <v>94.722459999999998</v>
      </c>
      <c r="I85" s="18">
        <f>[4]Sheet1!$M31</f>
        <v>24734.05961758085</v>
      </c>
      <c r="J85" s="18">
        <f>[5]Sheet1!$M62</f>
        <v>2372.63</v>
      </c>
      <c r="K85" s="18">
        <f>[5]Sheet1!$M68</f>
        <v>455.8</v>
      </c>
      <c r="L85" s="19">
        <f t="shared" si="43"/>
        <v>0.19210749252938722</v>
      </c>
      <c r="M85" s="18">
        <f>'[2]EDB Database'!$G228/1000</f>
        <v>9281.4537458524628</v>
      </c>
      <c r="O85" s="3">
        <f>M85</f>
        <v>9281.4537458524628</v>
      </c>
    </row>
    <row r="86" spans="1:15" s="9" customFormat="1">
      <c r="A86" s="104" t="str">
        <f>'[1]EDB Database'!A229</f>
        <v>Horizon Energy</v>
      </c>
      <c r="B86" s="104">
        <v>2015</v>
      </c>
      <c r="C86" s="105">
        <f>'[1]EDB Database'!B229</f>
        <v>2014</v>
      </c>
      <c r="D86" s="104">
        <v>2</v>
      </c>
      <c r="E86" s="17">
        <f>[3]Sheet1!$M33</f>
        <v>7731</v>
      </c>
      <c r="F86">
        <f t="shared" si="42"/>
        <v>1.27237461042106</v>
      </c>
      <c r="G86" s="18">
        <f>'NZ MaxDemand Calcs'!N87</f>
        <v>85.406460973981268</v>
      </c>
      <c r="H86" s="3">
        <f t="shared" si="45"/>
        <v>94.722459999999998</v>
      </c>
      <c r="I86" s="18">
        <f>[4]Sheet1!$M32</f>
        <v>24731.8000527453</v>
      </c>
      <c r="J86" s="18">
        <f>[5]Sheet1!$M63</f>
        <v>2381.3679400000001</v>
      </c>
      <c r="K86" s="18">
        <f>[5]Sheet1!$M69</f>
        <v>469.25599999999997</v>
      </c>
      <c r="L86" s="19">
        <f t="shared" si="43"/>
        <v>0.19705312737182476</v>
      </c>
      <c r="M86" s="18">
        <f>'[2]EDB Database'!$G229/1000</f>
        <v>10261.936921596045</v>
      </c>
      <c r="N86" s="42"/>
      <c r="O86" s="3">
        <f>O85*E86/E85</f>
        <v>10261.936921596045</v>
      </c>
    </row>
    <row r="87" spans="1:15" s="9" customFormat="1">
      <c r="A87" s="104" t="str">
        <f>'[7]2015 data'!P$24</f>
        <v>Horizon Energy</v>
      </c>
      <c r="B87" s="104">
        <f>'[7]2015 data'!Q$24</f>
        <v>2015</v>
      </c>
      <c r="C87" s="104">
        <f>'[7]2015 data'!R$24</f>
        <v>2015</v>
      </c>
      <c r="D87" s="104">
        <f>'[7]2015 data'!S$24</f>
        <v>2</v>
      </c>
      <c r="E87" s="17">
        <f>[3]Sheet1!$M34</f>
        <v>7979.563466687965</v>
      </c>
      <c r="F87">
        <f t="shared" si="42"/>
        <v>1.2816685951411126</v>
      </c>
      <c r="G87" s="18">
        <f>'NZ MaxDemand Calcs'!N88</f>
        <v>86.018084903376462</v>
      </c>
      <c r="H87" s="3">
        <f t="shared" si="45"/>
        <v>94.722459999999998</v>
      </c>
      <c r="I87" s="18">
        <f>[4]Sheet1!$M33</f>
        <v>24760.333333333339</v>
      </c>
      <c r="J87" s="18">
        <f>[5]Sheet1!$M64</f>
        <v>2494.3450499999999</v>
      </c>
      <c r="K87" s="18">
        <f>[5]Sheet1!$M70</f>
        <v>540.36164000000008</v>
      </c>
      <c r="L87" s="19">
        <f t="shared" si="43"/>
        <v>0.21663467931190999</v>
      </c>
      <c r="M87" s="131"/>
      <c r="N87" s="42"/>
      <c r="O87" s="3">
        <f t="shared" ref="O87:O92" si="47">O86*E87/E86</f>
        <v>10591.873878802762</v>
      </c>
    </row>
    <row r="88" spans="1:15" s="9" customFormat="1">
      <c r="A88" s="104" t="str">
        <f t="shared" ref="A88:B92" si="48">A87</f>
        <v>Horizon Energy</v>
      </c>
      <c r="B88" s="104">
        <f t="shared" si="48"/>
        <v>2015</v>
      </c>
      <c r="C88" s="104">
        <f>C87+1</f>
        <v>2016</v>
      </c>
      <c r="D88" s="104">
        <v>2</v>
      </c>
      <c r="E88" s="17">
        <f>[3]Sheet1!$M35</f>
        <v>9004.5443851238888</v>
      </c>
      <c r="F88">
        <f t="shared" si="42"/>
        <v>1.2867539916420168</v>
      </c>
      <c r="G88" s="18">
        <f>'NZ MaxDemand Calcs'!N89</f>
        <v>89.873634147567088</v>
      </c>
      <c r="H88" s="3">
        <f t="shared" si="45"/>
        <v>94.722459999999998</v>
      </c>
      <c r="I88" s="18">
        <f>[4]Sheet1!$M34</f>
        <v>24818</v>
      </c>
      <c r="J88" s="18">
        <f>[5]Sheet1!$M65</f>
        <v>2513.50479</v>
      </c>
      <c r="K88" s="18">
        <f>[5]Sheet1!$M71</f>
        <v>549.12087999999994</v>
      </c>
      <c r="L88" s="19">
        <f t="shared" si="43"/>
        <v>0.21846820510733936</v>
      </c>
      <c r="M88" s="131"/>
      <c r="N88" s="42"/>
      <c r="O88" s="3">
        <f t="shared" si="47"/>
        <v>11952.408031024859</v>
      </c>
    </row>
    <row r="89" spans="1:15" s="9" customFormat="1">
      <c r="A89" s="104" t="str">
        <f t="shared" si="48"/>
        <v>Horizon Energy</v>
      </c>
      <c r="B89" s="104">
        <f t="shared" si="48"/>
        <v>2015</v>
      </c>
      <c r="C89" s="104">
        <f>C88+1</f>
        <v>2017</v>
      </c>
      <c r="D89" s="104">
        <v>2</v>
      </c>
      <c r="E89" s="17">
        <f>[3]Sheet1!$M36</f>
        <v>8723.8324934746033</v>
      </c>
      <c r="F89">
        <f t="shared" si="42"/>
        <v>1.3063682360796467</v>
      </c>
      <c r="G89" s="18">
        <f>'NZ MaxDemand Calcs'!N90</f>
        <v>90.194528536311083</v>
      </c>
      <c r="H89" s="3">
        <f t="shared" si="45"/>
        <v>94.722459999999998</v>
      </c>
      <c r="I89" s="18">
        <f>[4]Sheet1!$M35</f>
        <v>24913</v>
      </c>
      <c r="J89" s="18">
        <f>[5]Sheet1!$M66</f>
        <v>2519.59184</v>
      </c>
      <c r="K89" s="18">
        <f>[5]Sheet1!$M72</f>
        <v>556.70023000000003</v>
      </c>
      <c r="L89" s="19">
        <f t="shared" si="43"/>
        <v>0.22094857633766588</v>
      </c>
      <c r="M89" s="131"/>
      <c r="N89" s="42"/>
      <c r="O89" s="3">
        <f t="shared" si="47"/>
        <v>11579.798054922561</v>
      </c>
    </row>
    <row r="90" spans="1:15" s="9" customFormat="1">
      <c r="A90" s="104" t="str">
        <f t="shared" si="48"/>
        <v>Horizon Energy</v>
      </c>
      <c r="B90" s="104">
        <f t="shared" si="48"/>
        <v>2015</v>
      </c>
      <c r="C90" s="104">
        <f>C89+1</f>
        <v>2018</v>
      </c>
      <c r="D90" s="104">
        <v>2</v>
      </c>
      <c r="E90" s="17">
        <f>[3]Sheet1!$M37</f>
        <v>10330.5049915991</v>
      </c>
      <c r="F90">
        <f t="shared" si="42"/>
        <v>1.3404204496621166</v>
      </c>
      <c r="G90" s="18">
        <f>'NZ MaxDemand Calcs'!N91</f>
        <v>91.727200794245903</v>
      </c>
      <c r="H90" s="3">
        <f t="shared" si="45"/>
        <v>94.722459999999998</v>
      </c>
      <c r="I90" s="18">
        <f>[4]Sheet1!$M36</f>
        <v>25000</v>
      </c>
      <c r="J90" s="18">
        <f>[5]Sheet1!$M67</f>
        <v>2522.0376099999999</v>
      </c>
      <c r="K90" s="18">
        <f>[5]Sheet1!$M73</f>
        <v>569.13651000000004</v>
      </c>
      <c r="L90" s="19">
        <f t="shared" si="43"/>
        <v>0.22566535397543103</v>
      </c>
      <c r="M90" s="131"/>
      <c r="N90" s="42"/>
      <c r="O90" s="3">
        <f t="shared" si="47"/>
        <v>13712.455127670813</v>
      </c>
    </row>
    <row r="91" spans="1:15" s="9" customFormat="1">
      <c r="A91" s="104" t="str">
        <f t="shared" si="48"/>
        <v>Horizon Energy</v>
      </c>
      <c r="B91" s="104">
        <f t="shared" si="48"/>
        <v>2015</v>
      </c>
      <c r="C91" s="104">
        <f>C90+1</f>
        <v>2019</v>
      </c>
      <c r="D91" s="104">
        <v>2</v>
      </c>
      <c r="E91" s="17">
        <f>[8]Sheet1!$M$11</f>
        <v>9468.8363742518395</v>
      </c>
      <c r="F91">
        <f t="shared" si="42"/>
        <v>1.3740587734764929</v>
      </c>
      <c r="G91" s="18">
        <f>'NZ MaxDemand Calcs'!N92</f>
        <v>91.841553733260895</v>
      </c>
      <c r="H91" s="3">
        <f t="shared" si="45"/>
        <v>94.722459999999998</v>
      </c>
      <c r="I91" s="18">
        <f>[9]Sheet1!$M$11</f>
        <v>25136</v>
      </c>
      <c r="J91" s="18">
        <f>[10]Sheet1!$M$20</f>
        <v>2588</v>
      </c>
      <c r="K91" s="18">
        <f>[10]Sheet1!$M$21</f>
        <v>574</v>
      </c>
      <c r="L91" s="19">
        <f t="shared" si="43"/>
        <v>0.22179289026275115</v>
      </c>
      <c r="M91" s="131"/>
      <c r="N91" s="42"/>
      <c r="O91" s="3">
        <f t="shared" si="47"/>
        <v>12568.69765793385</v>
      </c>
    </row>
    <row r="92" spans="1:15" s="9" customFormat="1">
      <c r="A92" s="104" t="str">
        <f t="shared" si="48"/>
        <v>Horizon Energy</v>
      </c>
      <c r="B92" s="104">
        <f t="shared" si="48"/>
        <v>2015</v>
      </c>
      <c r="C92" s="104">
        <f>C91+1</f>
        <v>2020</v>
      </c>
      <c r="D92" s="104">
        <v>2</v>
      </c>
      <c r="E92" s="17">
        <f>[11]Sheet1!$M$11</f>
        <v>10290.29167519387</v>
      </c>
      <c r="F92" s="142">
        <f t="shared" si="42"/>
        <v>1.4000516345247649</v>
      </c>
      <c r="G92" s="18">
        <f>'NZ MaxDemand Calcs'!N93</f>
        <v>97.027540134065703</v>
      </c>
      <c r="H92" s="3">
        <f t="shared" ref="H92" si="49">IF(G92&gt;H91,G92,H91)</f>
        <v>97.027540134065703</v>
      </c>
      <c r="I92" s="94">
        <v>25255</v>
      </c>
      <c r="J92" s="18">
        <f>[13]Sheet1!$M$20</f>
        <v>2597.3216600000001</v>
      </c>
      <c r="K92" s="18">
        <f>[13]Sheet1!$M$21</f>
        <v>593.70418999999993</v>
      </c>
      <c r="L92" s="19">
        <f t="shared" si="43"/>
        <v>0.22858323600935893</v>
      </c>
      <c r="M92" s="131"/>
      <c r="N92" s="42"/>
      <c r="O92" s="3">
        <f t="shared" si="47"/>
        <v>13659.076972663874</v>
      </c>
    </row>
    <row r="93" spans="1:15">
      <c r="A93" s="101" t="str">
        <f>'[1]EDB Database'!A244</f>
        <v>MainPower</v>
      </c>
      <c r="B93" s="101">
        <v>2010</v>
      </c>
      <c r="C93" s="102">
        <f>'[1]EDB Database'!B244</f>
        <v>2006</v>
      </c>
      <c r="D93" s="101">
        <v>2</v>
      </c>
      <c r="E93" s="17">
        <f t="shared" ref="E93:E98" si="50">E94*M93/M94</f>
        <v>5810.4289750063808</v>
      </c>
      <c r="F93">
        <f t="shared" ref="F93:F107" si="51">F78</f>
        <v>1</v>
      </c>
      <c r="G93" s="18">
        <f>'NZ MaxDemand Calcs'!N94</f>
        <v>81.417395348837189</v>
      </c>
      <c r="H93" s="3">
        <f>G93</f>
        <v>81.417395348837189</v>
      </c>
      <c r="I93" s="18">
        <f>AVERAGE(N90,'[2]EDB Database'!$F$243)</f>
        <v>30283</v>
      </c>
      <c r="J93" s="18">
        <f>'[2]EDB Database'!$N244</f>
        <v>4420</v>
      </c>
      <c r="K93" s="18">
        <f>'[2]EDB Database'!$P244</f>
        <v>756</v>
      </c>
      <c r="L93" s="19">
        <f t="shared" si="43"/>
        <v>0.17104072398190046</v>
      </c>
      <c r="M93" s="18">
        <f>'[2]EDB Database'!$G244/1000</f>
        <v>5739.8919999999998</v>
      </c>
      <c r="N93" s="18">
        <f>'[2]EDB Database'!$F244</f>
        <v>30671</v>
      </c>
      <c r="O93" s="3">
        <f t="shared" ref="O93:O99" si="52">M93</f>
        <v>5739.8919999999998</v>
      </c>
    </row>
    <row r="94" spans="1:15">
      <c r="A94" s="101" t="str">
        <f>'[1]EDB Database'!A245</f>
        <v>MainPower</v>
      </c>
      <c r="B94" s="101">
        <v>2010</v>
      </c>
      <c r="C94" s="102">
        <f>'[1]EDB Database'!B245</f>
        <v>2007</v>
      </c>
      <c r="D94" s="101">
        <v>2</v>
      </c>
      <c r="E94" s="17">
        <f t="shared" si="50"/>
        <v>7202.2179014763306</v>
      </c>
      <c r="F94">
        <f t="shared" si="51"/>
        <v>1.0438528231223547</v>
      </c>
      <c r="G94" s="18">
        <f>'NZ MaxDemand Calcs'!N95</f>
        <v>86.710697674418597</v>
      </c>
      <c r="H94" s="3">
        <f t="shared" ref="H94:H106" si="53">IF(G94&gt;H93,G94,H93)</f>
        <v>86.710697674418597</v>
      </c>
      <c r="I94" s="18">
        <f t="shared" ref="I94:I98" si="54">AVERAGE(N93:N94)</f>
        <v>31168.5</v>
      </c>
      <c r="J94" s="18">
        <f>'[2]EDB Database'!$N245</f>
        <v>4477</v>
      </c>
      <c r="K94" s="18">
        <f>'[2]EDB Database'!$P245</f>
        <v>785</v>
      </c>
      <c r="L94" s="19">
        <f t="shared" si="43"/>
        <v>0.17534062988608443</v>
      </c>
      <c r="M94" s="18">
        <f>'[2]EDB Database'!$G245/1000</f>
        <v>7114.7849999999999</v>
      </c>
      <c r="N94" s="18">
        <f>'[2]EDB Database'!$F245</f>
        <v>31666</v>
      </c>
      <c r="O94" s="3">
        <f t="shared" si="52"/>
        <v>7114.7849999999999</v>
      </c>
    </row>
    <row r="95" spans="1:15">
      <c r="A95" s="103" t="str">
        <f>'[1]EDB Database'!A246</f>
        <v>Mainpower</v>
      </c>
      <c r="B95" s="101">
        <v>2010</v>
      </c>
      <c r="C95" s="102">
        <f>'[1]EDB Database'!B246</f>
        <v>2008</v>
      </c>
      <c r="D95" s="101">
        <v>2</v>
      </c>
      <c r="E95" s="17">
        <f t="shared" si="50"/>
        <v>7095.9999999999982</v>
      </c>
      <c r="F95">
        <f t="shared" si="51"/>
        <v>1.0903851002750273</v>
      </c>
      <c r="G95" s="18">
        <f>'NZ MaxDemand Calcs'!N96</f>
        <v>88</v>
      </c>
      <c r="H95" s="3">
        <f t="shared" si="53"/>
        <v>88</v>
      </c>
      <c r="I95" s="18">
        <f t="shared" si="54"/>
        <v>32105.5</v>
      </c>
      <c r="J95" s="18">
        <f>'[2]EDB Database'!$N246</f>
        <v>4325.7079999999996</v>
      </c>
      <c r="K95" s="18">
        <f>'[2]EDB Database'!$P246</f>
        <v>629.70799999999997</v>
      </c>
      <c r="L95" s="19">
        <f t="shared" si="43"/>
        <v>0.14557339515288595</v>
      </c>
      <c r="M95" s="18">
        <f>'[2]EDB Database'!$G246/1000</f>
        <v>7009.856554</v>
      </c>
      <c r="N95" s="18">
        <f>'[2]EDB Database'!$F246</f>
        <v>32545</v>
      </c>
      <c r="O95" s="3">
        <f t="shared" si="52"/>
        <v>7009.856554</v>
      </c>
    </row>
    <row r="96" spans="1:15">
      <c r="A96" s="101" t="str">
        <f>'[1]EDB Database'!A247</f>
        <v>Mainpower</v>
      </c>
      <c r="B96" s="101">
        <v>2010</v>
      </c>
      <c r="C96" s="102">
        <f>'[1]EDB Database'!B247</f>
        <v>2009</v>
      </c>
      <c r="D96" s="101">
        <v>2</v>
      </c>
      <c r="E96" s="17">
        <f t="shared" si="50"/>
        <v>8944.9999999999964</v>
      </c>
      <c r="F96">
        <f t="shared" si="51"/>
        <v>1.1562469092885455</v>
      </c>
      <c r="G96" s="18">
        <f>'NZ MaxDemand Calcs'!N97</f>
        <v>93</v>
      </c>
      <c r="H96" s="3">
        <f t="shared" si="53"/>
        <v>93</v>
      </c>
      <c r="I96" s="18">
        <f t="shared" si="54"/>
        <v>32896.5</v>
      </c>
      <c r="J96" s="18">
        <f>'[2]EDB Database'!$N247</f>
        <v>4403</v>
      </c>
      <c r="K96" s="18">
        <f>'[2]EDB Database'!$P247</f>
        <v>663</v>
      </c>
      <c r="L96" s="19">
        <f t="shared" si="43"/>
        <v>0.15057915057915058</v>
      </c>
      <c r="M96" s="18">
        <f>'[2]EDB Database'!$G247/1000</f>
        <v>8836.4102135752528</v>
      </c>
      <c r="N96" s="18">
        <f>'[2]EDB Database'!$F247</f>
        <v>33248</v>
      </c>
      <c r="O96" s="3">
        <f t="shared" si="52"/>
        <v>8836.4102135752528</v>
      </c>
    </row>
    <row r="97" spans="1:15">
      <c r="A97" s="101" t="str">
        <f>'[1]EDB Database'!A248</f>
        <v>Mainpower</v>
      </c>
      <c r="B97" s="101">
        <v>2010</v>
      </c>
      <c r="C97" s="102">
        <f>'[1]EDB Database'!B248</f>
        <v>2010</v>
      </c>
      <c r="D97" s="101">
        <v>2</v>
      </c>
      <c r="E97" s="17">
        <f t="shared" si="50"/>
        <v>8869.9999999999982</v>
      </c>
      <c r="F97">
        <f t="shared" si="51"/>
        <v>1.1601923412470114</v>
      </c>
      <c r="G97" s="18">
        <f>'NZ MaxDemand Calcs'!N98</f>
        <v>93</v>
      </c>
      <c r="H97" s="3">
        <f t="shared" si="53"/>
        <v>93</v>
      </c>
      <c r="I97" s="18">
        <f t="shared" si="54"/>
        <v>33520.5</v>
      </c>
      <c r="J97" s="18">
        <f>'[2]EDB Database'!$N248</f>
        <v>4518</v>
      </c>
      <c r="K97" s="18">
        <f>'[2]EDB Database'!$P248</f>
        <v>707</v>
      </c>
      <c r="L97" s="19">
        <f t="shared" si="43"/>
        <v>0.15648517042939353</v>
      </c>
      <c r="M97" s="18">
        <f>'[2]EDB Database'!$G248/1000</f>
        <v>8762.3206925000013</v>
      </c>
      <c r="N97" s="18">
        <f>'[2]EDB Database'!$F248</f>
        <v>33793</v>
      </c>
      <c r="O97" s="3">
        <f t="shared" si="52"/>
        <v>8762.3206925000013</v>
      </c>
    </row>
    <row r="98" spans="1:15">
      <c r="A98" s="101" t="str">
        <f>'[1]EDB Database'!A249</f>
        <v>Mainpower</v>
      </c>
      <c r="B98" s="101">
        <v>2010</v>
      </c>
      <c r="C98" s="102">
        <f>'[1]EDB Database'!B249</f>
        <v>2011</v>
      </c>
      <c r="D98" s="101">
        <v>2</v>
      </c>
      <c r="E98" s="17">
        <f t="shared" si="50"/>
        <v>10109</v>
      </c>
      <c r="F98">
        <f t="shared" si="51"/>
        <v>1.1900846681215445</v>
      </c>
      <c r="G98" s="18">
        <f>'NZ MaxDemand Calcs'!N99</f>
        <v>96</v>
      </c>
      <c r="H98" s="3">
        <f t="shared" si="53"/>
        <v>96</v>
      </c>
      <c r="I98" s="18">
        <f t="shared" si="54"/>
        <v>34020</v>
      </c>
      <c r="J98" s="18">
        <f>'[2]EDB Database'!$N249</f>
        <v>4583</v>
      </c>
      <c r="K98" s="18">
        <f>'[2]EDB Database'!$P249</f>
        <v>747</v>
      </c>
      <c r="L98" s="19">
        <f t="shared" si="43"/>
        <v>0.16299367226707398</v>
      </c>
      <c r="M98" s="18">
        <f>'[2]EDB Database'!$G249/1000</f>
        <v>9986.279580663193</v>
      </c>
      <c r="N98" s="18">
        <f>'[2]EDB Database'!$F249</f>
        <v>34247</v>
      </c>
      <c r="O98" s="3">
        <f t="shared" si="52"/>
        <v>9986.279580663193</v>
      </c>
    </row>
    <row r="99" spans="1:15">
      <c r="A99" s="101" t="str">
        <f>'[1]EDB Database'!A250</f>
        <v>Mainpower</v>
      </c>
      <c r="B99" s="101">
        <v>2010</v>
      </c>
      <c r="C99" s="102">
        <f>'[1]EDB Database'!B250</f>
        <v>2012</v>
      </c>
      <c r="D99" s="101">
        <v>2</v>
      </c>
      <c r="E99" s="17">
        <f>E100*M99/M100</f>
        <v>9778.9999999999982</v>
      </c>
      <c r="F99">
        <f t="shared" si="51"/>
        <v>1.2216652483575092</v>
      </c>
      <c r="G99" s="18">
        <f>'NZ MaxDemand Calcs'!N100</f>
        <v>120</v>
      </c>
      <c r="H99" s="3">
        <f t="shared" si="53"/>
        <v>120</v>
      </c>
      <c r="I99" s="18">
        <f>AVERAGE(N98:N99)</f>
        <v>34496.5</v>
      </c>
      <c r="J99" s="18">
        <f>'[2]EDB Database'!$N250</f>
        <v>4660</v>
      </c>
      <c r="K99" s="18">
        <f>'[2]EDB Database'!$P250</f>
        <v>801</v>
      </c>
      <c r="L99" s="19">
        <f t="shared" si="43"/>
        <v>0.17188841201716737</v>
      </c>
      <c r="M99" s="18">
        <f>'[2]EDB Database'!$G250/1000</f>
        <v>9660.2856879320752</v>
      </c>
      <c r="N99" s="18">
        <f>'[2]EDB Database'!$F250</f>
        <v>34746</v>
      </c>
      <c r="O99" s="3">
        <f t="shared" si="52"/>
        <v>9660.2856879320752</v>
      </c>
    </row>
    <row r="100" spans="1:15">
      <c r="A100" s="101" t="str">
        <f>'[1]EDB Database'!A251</f>
        <v>Mainpower</v>
      </c>
      <c r="B100" s="101">
        <v>2010</v>
      </c>
      <c r="C100" s="102">
        <f>'[1]EDB Database'!B251</f>
        <v>2013</v>
      </c>
      <c r="D100" s="101">
        <v>2</v>
      </c>
      <c r="E100" s="17">
        <f>[3]Sheet1!$M38</f>
        <v>10684.857</v>
      </c>
      <c r="F100">
        <f t="shared" si="51"/>
        <v>1.2421813017565195</v>
      </c>
      <c r="G100" s="18">
        <f>'NZ MaxDemand Calcs'!N101</f>
        <v>112.05840000000001</v>
      </c>
      <c r="H100" s="3">
        <f t="shared" si="53"/>
        <v>120</v>
      </c>
      <c r="I100" s="18">
        <f>[4]Sheet1!$M37</f>
        <v>36718</v>
      </c>
      <c r="J100" s="18">
        <f>[5]Sheet1!$M74</f>
        <v>4812.0000000000009</v>
      </c>
      <c r="K100" s="18">
        <f>[5]Sheet1!$M80</f>
        <v>836.8</v>
      </c>
      <c r="L100" s="19">
        <f t="shared" si="43"/>
        <v>0.17389858686616788</v>
      </c>
      <c r="M100" s="18">
        <f>'[2]EDB Database'!$G251/1000</f>
        <v>10555.145838500957</v>
      </c>
      <c r="O100" s="3">
        <f>M100</f>
        <v>10555.145838500957</v>
      </c>
    </row>
    <row r="101" spans="1:15" s="9" customFormat="1">
      <c r="A101" s="104" t="str">
        <f>'[1]EDB Database'!A252</f>
        <v>MainPower</v>
      </c>
      <c r="B101" s="104">
        <v>2010</v>
      </c>
      <c r="C101" s="105">
        <f>'[1]EDB Database'!B252</f>
        <v>2014</v>
      </c>
      <c r="D101" s="104">
        <v>2</v>
      </c>
      <c r="E101" s="17">
        <f>[3]Sheet1!$M39</f>
        <v>11931</v>
      </c>
      <c r="F101">
        <f t="shared" si="51"/>
        <v>1.27237461042106</v>
      </c>
      <c r="G101" s="18">
        <f>'NZ MaxDemand Calcs'!N102</f>
        <v>119.62320000000001</v>
      </c>
      <c r="H101" s="3">
        <f t="shared" si="53"/>
        <v>120</v>
      </c>
      <c r="I101" s="18">
        <f>[4]Sheet1!$M38</f>
        <v>38300</v>
      </c>
      <c r="J101" s="18">
        <f>[5]Sheet1!$M75</f>
        <v>4839.2</v>
      </c>
      <c r="K101" s="18">
        <f>[5]Sheet1!$M81</f>
        <v>860.59999999999991</v>
      </c>
      <c r="L101" s="19">
        <f t="shared" si="43"/>
        <v>0.17783931228302197</v>
      </c>
      <c r="M101" s="18">
        <f>'[2]EDB Database'!$G252/1000</f>
        <v>11786.161012651355</v>
      </c>
      <c r="N101" s="42"/>
      <c r="O101" s="3">
        <f>O100*E101/E100</f>
        <v>11786.161012651355</v>
      </c>
    </row>
    <row r="102" spans="1:15" s="9" customFormat="1">
      <c r="A102" s="104" t="str">
        <f>'[7]2015 data'!P$25</f>
        <v>MainPower NZ</v>
      </c>
      <c r="B102" s="104">
        <f>'[7]2015 data'!Q$25</f>
        <v>2010</v>
      </c>
      <c r="C102" s="104">
        <f>'[7]2015 data'!R$25</f>
        <v>2015</v>
      </c>
      <c r="D102" s="104">
        <f>'[7]2015 data'!S$25</f>
        <v>2</v>
      </c>
      <c r="E102" s="17">
        <f>[3]Sheet1!$M40</f>
        <v>12160.25</v>
      </c>
      <c r="F102">
        <f t="shared" si="51"/>
        <v>1.2816685951411126</v>
      </c>
      <c r="G102" s="18">
        <f>'NZ MaxDemand Calcs'!N103</f>
        <v>130.36800000000002</v>
      </c>
      <c r="H102" s="3">
        <f t="shared" si="53"/>
        <v>130.36800000000002</v>
      </c>
      <c r="I102" s="18">
        <f>[4]Sheet1!$M39</f>
        <v>42698</v>
      </c>
      <c r="J102" s="18">
        <f>[5]Sheet1!$M76</f>
        <v>4899.8310000000001</v>
      </c>
      <c r="K102" s="18">
        <f>[5]Sheet1!$M82</f>
        <v>898.52300000000002</v>
      </c>
      <c r="L102" s="19">
        <f t="shared" si="43"/>
        <v>0.18337836549872844</v>
      </c>
      <c r="M102" s="131"/>
      <c r="N102" s="42"/>
      <c r="O102" s="3">
        <f t="shared" ref="O102:O107" si="55">O101*E102/E101</f>
        <v>12012.627982071381</v>
      </c>
    </row>
    <row r="103" spans="1:15" s="9" customFormat="1">
      <c r="A103" s="104" t="str">
        <f t="shared" ref="A103:B107" si="56">A102</f>
        <v>MainPower NZ</v>
      </c>
      <c r="B103" s="104">
        <f t="shared" si="56"/>
        <v>2010</v>
      </c>
      <c r="C103" s="104">
        <f>C102+1</f>
        <v>2016</v>
      </c>
      <c r="D103" s="104">
        <v>2</v>
      </c>
      <c r="E103" s="17">
        <f>[3]Sheet1!$M41</f>
        <v>13638.53306</v>
      </c>
      <c r="F103">
        <f t="shared" si="51"/>
        <v>1.2867539916420168</v>
      </c>
      <c r="G103" s="18">
        <f>'NZ MaxDemand Calcs'!N104</f>
        <v>134.67120000000003</v>
      </c>
      <c r="H103" s="3">
        <f t="shared" si="53"/>
        <v>134.67120000000003</v>
      </c>
      <c r="I103" s="18">
        <f>[4]Sheet1!$M40</f>
        <v>36811</v>
      </c>
      <c r="J103" s="18">
        <f>[5]Sheet1!$M77</f>
        <v>4959.4000000000005</v>
      </c>
      <c r="K103" s="18">
        <f>[5]Sheet1!$M83</f>
        <v>931.6</v>
      </c>
      <c r="L103" s="19">
        <f t="shared" si="43"/>
        <v>0.18784530386740331</v>
      </c>
      <c r="M103" s="131"/>
      <c r="N103" s="42"/>
      <c r="O103" s="3">
        <f t="shared" si="55"/>
        <v>13472.965101125521</v>
      </c>
    </row>
    <row r="104" spans="1:15" s="9" customFormat="1">
      <c r="A104" s="104" t="str">
        <f t="shared" si="56"/>
        <v>MainPower NZ</v>
      </c>
      <c r="B104" s="104">
        <f t="shared" si="56"/>
        <v>2010</v>
      </c>
      <c r="C104" s="104">
        <f>C103+1</f>
        <v>2017</v>
      </c>
      <c r="D104" s="104">
        <v>2</v>
      </c>
      <c r="E104" s="17">
        <f>[3]Sheet1!$M42</f>
        <v>16196</v>
      </c>
      <c r="F104">
        <f t="shared" si="51"/>
        <v>1.3063682360796467</v>
      </c>
      <c r="G104" s="18">
        <f>'NZ MaxDemand Calcs'!N105</f>
        <v>134.40000000000003</v>
      </c>
      <c r="H104" s="3">
        <f t="shared" si="53"/>
        <v>134.67120000000003</v>
      </c>
      <c r="I104" s="18">
        <f>[4]Sheet1!$M41</f>
        <v>37442</v>
      </c>
      <c r="J104" s="18">
        <f>[5]Sheet1!$M78</f>
        <v>4987.2000000000007</v>
      </c>
      <c r="K104" s="18">
        <f>[5]Sheet1!$M84</f>
        <v>958.2</v>
      </c>
      <c r="L104" s="19">
        <f t="shared" si="43"/>
        <v>0.19213185755534165</v>
      </c>
      <c r="M104" s="131"/>
      <c r="N104" s="42"/>
      <c r="O104" s="3">
        <f t="shared" si="55"/>
        <v>15999.385111130781</v>
      </c>
    </row>
    <row r="105" spans="1:15" s="9" customFormat="1">
      <c r="A105" s="104" t="str">
        <f t="shared" si="56"/>
        <v>MainPower NZ</v>
      </c>
      <c r="B105" s="104">
        <f t="shared" si="56"/>
        <v>2010</v>
      </c>
      <c r="C105" s="104">
        <f>C104+1</f>
        <v>2018</v>
      </c>
      <c r="D105" s="104">
        <v>2</v>
      </c>
      <c r="E105" s="17">
        <f>[3]Sheet1!$M43</f>
        <v>14727.5</v>
      </c>
      <c r="F105">
        <f t="shared" si="51"/>
        <v>1.3404204496621166</v>
      </c>
      <c r="G105" s="18">
        <f>'NZ MaxDemand Calcs'!N106</f>
        <v>135.60000000000005</v>
      </c>
      <c r="H105" s="3">
        <f t="shared" si="53"/>
        <v>135.60000000000005</v>
      </c>
      <c r="I105" s="18">
        <f>[4]Sheet1!$M42</f>
        <v>38232</v>
      </c>
      <c r="J105" s="18">
        <f>[5]Sheet1!$M79</f>
        <v>5019.7000000000007</v>
      </c>
      <c r="K105" s="18">
        <f>[5]Sheet1!$M85</f>
        <v>987.7</v>
      </c>
      <c r="L105" s="19">
        <f t="shared" si="43"/>
        <v>0.19676474689722492</v>
      </c>
      <c r="M105" s="131"/>
      <c r="N105" s="42"/>
      <c r="O105" s="3">
        <f t="shared" si="55"/>
        <v>14548.712288477314</v>
      </c>
    </row>
    <row r="106" spans="1:15" s="9" customFormat="1">
      <c r="A106" s="104" t="str">
        <f t="shared" si="56"/>
        <v>MainPower NZ</v>
      </c>
      <c r="B106" s="104">
        <f t="shared" si="56"/>
        <v>2010</v>
      </c>
      <c r="C106" s="104">
        <f>C105+1</f>
        <v>2019</v>
      </c>
      <c r="D106" s="104">
        <v>2</v>
      </c>
      <c r="E106" s="17">
        <f>[8]Sheet1!$M$12</f>
        <v>17167.000749999999</v>
      </c>
      <c r="F106">
        <f t="shared" si="51"/>
        <v>1.3740587734764929</v>
      </c>
      <c r="G106" s="18">
        <f>'NZ MaxDemand Calcs'!N107</f>
        <v>140.40000000000006</v>
      </c>
      <c r="H106" s="3">
        <f t="shared" si="53"/>
        <v>140.40000000000006</v>
      </c>
      <c r="I106" s="94">
        <v>39624</v>
      </c>
      <c r="J106" s="18">
        <f>[10]Sheet1!$M$23</f>
        <v>5021.3000000000011</v>
      </c>
      <c r="K106" s="18">
        <f>[10]Sheet1!$M$22</f>
        <v>990.7</v>
      </c>
      <c r="L106" s="19">
        <f t="shared" si="43"/>
        <v>0.19729950411248079</v>
      </c>
      <c r="M106" s="131"/>
      <c r="N106" s="42"/>
      <c r="O106" s="3">
        <f t="shared" si="55"/>
        <v>16958.598184880277</v>
      </c>
    </row>
    <row r="107" spans="1:15" s="9" customFormat="1">
      <c r="A107" s="104" t="str">
        <f t="shared" si="56"/>
        <v>MainPower NZ</v>
      </c>
      <c r="B107" s="104">
        <f t="shared" si="56"/>
        <v>2010</v>
      </c>
      <c r="C107" s="104">
        <f>C106+1</f>
        <v>2020</v>
      </c>
      <c r="D107" s="104">
        <v>2</v>
      </c>
      <c r="E107" s="17">
        <f>[11]Sheet1!$M$12</f>
        <v>18627.521000000001</v>
      </c>
      <c r="F107" s="142">
        <f t="shared" si="51"/>
        <v>1.4000516345247649</v>
      </c>
      <c r="G107" s="18">
        <f>'NZ MaxDemand Calcs'!N108</f>
        <v>138.48000000000008</v>
      </c>
      <c r="H107" s="3">
        <f t="shared" ref="H107" si="57">IF(G107&gt;H106,G107,H106)</f>
        <v>140.40000000000006</v>
      </c>
      <c r="I107" s="94">
        <v>40515</v>
      </c>
      <c r="J107" s="18">
        <f>[13]Sheet1!$M$23</f>
        <v>5038.8</v>
      </c>
      <c r="K107" s="18">
        <f>[13]Sheet1!$M$22</f>
        <v>1027</v>
      </c>
      <c r="L107" s="19">
        <f t="shared" si="43"/>
        <v>0.20381836945304438</v>
      </c>
      <c r="M107" s="131"/>
      <c r="N107" s="42"/>
      <c r="O107" s="3">
        <f t="shared" si="55"/>
        <v>18401.388129456409</v>
      </c>
    </row>
    <row r="108" spans="1:15">
      <c r="A108" s="101" t="str">
        <f>'[1]EDB Database'!A267</f>
        <v>Marlborough Lines</v>
      </c>
      <c r="B108" s="101">
        <v>2016</v>
      </c>
      <c r="C108" s="102">
        <f>'[1]EDB Database'!B267</f>
        <v>2006</v>
      </c>
      <c r="D108" s="101">
        <v>2</v>
      </c>
      <c r="E108" s="17">
        <f t="shared" ref="E108:E113" si="58">E109*M108/M109</f>
        <v>11879.706591849654</v>
      </c>
      <c r="F108">
        <f t="shared" ref="F108:F122" si="59">F93</f>
        <v>1</v>
      </c>
      <c r="G108" s="18">
        <f>'NZ MaxDemand Calcs'!N109</f>
        <v>58.226000000000006</v>
      </c>
      <c r="H108" s="3">
        <f>G108</f>
        <v>58.226000000000006</v>
      </c>
      <c r="I108" s="18">
        <f>AVERAGE(N105,'[2]EDB Database'!$F$266)</f>
        <v>22547</v>
      </c>
      <c r="J108" s="18">
        <f>'[2]EDB Database'!$N267</f>
        <v>3213</v>
      </c>
      <c r="K108" s="18">
        <f>'[2]EDB Database'!$P267</f>
        <v>339</v>
      </c>
      <c r="L108" s="19">
        <f t="shared" si="43"/>
        <v>0.10550887021475257</v>
      </c>
      <c r="M108" s="18">
        <f>'[2]EDB Database'!$G267/1000</f>
        <v>7249.7250000000004</v>
      </c>
      <c r="N108" s="18">
        <f>'[2]EDB Database'!$F267</f>
        <v>22932</v>
      </c>
      <c r="O108" s="3">
        <f t="shared" ref="O108:O114" si="60">M108</f>
        <v>7249.7250000000004</v>
      </c>
    </row>
    <row r="109" spans="1:15">
      <c r="A109" s="101" t="str">
        <f>'[1]EDB Database'!A268</f>
        <v>Marlborough Lines</v>
      </c>
      <c r="B109" s="101">
        <v>2016</v>
      </c>
      <c r="C109" s="102">
        <f>'[1]EDB Database'!B268</f>
        <v>2007</v>
      </c>
      <c r="D109" s="101">
        <v>2</v>
      </c>
      <c r="E109" s="17">
        <f t="shared" si="58"/>
        <v>13181.393296608938</v>
      </c>
      <c r="F109">
        <f t="shared" si="59"/>
        <v>1.0438528231223547</v>
      </c>
      <c r="G109" s="18">
        <f>'NZ MaxDemand Calcs'!N110</f>
        <v>63.186000000000007</v>
      </c>
      <c r="H109" s="3">
        <f t="shared" ref="H109:H121" si="61">IF(G109&gt;H108,G109,H108)</f>
        <v>63.186000000000007</v>
      </c>
      <c r="I109" s="18">
        <f t="shared" ref="I109:I113" si="62">AVERAGE(N108:N109)</f>
        <v>23033.5</v>
      </c>
      <c r="J109" s="18">
        <f>'[2]EDB Database'!$N268</f>
        <v>3264</v>
      </c>
      <c r="K109" s="18">
        <f>'[2]EDB Database'!$P268</f>
        <v>373</v>
      </c>
      <c r="L109" s="19">
        <f t="shared" si="43"/>
        <v>0.11427696078431372</v>
      </c>
      <c r="M109" s="18">
        <f>'[2]EDB Database'!$G268/1000</f>
        <v>8044.0940000000001</v>
      </c>
      <c r="N109" s="18">
        <f>'[2]EDB Database'!$F268</f>
        <v>23135</v>
      </c>
      <c r="O109" s="3">
        <f t="shared" si="60"/>
        <v>8044.0940000000001</v>
      </c>
    </row>
    <row r="110" spans="1:15">
      <c r="A110" s="103" t="str">
        <f>'[1]EDB Database'!A269</f>
        <v>Marlborough Lines</v>
      </c>
      <c r="B110" s="101">
        <v>2016</v>
      </c>
      <c r="C110" s="102">
        <f>'[1]EDB Database'!B269</f>
        <v>2008</v>
      </c>
      <c r="D110" s="101">
        <v>2</v>
      </c>
      <c r="E110" s="17">
        <f t="shared" si="58"/>
        <v>13631</v>
      </c>
      <c r="F110">
        <f t="shared" si="59"/>
        <v>1.0903851002750273</v>
      </c>
      <c r="G110" s="18">
        <f>'NZ MaxDemand Calcs'!N111</f>
        <v>70</v>
      </c>
      <c r="H110" s="3">
        <f t="shared" si="61"/>
        <v>70</v>
      </c>
      <c r="I110" s="18">
        <f t="shared" si="62"/>
        <v>23359.5</v>
      </c>
      <c r="J110" s="18">
        <f>'[2]EDB Database'!$N269</f>
        <v>3463.654</v>
      </c>
      <c r="K110" s="18">
        <f>'[2]EDB Database'!$P269</f>
        <v>459.9</v>
      </c>
      <c r="L110" s="19">
        <f t="shared" si="43"/>
        <v>0.13277885146726548</v>
      </c>
      <c r="M110" s="18">
        <f>'[2]EDB Database'!$G269/1000</f>
        <v>8318.4715641713265</v>
      </c>
      <c r="N110" s="18">
        <f>'[2]EDB Database'!$F269</f>
        <v>23584</v>
      </c>
      <c r="O110" s="3">
        <f t="shared" si="60"/>
        <v>8318.4715641713265</v>
      </c>
    </row>
    <row r="111" spans="1:15">
      <c r="A111" s="101" t="str">
        <f>'[1]EDB Database'!A270</f>
        <v>Marlborough Lines</v>
      </c>
      <c r="B111" s="101">
        <v>2016</v>
      </c>
      <c r="C111" s="102">
        <f>'[1]EDB Database'!B270</f>
        <v>2009</v>
      </c>
      <c r="D111" s="101">
        <v>2</v>
      </c>
      <c r="E111" s="17">
        <f t="shared" si="58"/>
        <v>14018.584000000001</v>
      </c>
      <c r="F111">
        <f t="shared" si="59"/>
        <v>1.1562469092885455</v>
      </c>
      <c r="G111" s="18">
        <f>'NZ MaxDemand Calcs'!N112</f>
        <v>69</v>
      </c>
      <c r="H111" s="3">
        <f t="shared" si="61"/>
        <v>70</v>
      </c>
      <c r="I111" s="18">
        <f t="shared" si="62"/>
        <v>23727</v>
      </c>
      <c r="J111" s="18">
        <f>'[2]EDB Database'!$N270</f>
        <v>3320</v>
      </c>
      <c r="K111" s="18">
        <f>'[2]EDB Database'!$P270</f>
        <v>439</v>
      </c>
      <c r="L111" s="19">
        <f t="shared" si="43"/>
        <v>0.1322289156626506</v>
      </c>
      <c r="M111" s="18">
        <f>'[2]EDB Database'!$G270/1000</f>
        <v>8554.9990737251228</v>
      </c>
      <c r="N111" s="18">
        <f>'[2]EDB Database'!$F270</f>
        <v>23870</v>
      </c>
      <c r="O111" s="3">
        <f t="shared" si="60"/>
        <v>8554.9990737251228</v>
      </c>
    </row>
    <row r="112" spans="1:15">
      <c r="A112" s="101" t="str">
        <f>'[1]EDB Database'!A271</f>
        <v>Marlborough Lines</v>
      </c>
      <c r="B112" s="101">
        <v>2016</v>
      </c>
      <c r="C112" s="102">
        <f>'[1]EDB Database'!B271</f>
        <v>2010</v>
      </c>
      <c r="D112" s="101">
        <v>2</v>
      </c>
      <c r="E112" s="17">
        <f t="shared" si="58"/>
        <v>15641.800000000001</v>
      </c>
      <c r="F112">
        <f t="shared" si="59"/>
        <v>1.1601923412470114</v>
      </c>
      <c r="G112" s="18">
        <f>'NZ MaxDemand Calcs'!N113</f>
        <v>71</v>
      </c>
      <c r="H112" s="3">
        <f t="shared" si="61"/>
        <v>71</v>
      </c>
      <c r="I112" s="18">
        <f t="shared" si="62"/>
        <v>23971.5</v>
      </c>
      <c r="J112" s="18">
        <f>'[2]EDB Database'!$N271</f>
        <v>3334</v>
      </c>
      <c r="K112" s="18">
        <f>'[2]EDB Database'!$P271</f>
        <v>454</v>
      </c>
      <c r="L112" s="19">
        <f t="shared" si="43"/>
        <v>0.13617276544691062</v>
      </c>
      <c r="M112" s="18">
        <f>'[2]EDB Database'!$G271/1000</f>
        <v>9545.5849543287422</v>
      </c>
      <c r="N112" s="18">
        <f>'[2]EDB Database'!$F271</f>
        <v>24073</v>
      </c>
      <c r="O112" s="3">
        <f t="shared" si="60"/>
        <v>9545.5849543287422</v>
      </c>
    </row>
    <row r="113" spans="1:15">
      <c r="A113" s="101" t="str">
        <f>'[1]EDB Database'!A272</f>
        <v>Marlborough Lines</v>
      </c>
      <c r="B113" s="101">
        <v>2016</v>
      </c>
      <c r="C113" s="102">
        <f>'[1]EDB Database'!B272</f>
        <v>2011</v>
      </c>
      <c r="D113" s="101">
        <v>2</v>
      </c>
      <c r="E113" s="17">
        <f t="shared" si="58"/>
        <v>16664.400000000001</v>
      </c>
      <c r="F113">
        <f t="shared" si="59"/>
        <v>1.1900846681215445</v>
      </c>
      <c r="G113" s="18">
        <f>'NZ MaxDemand Calcs'!N114</f>
        <v>68.010000000000005</v>
      </c>
      <c r="H113" s="3">
        <f t="shared" si="61"/>
        <v>71</v>
      </c>
      <c r="I113" s="18">
        <f t="shared" si="62"/>
        <v>24171.5</v>
      </c>
      <c r="J113" s="18">
        <f>'[2]EDB Database'!$N272</f>
        <v>3349</v>
      </c>
      <c r="K113" s="18">
        <f>'[2]EDB Database'!$P272</f>
        <v>472</v>
      </c>
      <c r="L113" s="19">
        <f t="shared" si="43"/>
        <v>0.14093759331143624</v>
      </c>
      <c r="M113" s="18">
        <f>'[2]EDB Database'!$G272/1000</f>
        <v>10169.638143494733</v>
      </c>
      <c r="N113" s="18">
        <f>'[2]EDB Database'!$F272</f>
        <v>24270</v>
      </c>
      <c r="O113" s="3">
        <f t="shared" si="60"/>
        <v>10169.638143494733</v>
      </c>
    </row>
    <row r="114" spans="1:15">
      <c r="A114" s="101" t="str">
        <f>'[1]EDB Database'!A273</f>
        <v>Marlborough Lines</v>
      </c>
      <c r="B114" s="101">
        <v>2016</v>
      </c>
      <c r="C114" s="102">
        <f>'[1]EDB Database'!B273</f>
        <v>2012</v>
      </c>
      <c r="D114" s="101">
        <v>2</v>
      </c>
      <c r="E114" s="17">
        <f>E115*M114/M115</f>
        <v>13603.999999999998</v>
      </c>
      <c r="F114">
        <f t="shared" si="59"/>
        <v>1.2216652483575092</v>
      </c>
      <c r="G114" s="18">
        <f>'NZ MaxDemand Calcs'!N115</f>
        <v>70</v>
      </c>
      <c r="H114" s="3">
        <f t="shared" si="61"/>
        <v>71</v>
      </c>
      <c r="I114" s="18">
        <f>AVERAGE(N113:N114)</f>
        <v>24314.5</v>
      </c>
      <c r="J114" s="18">
        <f>'[2]EDB Database'!$N273</f>
        <v>3369</v>
      </c>
      <c r="K114" s="18">
        <f>'[2]EDB Database'!$P273</f>
        <v>495</v>
      </c>
      <c r="L114" s="19">
        <f t="shared" si="43"/>
        <v>0.14692787177203917</v>
      </c>
      <c r="M114" s="18">
        <f>'[2]EDB Database'!$G273/1000</f>
        <v>8301.9945094994309</v>
      </c>
      <c r="N114" s="18">
        <f>'[2]EDB Database'!$F273</f>
        <v>24359</v>
      </c>
      <c r="O114" s="3">
        <f t="shared" si="60"/>
        <v>8301.9945094994309</v>
      </c>
    </row>
    <row r="115" spans="1:15">
      <c r="A115" s="101" t="str">
        <f>'[1]EDB Database'!A274</f>
        <v>Marlborough Lines</v>
      </c>
      <c r="B115" s="101">
        <v>2016</v>
      </c>
      <c r="C115" s="102">
        <f>'[1]EDB Database'!B274</f>
        <v>2013</v>
      </c>
      <c r="D115" s="101">
        <v>2</v>
      </c>
      <c r="E115" s="17">
        <f>[3]Sheet1!$M44</f>
        <v>11574</v>
      </c>
      <c r="F115">
        <f t="shared" si="59"/>
        <v>1.2421813017565195</v>
      </c>
      <c r="G115" s="18">
        <f>'NZ MaxDemand Calcs'!N116</f>
        <v>69.876636986301364</v>
      </c>
      <c r="H115" s="3">
        <f t="shared" si="61"/>
        <v>71</v>
      </c>
      <c r="I115" s="18">
        <f>[4]Sheet1!$M43</f>
        <v>24445</v>
      </c>
      <c r="J115" s="18">
        <f>[5]Sheet1!$M86</f>
        <v>3300.125</v>
      </c>
      <c r="K115" s="18">
        <f>[5]Sheet1!$M92</f>
        <v>442.84300000000002</v>
      </c>
      <c r="L115" s="19">
        <f t="shared" si="43"/>
        <v>0.13418976553918413</v>
      </c>
      <c r="M115" s="18">
        <f>'[2]EDB Database'!$G274/1000</f>
        <v>7063.1641026864472</v>
      </c>
      <c r="O115" s="3">
        <f>M115</f>
        <v>7063.1641026864472</v>
      </c>
    </row>
    <row r="116" spans="1:15" s="9" customFormat="1">
      <c r="A116" s="104" t="str">
        <f>'[1]EDB Database'!A275</f>
        <v>Marlborough Lines</v>
      </c>
      <c r="B116" s="104">
        <v>2016</v>
      </c>
      <c r="C116" s="105">
        <f>'[1]EDB Database'!B275</f>
        <v>2014</v>
      </c>
      <c r="D116" s="104">
        <v>2</v>
      </c>
      <c r="E116" s="17">
        <f>[3]Sheet1!$M45</f>
        <v>12428</v>
      </c>
      <c r="F116">
        <f t="shared" si="59"/>
        <v>1.27237461042106</v>
      </c>
      <c r="G116" s="18">
        <f>'NZ MaxDemand Calcs'!N117</f>
        <v>68.082191780821915</v>
      </c>
      <c r="H116" s="3">
        <f t="shared" si="61"/>
        <v>71</v>
      </c>
      <c r="I116" s="18">
        <f>[4]Sheet1!$M44</f>
        <v>24522.666666666661</v>
      </c>
      <c r="J116" s="18">
        <f>[5]Sheet1!$M87</f>
        <v>3371.226000000001</v>
      </c>
      <c r="K116" s="18">
        <f>[5]Sheet1!$M93</f>
        <v>517.39600000000019</v>
      </c>
      <c r="L116" s="19">
        <f t="shared" si="43"/>
        <v>0.15347413670872259</v>
      </c>
      <c r="M116" s="18">
        <f>'[2]EDB Database'!$G275/1000</f>
        <v>7584.3272393457037</v>
      </c>
      <c r="N116" s="42"/>
      <c r="O116" s="3">
        <f>O115*E116/E115</f>
        <v>7584.3272393457028</v>
      </c>
    </row>
    <row r="117" spans="1:15" s="9" customFormat="1">
      <c r="A117" s="104" t="str">
        <f>'[7]2015 data'!P$26</f>
        <v>Marlborough Lines</v>
      </c>
      <c r="B117" s="104">
        <f>'[7]2015 data'!Q$26</f>
        <v>2016</v>
      </c>
      <c r="C117" s="104">
        <f>'[7]2015 data'!R$26</f>
        <v>2015</v>
      </c>
      <c r="D117" s="104">
        <f>'[7]2015 data'!S$26</f>
        <v>2</v>
      </c>
      <c r="E117" s="17">
        <f>[3]Sheet1!$M46</f>
        <v>12486</v>
      </c>
      <c r="F117">
        <f t="shared" si="59"/>
        <v>1.2816685951411126</v>
      </c>
      <c r="G117" s="18">
        <f>'NZ MaxDemand Calcs'!N118</f>
        <v>69.61643835616438</v>
      </c>
      <c r="H117" s="3">
        <f t="shared" si="61"/>
        <v>71</v>
      </c>
      <c r="I117" s="18">
        <f>[4]Sheet1!$M45</f>
        <v>24674.083333333339</v>
      </c>
      <c r="J117" s="18">
        <f>[5]Sheet1!$M88</f>
        <v>3380.467000000001</v>
      </c>
      <c r="K117" s="18">
        <f>[5]Sheet1!$M94</f>
        <v>533.71199999999999</v>
      </c>
      <c r="L117" s="19">
        <f t="shared" si="43"/>
        <v>0.15788114482407306</v>
      </c>
      <c r="M117" s="131"/>
      <c r="N117" s="42"/>
      <c r="O117" s="3">
        <f t="shared" ref="O117:O122" si="63">O116*E117/E116</f>
        <v>7619.7223938260731</v>
      </c>
    </row>
    <row r="118" spans="1:15" s="9" customFormat="1">
      <c r="A118" s="104" t="str">
        <f t="shared" ref="A118:B122" si="64">A117</f>
        <v>Marlborough Lines</v>
      </c>
      <c r="B118" s="104">
        <f t="shared" si="64"/>
        <v>2016</v>
      </c>
      <c r="C118" s="104">
        <f>C117+1</f>
        <v>2016</v>
      </c>
      <c r="D118" s="104">
        <v>2</v>
      </c>
      <c r="E118" s="17">
        <f>[3]Sheet1!$M47</f>
        <v>13151</v>
      </c>
      <c r="F118">
        <f t="shared" si="59"/>
        <v>1.2867539916420168</v>
      </c>
      <c r="G118" s="18">
        <f>'NZ MaxDemand Calcs'!N119</f>
        <v>68.183835616438358</v>
      </c>
      <c r="H118" s="3">
        <f t="shared" si="61"/>
        <v>71</v>
      </c>
      <c r="I118" s="18">
        <f>[4]Sheet1!$M46</f>
        <v>24870</v>
      </c>
      <c r="J118" s="18">
        <f>[5]Sheet1!$M89</f>
        <v>3383.2134000000001</v>
      </c>
      <c r="K118" s="18">
        <f>[5]Sheet1!$M95</f>
        <v>546.81340000000012</v>
      </c>
      <c r="L118" s="19">
        <f t="shared" si="43"/>
        <v>0.16162545348159241</v>
      </c>
      <c r="M118" s="131"/>
      <c r="N118" s="42"/>
      <c r="O118" s="3">
        <f t="shared" si="63"/>
        <v>8025.5461477820509</v>
      </c>
    </row>
    <row r="119" spans="1:15" s="9" customFormat="1">
      <c r="A119" s="104" t="str">
        <f t="shared" si="64"/>
        <v>Marlborough Lines</v>
      </c>
      <c r="B119" s="104">
        <f t="shared" si="64"/>
        <v>2016</v>
      </c>
      <c r="C119" s="104">
        <f>C118+1</f>
        <v>2017</v>
      </c>
      <c r="D119" s="104">
        <v>2</v>
      </c>
      <c r="E119" s="17">
        <f>[3]Sheet1!$M48</f>
        <v>16076</v>
      </c>
      <c r="F119">
        <f t="shared" si="59"/>
        <v>1.3063682360796467</v>
      </c>
      <c r="G119" s="18">
        <f>'NZ MaxDemand Calcs'!N120</f>
        <v>68.082191780821915</v>
      </c>
      <c r="H119" s="3">
        <f t="shared" si="61"/>
        <v>71</v>
      </c>
      <c r="I119" s="18">
        <f>[4]Sheet1!$M47</f>
        <v>25132.666666666661</v>
      </c>
      <c r="J119" s="18">
        <f>[5]Sheet1!$M90</f>
        <v>3395.9438339459498</v>
      </c>
      <c r="K119" s="18">
        <f>[5]Sheet1!$M96</f>
        <v>546.24391565382882</v>
      </c>
      <c r="L119" s="19">
        <f t="shared" si="43"/>
        <v>0.16085186986709241</v>
      </c>
      <c r="M119" s="131"/>
      <c r="N119" s="42"/>
      <c r="O119" s="3">
        <f t="shared" si="63"/>
        <v>9810.5604039042082</v>
      </c>
    </row>
    <row r="120" spans="1:15" s="9" customFormat="1">
      <c r="A120" s="104" t="str">
        <f t="shared" si="64"/>
        <v>Marlborough Lines</v>
      </c>
      <c r="B120" s="104">
        <f t="shared" si="64"/>
        <v>2016</v>
      </c>
      <c r="C120" s="104">
        <f>C119+1</f>
        <v>2018</v>
      </c>
      <c r="D120" s="104">
        <v>2</v>
      </c>
      <c r="E120" s="17">
        <f>[3]Sheet1!$M49</f>
        <v>14956</v>
      </c>
      <c r="F120">
        <f t="shared" si="59"/>
        <v>1.3404204496621166</v>
      </c>
      <c r="G120" s="18">
        <f>'NZ MaxDemand Calcs'!N121</f>
        <v>70.32027397260272</v>
      </c>
      <c r="H120" s="3">
        <f t="shared" si="61"/>
        <v>71</v>
      </c>
      <c r="I120" s="18">
        <f>[4]Sheet1!$M48</f>
        <v>25374.083333333328</v>
      </c>
      <c r="J120" s="18">
        <f>[5]Sheet1!$M91</f>
        <v>3385.6069770712679</v>
      </c>
      <c r="K120" s="18">
        <f>[5]Sheet1!$M97</f>
        <v>549.15602700770455</v>
      </c>
      <c r="L120" s="19">
        <f t="shared" si="43"/>
        <v>0.16220312361322992</v>
      </c>
      <c r="M120" s="131"/>
      <c r="N120" s="42"/>
      <c r="O120" s="3">
        <f t="shared" si="63"/>
        <v>9127.0677656625612</v>
      </c>
    </row>
    <row r="121" spans="1:15" s="9" customFormat="1">
      <c r="A121" s="104" t="str">
        <f t="shared" si="64"/>
        <v>Marlborough Lines</v>
      </c>
      <c r="B121" s="104">
        <f t="shared" si="64"/>
        <v>2016</v>
      </c>
      <c r="C121" s="104">
        <f>C120+1</f>
        <v>2019</v>
      </c>
      <c r="D121" s="104">
        <v>2</v>
      </c>
      <c r="E121" s="17">
        <f>[8]Sheet1!$M$13</f>
        <v>15194</v>
      </c>
      <c r="F121">
        <f t="shared" si="59"/>
        <v>1.3740587734764929</v>
      </c>
      <c r="G121" s="18">
        <f>'NZ MaxDemand Calcs'!N122</f>
        <v>75.786986301369851</v>
      </c>
      <c r="H121" s="3">
        <f t="shared" si="61"/>
        <v>75.786986301369851</v>
      </c>
      <c r="I121" s="18">
        <f>[9]Sheet1!$M$12</f>
        <v>25629</v>
      </c>
      <c r="J121" s="18">
        <f>[10]Sheet1!$M$25</f>
        <v>3359.8644887701412</v>
      </c>
      <c r="K121" s="18">
        <f>[10]Sheet1!$M$24</f>
        <v>541.99616119496204</v>
      </c>
      <c r="L121" s="19">
        <f t="shared" si="43"/>
        <v>0.16131488725408583</v>
      </c>
      <c r="M121" s="131"/>
      <c r="N121" s="42"/>
      <c r="O121" s="3">
        <f t="shared" si="63"/>
        <v>9272.3099512889112</v>
      </c>
    </row>
    <row r="122" spans="1:15" s="9" customFormat="1">
      <c r="A122" s="104" t="str">
        <f t="shared" si="64"/>
        <v>Marlborough Lines</v>
      </c>
      <c r="B122" s="104">
        <f t="shared" si="64"/>
        <v>2016</v>
      </c>
      <c r="C122" s="104">
        <f>C121+1</f>
        <v>2020</v>
      </c>
      <c r="D122" s="104">
        <v>2</v>
      </c>
      <c r="E122" s="17">
        <f>[11]Sheet1!$M$13</f>
        <v>16437</v>
      </c>
      <c r="F122" s="142">
        <f t="shared" si="59"/>
        <v>1.4000516345247649</v>
      </c>
      <c r="G122" s="18">
        <f>'NZ MaxDemand Calcs'!N123</f>
        <v>71.352054794520541</v>
      </c>
      <c r="H122" s="3">
        <f t="shared" ref="H122" si="65">IF(G122&gt;H121,G122,H121)</f>
        <v>75.786986301369851</v>
      </c>
      <c r="I122" s="18">
        <f>[12]Sheet1!$M$10</f>
        <v>25854.75</v>
      </c>
      <c r="J122" s="18">
        <f>[13]Sheet1!$M$24</f>
        <v>3412</v>
      </c>
      <c r="K122" s="18">
        <f>[13]Sheet1!$M$25</f>
        <v>582</v>
      </c>
      <c r="L122" s="19">
        <f t="shared" si="43"/>
        <v>0.17057444314185227</v>
      </c>
      <c r="M122" s="131"/>
      <c r="N122" s="42"/>
      <c r="O122" s="3">
        <f t="shared" si="63"/>
        <v>10030.864727480312</v>
      </c>
    </row>
    <row r="123" spans="1:15">
      <c r="A123" s="101" t="str">
        <f>'[1]EDB Database'!A313</f>
        <v>Network Tasman</v>
      </c>
      <c r="B123" s="101">
        <v>2008</v>
      </c>
      <c r="C123" s="102">
        <f>'[1]EDB Database'!B313</f>
        <v>2006</v>
      </c>
      <c r="D123" s="101">
        <v>2</v>
      </c>
      <c r="E123" s="17">
        <f t="shared" ref="E123:E128" si="66">E124*M123/M124</f>
        <v>5976.3646725535491</v>
      </c>
      <c r="F123">
        <f t="shared" ref="F123:F137" si="67">F108</f>
        <v>1</v>
      </c>
      <c r="G123" s="18">
        <f>'NZ MaxDemand Calcs'!N124</f>
        <v>140.72658527089868</v>
      </c>
      <c r="H123" s="3">
        <f>G123</f>
        <v>140.72658527089868</v>
      </c>
      <c r="I123" s="18">
        <f>AVERAGE(N120,'[2]EDB Database'!$F$312)</f>
        <v>33830</v>
      </c>
      <c r="J123" s="18">
        <f>'[2]EDB Database'!$N313</f>
        <v>3265.09</v>
      </c>
      <c r="K123" s="18">
        <f>'[2]EDB Database'!$P313</f>
        <v>664.59</v>
      </c>
      <c r="L123" s="19">
        <f t="shared" si="43"/>
        <v>0.20354415957906213</v>
      </c>
      <c r="M123" s="18">
        <f>'[2]EDB Database'!$G313/1000</f>
        <v>5990.7377200000001</v>
      </c>
      <c r="N123" s="18">
        <f>'[2]EDB Database'!$F313</f>
        <v>34400</v>
      </c>
      <c r="O123" s="3">
        <f t="shared" ref="O123:O129" si="68">M123</f>
        <v>5990.7377200000001</v>
      </c>
    </row>
    <row r="124" spans="1:15">
      <c r="A124" s="101" t="str">
        <f>'[1]EDB Database'!A314</f>
        <v>Network Tasman</v>
      </c>
      <c r="B124" s="101">
        <v>2008</v>
      </c>
      <c r="C124" s="102">
        <f>'[1]EDB Database'!B314</f>
        <v>2007</v>
      </c>
      <c r="D124" s="101">
        <v>2</v>
      </c>
      <c r="E124" s="17">
        <f t="shared" si="66"/>
        <v>6234.2015096882988</v>
      </c>
      <c r="F124">
        <f t="shared" si="67"/>
        <v>1.0438528231223547</v>
      </c>
      <c r="G124" s="18">
        <f>'NZ MaxDemand Calcs'!N125</f>
        <v>142.01572866875742</v>
      </c>
      <c r="H124" s="3">
        <f t="shared" ref="H124:H136" si="69">IF(G124&gt;H123,G124,H123)</f>
        <v>142.01572866875742</v>
      </c>
      <c r="I124" s="18">
        <f t="shared" ref="I124:I128" si="70">AVERAGE(N123:N124)</f>
        <v>34655</v>
      </c>
      <c r="J124" s="18">
        <f>'[2]EDB Database'!$N314</f>
        <v>3299.45</v>
      </c>
      <c r="K124" s="18">
        <f>'[2]EDB Database'!$P314</f>
        <v>712.71</v>
      </c>
      <c r="L124" s="19">
        <f t="shared" si="43"/>
        <v>0.21600872872751523</v>
      </c>
      <c r="M124" s="18">
        <f>'[2]EDB Database'!$G314/1000</f>
        <v>6249.1946499999995</v>
      </c>
      <c r="N124" s="18">
        <f>'[2]EDB Database'!$F314</f>
        <v>34910</v>
      </c>
      <c r="O124" s="3">
        <f t="shared" si="68"/>
        <v>6249.1946499999995</v>
      </c>
    </row>
    <row r="125" spans="1:15">
      <c r="A125" s="103" t="str">
        <f>'[1]EDB Database'!A315</f>
        <v>Network Tasman</v>
      </c>
      <c r="B125" s="101">
        <v>2008</v>
      </c>
      <c r="C125" s="102">
        <f>'[1]EDB Database'!B315</f>
        <v>2008</v>
      </c>
      <c r="D125" s="101">
        <v>2</v>
      </c>
      <c r="E125" s="17">
        <f t="shared" si="66"/>
        <v>6544</v>
      </c>
      <c r="F125">
        <f t="shared" si="67"/>
        <v>1.0903851002750273</v>
      </c>
      <c r="G125" s="18">
        <f>'NZ MaxDemand Calcs'!N126</f>
        <v>150.06399999999999</v>
      </c>
      <c r="H125" s="3">
        <f t="shared" si="69"/>
        <v>150.06399999999999</v>
      </c>
      <c r="I125" s="18">
        <f t="shared" si="70"/>
        <v>35163</v>
      </c>
      <c r="J125" s="18">
        <f>'[2]EDB Database'!$N315</f>
        <v>3312.2</v>
      </c>
      <c r="K125" s="18">
        <f>'[2]EDB Database'!$P315</f>
        <v>739.6</v>
      </c>
      <c r="L125" s="19">
        <f t="shared" si="43"/>
        <v>0.22329569470442609</v>
      </c>
      <c r="M125" s="18">
        <f>'[2]EDB Database'!$G315/1000</f>
        <v>6559.7381999999998</v>
      </c>
      <c r="N125" s="18">
        <f>'[2]EDB Database'!$F315</f>
        <v>35416</v>
      </c>
      <c r="O125" s="3">
        <f t="shared" si="68"/>
        <v>6559.7381999999998</v>
      </c>
    </row>
    <row r="126" spans="1:15">
      <c r="A126" s="101" t="str">
        <f>'[1]EDB Database'!A316</f>
        <v>Network Tasman</v>
      </c>
      <c r="B126" s="101">
        <v>2008</v>
      </c>
      <c r="C126" s="102">
        <f>'[1]EDB Database'!B316</f>
        <v>2009</v>
      </c>
      <c r="D126" s="101">
        <v>2</v>
      </c>
      <c r="E126" s="17">
        <f t="shared" si="66"/>
        <v>8468.8112000000001</v>
      </c>
      <c r="F126">
        <f t="shared" si="67"/>
        <v>1.1562469092885455</v>
      </c>
      <c r="G126" s="18">
        <f>'NZ MaxDemand Calcs'!N127</f>
        <v>151</v>
      </c>
      <c r="H126" s="3">
        <f t="shared" si="69"/>
        <v>151</v>
      </c>
      <c r="I126" s="18">
        <f t="shared" si="70"/>
        <v>35622.5</v>
      </c>
      <c r="J126" s="18">
        <f>'[2]EDB Database'!$N316</f>
        <v>3330.1</v>
      </c>
      <c r="K126" s="18">
        <f>'[2]EDB Database'!$P316</f>
        <v>762</v>
      </c>
      <c r="L126" s="19">
        <f t="shared" si="43"/>
        <v>0.22882195729857963</v>
      </c>
      <c r="M126" s="18">
        <f>'[2]EDB Database'!$G316/1000</f>
        <v>8489.1785356399505</v>
      </c>
      <c r="N126" s="18">
        <f>'[2]EDB Database'!$F316</f>
        <v>35829</v>
      </c>
      <c r="O126" s="3">
        <f t="shared" si="68"/>
        <v>8489.1785356399505</v>
      </c>
    </row>
    <row r="127" spans="1:15">
      <c r="A127" s="101" t="str">
        <f>'[1]EDB Database'!A317</f>
        <v>Network Tasman</v>
      </c>
      <c r="B127" s="101">
        <v>2008</v>
      </c>
      <c r="C127" s="102">
        <f>'[1]EDB Database'!B317</f>
        <v>2010</v>
      </c>
      <c r="D127" s="101">
        <v>2</v>
      </c>
      <c r="E127" s="17">
        <f t="shared" si="66"/>
        <v>7429.5558800000008</v>
      </c>
      <c r="F127">
        <f t="shared" si="67"/>
        <v>1.1601923412470114</v>
      </c>
      <c r="G127" s="18">
        <f>'NZ MaxDemand Calcs'!N128</f>
        <v>149</v>
      </c>
      <c r="H127" s="3">
        <f t="shared" si="69"/>
        <v>151</v>
      </c>
      <c r="I127" s="18">
        <f t="shared" si="70"/>
        <v>36024</v>
      </c>
      <c r="J127" s="18">
        <f>'[2]EDB Database'!$N317</f>
        <v>3347.72</v>
      </c>
      <c r="K127" s="18">
        <f>'[2]EDB Database'!$P317</f>
        <v>784.52</v>
      </c>
      <c r="L127" s="19">
        <f t="shared" si="43"/>
        <v>0.23434456884088276</v>
      </c>
      <c r="M127" s="18">
        <f>'[2]EDB Database'!$G317/1000</f>
        <v>7447.4238256526005</v>
      </c>
      <c r="N127" s="18">
        <f>'[2]EDB Database'!$F317</f>
        <v>36219</v>
      </c>
      <c r="O127" s="3">
        <f t="shared" si="68"/>
        <v>7447.4238256526005</v>
      </c>
    </row>
    <row r="128" spans="1:15">
      <c r="A128" s="101" t="str">
        <f>'[1]EDB Database'!A318</f>
        <v>Network Tasman</v>
      </c>
      <c r="B128" s="101">
        <v>2008</v>
      </c>
      <c r="C128" s="102">
        <f>'[1]EDB Database'!B318</f>
        <v>2011</v>
      </c>
      <c r="D128" s="101">
        <v>2</v>
      </c>
      <c r="E128" s="17">
        <f t="shared" si="66"/>
        <v>8002.7159000000011</v>
      </c>
      <c r="F128">
        <f t="shared" si="67"/>
        <v>1.1900846681215445</v>
      </c>
      <c r="G128" s="18">
        <f>'NZ MaxDemand Calcs'!N129</f>
        <v>149.52799999999999</v>
      </c>
      <c r="H128" s="3">
        <f t="shared" si="69"/>
        <v>151</v>
      </c>
      <c r="I128" s="18">
        <f t="shared" si="70"/>
        <v>36449</v>
      </c>
      <c r="J128" s="18">
        <f>'[2]EDB Database'!$N318</f>
        <v>3356</v>
      </c>
      <c r="K128" s="18">
        <f>'[2]EDB Database'!$P318</f>
        <v>807</v>
      </c>
      <c r="L128" s="19">
        <f t="shared" si="43"/>
        <v>0.24046483909415972</v>
      </c>
      <c r="M128" s="18">
        <f>'[2]EDB Database'!$G318/1000</f>
        <v>8021.9622849904317</v>
      </c>
      <c r="N128" s="18">
        <f>'[2]EDB Database'!$F318</f>
        <v>36679</v>
      </c>
      <c r="O128" s="3">
        <f t="shared" si="68"/>
        <v>8021.9622849904317</v>
      </c>
    </row>
    <row r="129" spans="1:15">
      <c r="A129" s="101" t="str">
        <f>'[1]EDB Database'!A319</f>
        <v>Network Tasman</v>
      </c>
      <c r="B129" s="101">
        <v>2008</v>
      </c>
      <c r="C129" s="102">
        <f>'[1]EDB Database'!B319</f>
        <v>2012</v>
      </c>
      <c r="D129" s="101">
        <v>2</v>
      </c>
      <c r="E129" s="17">
        <f>E130*M129/M130</f>
        <v>8558.27333</v>
      </c>
      <c r="F129">
        <f t="shared" si="67"/>
        <v>1.2216652483575092</v>
      </c>
      <c r="G129" s="18">
        <f>'NZ MaxDemand Calcs'!N130</f>
        <v>155.27099999999999</v>
      </c>
      <c r="H129" s="3">
        <f t="shared" si="69"/>
        <v>155.27099999999999</v>
      </c>
      <c r="I129" s="18">
        <f>AVERAGE(N128:N129)</f>
        <v>36884</v>
      </c>
      <c r="J129" s="18">
        <f>'[2]EDB Database'!$N319</f>
        <v>3367.2</v>
      </c>
      <c r="K129" s="18">
        <f>'[2]EDB Database'!$P319</f>
        <v>818.3</v>
      </c>
      <c r="L129" s="19">
        <f t="shared" si="43"/>
        <v>0.24302090757899739</v>
      </c>
      <c r="M129" s="18">
        <f>'[2]EDB Database'!$G319/1000</f>
        <v>8578.8558204220972</v>
      </c>
      <c r="N129" s="18">
        <f>'[2]EDB Database'!$F319</f>
        <v>37089</v>
      </c>
      <c r="O129" s="3">
        <f t="shared" si="68"/>
        <v>8578.8558204220972</v>
      </c>
    </row>
    <row r="130" spans="1:15">
      <c r="A130" s="101" t="str">
        <f>'[1]EDB Database'!A320</f>
        <v>Network Tasman</v>
      </c>
      <c r="B130" s="101">
        <v>2008</v>
      </c>
      <c r="C130" s="102">
        <f>'[1]EDB Database'!B320</f>
        <v>2013</v>
      </c>
      <c r="D130" s="101">
        <v>2</v>
      </c>
      <c r="E130" s="17">
        <f>[3]Sheet1!$M50</f>
        <v>8429</v>
      </c>
      <c r="F130">
        <f t="shared" si="67"/>
        <v>1.2421813017565195</v>
      </c>
      <c r="G130" s="18">
        <f>'NZ MaxDemand Calcs'!N131</f>
        <v>152.30905732965331</v>
      </c>
      <c r="H130" s="3">
        <f t="shared" si="69"/>
        <v>155.27099999999999</v>
      </c>
      <c r="I130" s="18">
        <f>[4]Sheet1!$M49</f>
        <v>37293</v>
      </c>
      <c r="J130" s="18">
        <f>[5]Sheet1!$M98</f>
        <v>3374</v>
      </c>
      <c r="K130" s="18">
        <f>[5]Sheet1!$M104</f>
        <v>827</v>
      </c>
      <c r="L130" s="19">
        <f t="shared" si="43"/>
        <v>0.24510966212211024</v>
      </c>
      <c r="M130" s="18">
        <f>'[2]EDB Database'!$G320/1000</f>
        <v>8449.2715904339857</v>
      </c>
      <c r="O130" s="3">
        <f>M130</f>
        <v>8449.2715904339857</v>
      </c>
    </row>
    <row r="131" spans="1:15" s="9" customFormat="1">
      <c r="A131" s="104" t="str">
        <f>'[1]EDB Database'!A321</f>
        <v>Network Tasman</v>
      </c>
      <c r="B131" s="104">
        <v>2008</v>
      </c>
      <c r="C131" s="105">
        <f>'[1]EDB Database'!B321</f>
        <v>2014</v>
      </c>
      <c r="D131" s="104">
        <v>2</v>
      </c>
      <c r="E131" s="17">
        <f>[3]Sheet1!$M51</f>
        <v>8543</v>
      </c>
      <c r="F131">
        <f t="shared" si="67"/>
        <v>1.27237461042106</v>
      </c>
      <c r="G131" s="18">
        <f>'NZ MaxDemand Calcs'!N132</f>
        <v>151.21894571613129</v>
      </c>
      <c r="H131" s="3">
        <f t="shared" si="69"/>
        <v>155.27099999999999</v>
      </c>
      <c r="I131" s="18">
        <f>[4]Sheet1!$M50</f>
        <v>37553.621345261243</v>
      </c>
      <c r="J131" s="18">
        <f>[5]Sheet1!$M99</f>
        <v>3395</v>
      </c>
      <c r="K131" s="18">
        <f>[5]Sheet1!$M105</f>
        <v>850</v>
      </c>
      <c r="L131" s="19">
        <f t="shared" si="43"/>
        <v>0.25036818851251841</v>
      </c>
      <c r="M131" s="18">
        <f>'[2]EDB Database'!$G321/1000</f>
        <v>8563.54575834352</v>
      </c>
      <c r="N131" s="42"/>
      <c r="O131" s="3">
        <f>O130*E131/E130</f>
        <v>8563.5457583435218</v>
      </c>
    </row>
    <row r="132" spans="1:15" s="9" customFormat="1">
      <c r="A132" s="104" t="str">
        <f>'[7]2015 data'!P$28</f>
        <v>Network Tasman</v>
      </c>
      <c r="B132" s="104">
        <f>'[7]2015 data'!Q$28</f>
        <v>2008</v>
      </c>
      <c r="C132" s="104">
        <f>'[7]2015 data'!R$28</f>
        <v>2015</v>
      </c>
      <c r="D132" s="104">
        <f>'[7]2015 data'!S$28</f>
        <v>2</v>
      </c>
      <c r="E132" s="17">
        <f>[3]Sheet1!$M52</f>
        <v>9818</v>
      </c>
      <c r="F132">
        <f t="shared" si="67"/>
        <v>1.2816685951411126</v>
      </c>
      <c r="G132" s="18">
        <f>'NZ MaxDemand Calcs'!N133</f>
        <v>142.5938934758353</v>
      </c>
      <c r="H132" s="3">
        <f t="shared" si="69"/>
        <v>155.27099999999999</v>
      </c>
      <c r="I132" s="18">
        <f>[4]Sheet1!$M51</f>
        <v>38014</v>
      </c>
      <c r="J132" s="18">
        <f>[5]Sheet1!$M100</f>
        <v>3570.9</v>
      </c>
      <c r="K132" s="18">
        <f>[5]Sheet1!$M106</f>
        <v>872.19999999999993</v>
      </c>
      <c r="L132" s="19">
        <f t="shared" si="43"/>
        <v>0.24425214931809905</v>
      </c>
      <c r="M132" s="131"/>
      <c r="N132" s="42"/>
      <c r="O132" s="3">
        <f t="shared" ref="O132:O137" si="71">O131*E132/E131</f>
        <v>9841.6121099633256</v>
      </c>
    </row>
    <row r="133" spans="1:15" s="9" customFormat="1">
      <c r="A133" s="104" t="str">
        <f t="shared" ref="A133:B137" si="72">A132</f>
        <v>Network Tasman</v>
      </c>
      <c r="B133" s="104">
        <f t="shared" si="72"/>
        <v>2008</v>
      </c>
      <c r="C133" s="104">
        <f>C132+1</f>
        <v>2016</v>
      </c>
      <c r="D133" s="104">
        <v>2</v>
      </c>
      <c r="E133" s="17">
        <f>[3]Sheet1!$M53</f>
        <v>10389</v>
      </c>
      <c r="F133">
        <f t="shared" si="67"/>
        <v>1.2867539916420168</v>
      </c>
      <c r="G133" s="18">
        <f>'NZ MaxDemand Calcs'!N134</f>
        <v>149.1246548934171</v>
      </c>
      <c r="H133" s="3">
        <f t="shared" si="69"/>
        <v>155.27099999999999</v>
      </c>
      <c r="I133" s="18">
        <f>[4]Sheet1!$M52</f>
        <v>38535</v>
      </c>
      <c r="J133" s="18">
        <f>[5]Sheet1!$M101</f>
        <v>3569.8</v>
      </c>
      <c r="K133" s="18">
        <f>[5]Sheet1!$M107</f>
        <v>881.90000000000009</v>
      </c>
      <c r="L133" s="19">
        <f t="shared" si="43"/>
        <v>0.24704465236147685</v>
      </c>
      <c r="M133" s="131"/>
      <c r="N133" s="42"/>
      <c r="O133" s="3">
        <f t="shared" si="71"/>
        <v>10413.985354492665</v>
      </c>
    </row>
    <row r="134" spans="1:15" s="9" customFormat="1">
      <c r="A134" s="104" t="str">
        <f t="shared" si="72"/>
        <v>Network Tasman</v>
      </c>
      <c r="B134" s="104">
        <f t="shared" si="72"/>
        <v>2008</v>
      </c>
      <c r="C134" s="104">
        <f>C133+1</f>
        <v>2017</v>
      </c>
      <c r="D134" s="104">
        <v>2</v>
      </c>
      <c r="E134" s="17">
        <f>[3]Sheet1!$M54</f>
        <v>10316</v>
      </c>
      <c r="F134">
        <f t="shared" si="67"/>
        <v>1.3063682360796467</v>
      </c>
      <c r="G134" s="18">
        <f>'NZ MaxDemand Calcs'!N135</f>
        <v>139.80985377884784</v>
      </c>
      <c r="H134" s="3">
        <f t="shared" si="69"/>
        <v>155.27099999999999</v>
      </c>
      <c r="I134" s="18">
        <f>[4]Sheet1!$M53</f>
        <v>39028</v>
      </c>
      <c r="J134" s="18">
        <f>[5]Sheet1!$M102</f>
        <v>3581</v>
      </c>
      <c r="K134" s="18">
        <f>[5]Sheet1!$M108</f>
        <v>897</v>
      </c>
      <c r="L134" s="19">
        <f t="shared" si="43"/>
        <v>0.25048869030996929</v>
      </c>
      <c r="M134" s="131"/>
      <c r="N134" s="42"/>
      <c r="O134" s="3">
        <f t="shared" si="71"/>
        <v>10340.809790831296</v>
      </c>
    </row>
    <row r="135" spans="1:15" s="9" customFormat="1">
      <c r="A135" s="104" t="str">
        <f t="shared" si="72"/>
        <v>Network Tasman</v>
      </c>
      <c r="B135" s="104">
        <f t="shared" si="72"/>
        <v>2008</v>
      </c>
      <c r="C135" s="104">
        <f>C134+1</f>
        <v>2018</v>
      </c>
      <c r="D135" s="104">
        <v>2</v>
      </c>
      <c r="E135" s="17">
        <f>[3]Sheet1!$M55</f>
        <v>10945</v>
      </c>
      <c r="F135">
        <f t="shared" si="67"/>
        <v>1.3404204496621166</v>
      </c>
      <c r="G135" s="18">
        <f>'NZ MaxDemand Calcs'!N136</f>
        <v>140.88426211169181</v>
      </c>
      <c r="H135" s="3">
        <f t="shared" si="69"/>
        <v>155.27099999999999</v>
      </c>
      <c r="I135" s="18">
        <f>[4]Sheet1!$M54</f>
        <v>39578</v>
      </c>
      <c r="J135" s="18">
        <f>[5]Sheet1!$M103</f>
        <v>3594</v>
      </c>
      <c r="K135" s="18">
        <f>[5]Sheet1!$M109</f>
        <v>917</v>
      </c>
      <c r="L135" s="19">
        <f t="shared" si="43"/>
        <v>0.25514746800222593</v>
      </c>
      <c r="M135" s="131"/>
      <c r="N135" s="42"/>
      <c r="O135" s="3">
        <f t="shared" si="71"/>
        <v>10971.322524297066</v>
      </c>
    </row>
    <row r="136" spans="1:15" s="9" customFormat="1">
      <c r="A136" s="104" t="str">
        <f t="shared" si="72"/>
        <v>Network Tasman</v>
      </c>
      <c r="B136" s="104">
        <f t="shared" si="72"/>
        <v>2008</v>
      </c>
      <c r="C136" s="104">
        <f>C135+1</f>
        <v>2019</v>
      </c>
      <c r="D136" s="104">
        <v>2</v>
      </c>
      <c r="E136" s="17">
        <f>[8]Sheet1!$M$15</f>
        <v>10504</v>
      </c>
      <c r="F136">
        <f t="shared" si="67"/>
        <v>1.3740587734764929</v>
      </c>
      <c r="G136" s="18">
        <f>'NZ MaxDemand Calcs'!N137</f>
        <v>133.95814274238066</v>
      </c>
      <c r="H136" s="3">
        <f t="shared" si="69"/>
        <v>155.27099999999999</v>
      </c>
      <c r="I136" s="94">
        <v>39970</v>
      </c>
      <c r="J136" s="18">
        <f>[10]Sheet1!$M$28</f>
        <v>3613.6</v>
      </c>
      <c r="K136" s="18">
        <f>[10]Sheet1!$M$29</f>
        <v>940.80000000000007</v>
      </c>
      <c r="L136" s="19">
        <f t="shared" si="43"/>
        <v>0.26034978968341821</v>
      </c>
      <c r="M136" s="131"/>
      <c r="N136" s="42"/>
      <c r="O136" s="3">
        <f t="shared" si="71"/>
        <v>10529.261927383863</v>
      </c>
    </row>
    <row r="137" spans="1:15" s="9" customFormat="1">
      <c r="A137" s="104" t="str">
        <f t="shared" si="72"/>
        <v>Network Tasman</v>
      </c>
      <c r="B137" s="104">
        <f t="shared" si="72"/>
        <v>2008</v>
      </c>
      <c r="C137" s="104">
        <f>C136+1</f>
        <v>2020</v>
      </c>
      <c r="D137" s="104">
        <v>2</v>
      </c>
      <c r="E137" s="17">
        <f>[11]Sheet1!$M$15</f>
        <v>11230</v>
      </c>
      <c r="F137" s="142">
        <f t="shared" si="67"/>
        <v>1.4000516345247649</v>
      </c>
      <c r="G137" s="18">
        <f>'NZ MaxDemand Calcs'!N138</f>
        <v>144.00769529430187</v>
      </c>
      <c r="H137" s="3">
        <f t="shared" ref="H137" si="73">IF(G137&gt;H136,G137,H136)</f>
        <v>155.27099999999999</v>
      </c>
      <c r="I137" s="94">
        <v>40282</v>
      </c>
      <c r="J137" s="18">
        <f>[13]Sheet1!$M$29</f>
        <v>3640.6</v>
      </c>
      <c r="K137" s="18">
        <f>[13]Sheet1!$M$28</f>
        <v>972.5</v>
      </c>
      <c r="L137" s="19">
        <f t="shared" si="43"/>
        <v>0.26712629786298964</v>
      </c>
      <c r="M137" s="131"/>
      <c r="N137" s="42"/>
      <c r="O137" s="3">
        <f t="shared" si="71"/>
        <v>11257.007944070903</v>
      </c>
    </row>
    <row r="138" spans="1:15">
      <c r="A138" s="101" t="str">
        <f>'[1]EDB Database'!A359</f>
        <v>Northpower</v>
      </c>
      <c r="B138" s="101">
        <v>2006</v>
      </c>
      <c r="C138" s="102">
        <f>'[1]EDB Database'!B359</f>
        <v>2006</v>
      </c>
      <c r="D138" s="101">
        <v>2</v>
      </c>
      <c r="E138" s="17">
        <f t="shared" ref="E138:E143" si="74">E139*M138/M139</f>
        <v>10311.337473039473</v>
      </c>
      <c r="F138">
        <f t="shared" ref="F138:F152" si="75">F123</f>
        <v>1</v>
      </c>
      <c r="G138" s="18">
        <f>'NZ MaxDemand Calcs'!N139</f>
        <v>149.40259740259739</v>
      </c>
      <c r="H138" s="3">
        <f>G138</f>
        <v>149.40259740259739</v>
      </c>
      <c r="I138" s="18">
        <f>AVERAGE(N135,'[2]EDB Database'!$F$358)</f>
        <v>49820</v>
      </c>
      <c r="J138" s="18">
        <f>'[2]EDB Database'!$N359</f>
        <v>5586</v>
      </c>
      <c r="K138" s="18">
        <f>'[2]EDB Database'!$P359</f>
        <v>640</v>
      </c>
      <c r="L138" s="19">
        <f t="shared" si="43"/>
        <v>0.11457214464733262</v>
      </c>
      <c r="M138" s="18">
        <f>'[2]EDB Database'!$G359/1000</f>
        <v>10294.688</v>
      </c>
      <c r="N138" s="18">
        <f>'[2]EDB Database'!$F359</f>
        <v>50753</v>
      </c>
      <c r="O138" s="3">
        <f t="shared" ref="O138:O144" si="76">M138</f>
        <v>10294.688</v>
      </c>
    </row>
    <row r="139" spans="1:15">
      <c r="A139" s="101" t="str">
        <f>'[1]EDB Database'!A360</f>
        <v>Northpower</v>
      </c>
      <c r="B139" s="101">
        <v>2006</v>
      </c>
      <c r="C139" s="102">
        <f>'[1]EDB Database'!B360</f>
        <v>2007</v>
      </c>
      <c r="D139" s="101">
        <v>2</v>
      </c>
      <c r="E139" s="17">
        <f t="shared" si="74"/>
        <v>11639.60319231961</v>
      </c>
      <c r="F139">
        <f t="shared" si="75"/>
        <v>1.0438528231223547</v>
      </c>
      <c r="G139" s="18">
        <f>'NZ MaxDemand Calcs'!N140</f>
        <v>149.62493506493507</v>
      </c>
      <c r="H139" s="3">
        <f t="shared" ref="H139:H151" si="77">IF(G139&gt;H138,G139,H138)</f>
        <v>149.62493506493507</v>
      </c>
      <c r="I139" s="18">
        <f t="shared" ref="I139:I143" si="78">AVERAGE(N138:N139)</f>
        <v>51211</v>
      </c>
      <c r="J139" s="18">
        <f>'[2]EDB Database'!$N360</f>
        <v>5646</v>
      </c>
      <c r="K139" s="18">
        <f>'[2]EDB Database'!$P360</f>
        <v>751</v>
      </c>
      <c r="L139" s="19">
        <f t="shared" si="43"/>
        <v>0.13301452355650017</v>
      </c>
      <c r="M139" s="18">
        <f>'[2]EDB Database'!$G360/1000</f>
        <v>11620.808999999999</v>
      </c>
      <c r="N139" s="18">
        <f>'[2]EDB Database'!$F360</f>
        <v>51669</v>
      </c>
      <c r="O139" s="3">
        <f t="shared" si="76"/>
        <v>11620.808999999999</v>
      </c>
    </row>
    <row r="140" spans="1:15">
      <c r="A140" s="103" t="str">
        <f>'[1]EDB Database'!A361</f>
        <v>Northpower</v>
      </c>
      <c r="B140" s="101">
        <v>2006</v>
      </c>
      <c r="C140" s="102">
        <f>'[1]EDB Database'!B361</f>
        <v>2008</v>
      </c>
      <c r="D140" s="101">
        <v>2</v>
      </c>
      <c r="E140" s="17">
        <f t="shared" si="74"/>
        <v>14554.000000000007</v>
      </c>
      <c r="F140">
        <f t="shared" si="75"/>
        <v>1.0903851002750273</v>
      </c>
      <c r="G140" s="18">
        <f>'NZ MaxDemand Calcs'!N141</f>
        <v>160</v>
      </c>
      <c r="H140" s="3">
        <f t="shared" si="77"/>
        <v>160</v>
      </c>
      <c r="I140" s="18">
        <f t="shared" si="78"/>
        <v>52272.5</v>
      </c>
      <c r="J140" s="18">
        <f>'[2]EDB Database'!$N361</f>
        <v>5756</v>
      </c>
      <c r="K140" s="18">
        <f>'[2]EDB Database'!$P361</f>
        <v>758</v>
      </c>
      <c r="L140" s="19">
        <f t="shared" si="43"/>
        <v>0.13168867268936763</v>
      </c>
      <c r="M140" s="18">
        <f>'[2]EDB Database'!$G361/1000</f>
        <v>14530.5</v>
      </c>
      <c r="N140" s="18">
        <f>'[2]EDB Database'!$F361</f>
        <v>52876</v>
      </c>
      <c r="O140" s="3">
        <f t="shared" si="76"/>
        <v>14530.5</v>
      </c>
    </row>
    <row r="141" spans="1:15">
      <c r="A141" s="101" t="str">
        <f>'[1]EDB Database'!A362</f>
        <v>Northpower</v>
      </c>
      <c r="B141" s="101">
        <v>2006</v>
      </c>
      <c r="C141" s="102">
        <f>'[1]EDB Database'!B362</f>
        <v>2009</v>
      </c>
      <c r="D141" s="101">
        <v>2</v>
      </c>
      <c r="E141" s="17">
        <f t="shared" si="74"/>
        <v>15975.500000000007</v>
      </c>
      <c r="F141">
        <f t="shared" si="75"/>
        <v>1.1562469092885455</v>
      </c>
      <c r="G141" s="18">
        <f>'NZ MaxDemand Calcs'!N142</f>
        <v>177</v>
      </c>
      <c r="H141" s="3">
        <f t="shared" si="77"/>
        <v>177</v>
      </c>
      <c r="I141" s="18">
        <f t="shared" si="78"/>
        <v>53103.5</v>
      </c>
      <c r="J141" s="18">
        <f>'[2]EDB Database'!$N362</f>
        <v>5627</v>
      </c>
      <c r="K141" s="18">
        <f>'[2]EDB Database'!$P362</f>
        <v>733</v>
      </c>
      <c r="L141" s="19">
        <f t="shared" si="43"/>
        <v>0.13026479473964814</v>
      </c>
      <c r="M141" s="18">
        <f>'[2]EDB Database'!$G362/1000</f>
        <v>15949.704737529202</v>
      </c>
      <c r="N141" s="18">
        <f>'[2]EDB Database'!$F362</f>
        <v>53331</v>
      </c>
      <c r="O141" s="3">
        <f t="shared" si="76"/>
        <v>15949.704737529202</v>
      </c>
    </row>
    <row r="142" spans="1:15">
      <c r="A142" s="101" t="str">
        <f>'[1]EDB Database'!A363</f>
        <v>Northpower</v>
      </c>
      <c r="B142" s="101">
        <v>2006</v>
      </c>
      <c r="C142" s="102">
        <f>'[1]EDB Database'!B363</f>
        <v>2010</v>
      </c>
      <c r="D142" s="101">
        <v>2</v>
      </c>
      <c r="E142" s="17">
        <f t="shared" si="74"/>
        <v>15541.000000000005</v>
      </c>
      <c r="F142">
        <f t="shared" si="75"/>
        <v>1.1601923412470114</v>
      </c>
      <c r="G142" s="18">
        <f>'NZ MaxDemand Calcs'!N143</f>
        <v>180</v>
      </c>
      <c r="H142" s="3">
        <f t="shared" si="77"/>
        <v>180</v>
      </c>
      <c r="I142" s="18">
        <f t="shared" si="78"/>
        <v>53518.5</v>
      </c>
      <c r="J142" s="18">
        <f>'[2]EDB Database'!$N363</f>
        <v>5829</v>
      </c>
      <c r="K142" s="18">
        <f>'[2]EDB Database'!$P363</f>
        <v>825</v>
      </c>
      <c r="L142" s="19">
        <f t="shared" si="43"/>
        <v>0.14153371075656201</v>
      </c>
      <c r="M142" s="18">
        <f>'[2]EDB Database'!$G363/1000</f>
        <v>15515.906314415281</v>
      </c>
      <c r="N142" s="18">
        <f>'[2]EDB Database'!$F363</f>
        <v>53706</v>
      </c>
      <c r="O142" s="3">
        <f t="shared" si="76"/>
        <v>15515.906314415281</v>
      </c>
    </row>
    <row r="143" spans="1:15">
      <c r="A143" s="101" t="str">
        <f>'[1]EDB Database'!A364</f>
        <v>Northpower</v>
      </c>
      <c r="B143" s="101">
        <v>2006</v>
      </c>
      <c r="C143" s="102">
        <f>'[1]EDB Database'!B364</f>
        <v>2011</v>
      </c>
      <c r="D143" s="101">
        <v>2</v>
      </c>
      <c r="E143" s="17">
        <f t="shared" si="74"/>
        <v>14793.732000000005</v>
      </c>
      <c r="F143">
        <f t="shared" si="75"/>
        <v>1.1900846681215445</v>
      </c>
      <c r="G143" s="18">
        <f>'NZ MaxDemand Calcs'!N144</f>
        <v>178</v>
      </c>
      <c r="H143" s="3">
        <f t="shared" si="77"/>
        <v>180</v>
      </c>
      <c r="I143" s="18">
        <f t="shared" si="78"/>
        <v>54061</v>
      </c>
      <c r="J143" s="18">
        <f>'[2]EDB Database'!$N364</f>
        <v>5826</v>
      </c>
      <c r="K143" s="18">
        <f>'[2]EDB Database'!$P364</f>
        <v>856</v>
      </c>
      <c r="L143" s="19">
        <f t="shared" si="43"/>
        <v>0.14692756608307586</v>
      </c>
      <c r="M143" s="18">
        <f>'[2]EDB Database'!$G364/1000</f>
        <v>14769.844910402637</v>
      </c>
      <c r="N143" s="18">
        <f>'[2]EDB Database'!$F364</f>
        <v>54416</v>
      </c>
      <c r="O143" s="3">
        <f t="shared" si="76"/>
        <v>14769.844910402637</v>
      </c>
    </row>
    <row r="144" spans="1:15">
      <c r="A144" s="101" t="str">
        <f>'[1]EDB Database'!A365</f>
        <v>Northpower</v>
      </c>
      <c r="B144" s="101">
        <v>2006</v>
      </c>
      <c r="C144" s="102">
        <f>'[1]EDB Database'!B365</f>
        <v>2012</v>
      </c>
      <c r="D144" s="101">
        <v>2</v>
      </c>
      <c r="E144" s="17">
        <f>E145*M144/M145</f>
        <v>14842.000000000005</v>
      </c>
      <c r="F144">
        <f t="shared" si="75"/>
        <v>1.2216652483575092</v>
      </c>
      <c r="G144" s="18">
        <f>'NZ MaxDemand Calcs'!N145</f>
        <v>177</v>
      </c>
      <c r="H144" s="3">
        <f t="shared" si="77"/>
        <v>180</v>
      </c>
      <c r="I144" s="18">
        <f>AVERAGE(N143:N144)</f>
        <v>54674.5</v>
      </c>
      <c r="J144" s="18">
        <f>'[2]EDB Database'!$N365</f>
        <v>5778</v>
      </c>
      <c r="K144" s="18">
        <f>'[2]EDB Database'!$P365</f>
        <v>879</v>
      </c>
      <c r="L144" s="19">
        <f t="shared" si="43"/>
        <v>0.152128764278297</v>
      </c>
      <c r="M144" s="18">
        <f>'[2]EDB Database'!$G365/1000</f>
        <v>14818.034973203241</v>
      </c>
      <c r="N144" s="18">
        <f>'[2]EDB Database'!$F365</f>
        <v>54933</v>
      </c>
      <c r="O144" s="3">
        <f t="shared" si="76"/>
        <v>14818.034973203241</v>
      </c>
    </row>
    <row r="145" spans="1:15">
      <c r="A145" s="101" t="str">
        <f>'[1]EDB Database'!A366</f>
        <v>Northpower</v>
      </c>
      <c r="B145" s="101">
        <v>2006</v>
      </c>
      <c r="C145" s="102">
        <f>'[1]EDB Database'!B366</f>
        <v>2013</v>
      </c>
      <c r="D145" s="101">
        <v>2</v>
      </c>
      <c r="E145" s="17">
        <f>[3]Sheet1!$M56</f>
        <v>15276.37235760043</v>
      </c>
      <c r="F145">
        <f t="shared" si="75"/>
        <v>1.2421813017565195</v>
      </c>
      <c r="G145" s="18">
        <f>'NZ MaxDemand Calcs'!N146</f>
        <v>162.59302325581396</v>
      </c>
      <c r="H145" s="3">
        <f t="shared" si="77"/>
        <v>180</v>
      </c>
      <c r="I145" s="18">
        <f>[4]Sheet1!$M55</f>
        <v>54143</v>
      </c>
      <c r="J145" s="18">
        <f>[5]Sheet1!$M110</f>
        <v>5771.2999999999993</v>
      </c>
      <c r="K145" s="18">
        <f>[5]Sheet1!$M116</f>
        <v>855.19999999999993</v>
      </c>
      <c r="L145" s="19">
        <f t="shared" si="43"/>
        <v>0.14818151889522291</v>
      </c>
      <c r="M145" s="18">
        <f>'[2]EDB Database'!$G366/1000</f>
        <v>15251.705960018753</v>
      </c>
      <c r="O145" s="3">
        <f>M145</f>
        <v>15251.705960018753</v>
      </c>
    </row>
    <row r="146" spans="1:15" s="9" customFormat="1">
      <c r="A146" s="104" t="str">
        <f>'[1]EDB Database'!A367</f>
        <v>Northpower</v>
      </c>
      <c r="B146" s="104">
        <v>2006</v>
      </c>
      <c r="C146" s="105">
        <f>'[1]EDB Database'!B367</f>
        <v>2014</v>
      </c>
      <c r="D146" s="104">
        <v>2</v>
      </c>
      <c r="E146" s="17">
        <f>[3]Sheet1!$M57</f>
        <v>16149.14321814339</v>
      </c>
      <c r="F146">
        <f t="shared" si="75"/>
        <v>1.27237461042106</v>
      </c>
      <c r="G146" s="18">
        <f>'NZ MaxDemand Calcs'!N147</f>
        <v>172.88372093023256</v>
      </c>
      <c r="H146" s="3">
        <f t="shared" si="77"/>
        <v>180</v>
      </c>
      <c r="I146" s="18">
        <f>[4]Sheet1!$M56</f>
        <v>54641</v>
      </c>
      <c r="J146" s="18">
        <f>[5]Sheet1!$M111</f>
        <v>5870.5645999999751</v>
      </c>
      <c r="K146" s="18">
        <f>[5]Sheet1!$M117</f>
        <v>879.57328000000598</v>
      </c>
      <c r="L146" s="19">
        <f t="shared" si="43"/>
        <v>0.14982771503783635</v>
      </c>
      <c r="M146" s="18">
        <f>'[2]EDB Database'!$G367/1000</f>
        <v>16123.067578070119</v>
      </c>
      <c r="N146" s="42"/>
      <c r="O146" s="3">
        <f>O145*E146/E145</f>
        <v>16123.067578070111</v>
      </c>
    </row>
    <row r="147" spans="1:15" s="9" customFormat="1">
      <c r="A147" s="104" t="str">
        <f>'[7]2015 data'!P$30</f>
        <v>Northpower</v>
      </c>
      <c r="B147" s="104">
        <f>'[7]2015 data'!Q$30</f>
        <v>2006</v>
      </c>
      <c r="C147" s="104">
        <f>'[7]2015 data'!R$30</f>
        <v>2015</v>
      </c>
      <c r="D147" s="104">
        <f>'[7]2015 data'!S$30</f>
        <v>2</v>
      </c>
      <c r="E147" s="17">
        <f>[3]Sheet1!$M58</f>
        <v>15727.686125800359</v>
      </c>
      <c r="F147">
        <f t="shared" si="75"/>
        <v>1.2816685951411126</v>
      </c>
      <c r="G147" s="18">
        <f>'NZ MaxDemand Calcs'!N148</f>
        <v>166.7093023255814</v>
      </c>
      <c r="H147" s="3">
        <f t="shared" si="77"/>
        <v>180</v>
      </c>
      <c r="I147" s="18">
        <f>[4]Sheet1!$M57</f>
        <v>56485</v>
      </c>
      <c r="J147" s="18">
        <f>[5]Sheet1!$M112</f>
        <v>5894.0504700000001</v>
      </c>
      <c r="K147" s="18">
        <f>[5]Sheet1!$M118</f>
        <v>901.36377999999991</v>
      </c>
      <c r="L147" s="19">
        <f t="shared" si="43"/>
        <v>0.15292773358284459</v>
      </c>
      <c r="M147" s="131"/>
      <c r="N147" s="42"/>
      <c r="O147" s="3">
        <f t="shared" ref="O147:O152" si="79">O146*E147/E146</f>
        <v>15702.291002538272</v>
      </c>
    </row>
    <row r="148" spans="1:15" s="9" customFormat="1">
      <c r="A148" s="104" t="str">
        <f t="shared" ref="A148:B152" si="80">A147</f>
        <v>Northpower</v>
      </c>
      <c r="B148" s="104">
        <f t="shared" si="80"/>
        <v>2006</v>
      </c>
      <c r="C148" s="104">
        <f>C147+1</f>
        <v>2016</v>
      </c>
      <c r="D148" s="104">
        <v>2</v>
      </c>
      <c r="E148" s="17">
        <f>[3]Sheet1!$M59</f>
        <v>15670</v>
      </c>
      <c r="F148">
        <f t="shared" si="75"/>
        <v>1.2867539916420168</v>
      </c>
      <c r="G148" s="18">
        <f>'NZ MaxDemand Calcs'!N149</f>
        <v>167.73837209302326</v>
      </c>
      <c r="H148" s="3">
        <f t="shared" si="77"/>
        <v>180</v>
      </c>
      <c r="I148" s="18">
        <f>[4]Sheet1!$M58</f>
        <v>57247</v>
      </c>
      <c r="J148" s="18">
        <f>[5]Sheet1!$M113</f>
        <v>5938.9158199999893</v>
      </c>
      <c r="K148" s="18">
        <f>[5]Sheet1!$M119</f>
        <v>927.74556000001098</v>
      </c>
      <c r="L148" s="19">
        <f t="shared" si="43"/>
        <v>0.15621463380163092</v>
      </c>
      <c r="M148" s="131"/>
      <c r="N148" s="42"/>
      <c r="O148" s="3">
        <f t="shared" si="79"/>
        <v>15644.69802116256</v>
      </c>
    </row>
    <row r="149" spans="1:15" s="9" customFormat="1">
      <c r="A149" s="104" t="str">
        <f t="shared" si="80"/>
        <v>Northpower</v>
      </c>
      <c r="B149" s="104">
        <f t="shared" si="80"/>
        <v>2006</v>
      </c>
      <c r="C149" s="104">
        <f>C148+1</f>
        <v>2017</v>
      </c>
      <c r="D149" s="104">
        <v>2</v>
      </c>
      <c r="E149" s="17">
        <f>[3]Sheet1!$M60</f>
        <v>16624.600112588429</v>
      </c>
      <c r="F149">
        <f t="shared" si="75"/>
        <v>1.3063682360796467</v>
      </c>
      <c r="G149" s="18">
        <f>'NZ MaxDemand Calcs'!N150</f>
        <v>174.94186046511629</v>
      </c>
      <c r="H149" s="3">
        <f t="shared" si="77"/>
        <v>180</v>
      </c>
      <c r="I149" s="18">
        <f>[4]Sheet1!$M59</f>
        <v>57952</v>
      </c>
      <c r="J149" s="18">
        <f>[5]Sheet1!$M114</f>
        <v>5981.1995200000092</v>
      </c>
      <c r="K149" s="18">
        <f>[5]Sheet1!$M120</f>
        <v>969.01152000000911</v>
      </c>
      <c r="L149" s="19">
        <f t="shared" si="43"/>
        <v>0.1620095629245967</v>
      </c>
      <c r="M149" s="131"/>
      <c r="N149" s="42"/>
      <c r="O149" s="3">
        <f t="shared" si="79"/>
        <v>16597.75676349911</v>
      </c>
    </row>
    <row r="150" spans="1:15" s="9" customFormat="1">
      <c r="A150" s="104" t="str">
        <f t="shared" si="80"/>
        <v>Northpower</v>
      </c>
      <c r="B150" s="104">
        <f t="shared" si="80"/>
        <v>2006</v>
      </c>
      <c r="C150" s="104">
        <f>C149+1</f>
        <v>2018</v>
      </c>
      <c r="D150" s="104">
        <v>2</v>
      </c>
      <c r="E150" s="17">
        <f>[3]Sheet1!$M61</f>
        <v>21961.532875145749</v>
      </c>
      <c r="F150">
        <f t="shared" si="75"/>
        <v>1.3404204496621166</v>
      </c>
      <c r="G150" s="18">
        <f>'NZ MaxDemand Calcs'!N151</f>
        <v>177.00000000000003</v>
      </c>
      <c r="H150" s="3">
        <f t="shared" si="77"/>
        <v>180</v>
      </c>
      <c r="I150" s="18">
        <f>[4]Sheet1!$M60</f>
        <v>58430</v>
      </c>
      <c r="J150" s="18">
        <f>[5]Sheet1!$M115</f>
        <v>6017.3980600000004</v>
      </c>
      <c r="K150" s="18">
        <f>[5]Sheet1!$M121</f>
        <v>1005.25092</v>
      </c>
      <c r="L150" s="19">
        <f t="shared" ref="L150:L223" si="81">K150/J150</f>
        <v>0.16705740753338161</v>
      </c>
      <c r="M150" s="131"/>
      <c r="N150" s="42"/>
      <c r="O150" s="3">
        <f t="shared" si="79"/>
        <v>21926.072106795738</v>
      </c>
    </row>
    <row r="151" spans="1:15" s="9" customFormat="1">
      <c r="A151" s="104" t="str">
        <f t="shared" si="80"/>
        <v>Northpower</v>
      </c>
      <c r="B151" s="104">
        <f t="shared" si="80"/>
        <v>2006</v>
      </c>
      <c r="C151" s="104">
        <f>C150+1</f>
        <v>2019</v>
      </c>
      <c r="D151" s="104">
        <v>2</v>
      </c>
      <c r="E151" s="17">
        <f>[8]Sheet1!$M$17</f>
        <v>24656.65646579548</v>
      </c>
      <c r="F151">
        <f t="shared" si="75"/>
        <v>1.3740587734764929</v>
      </c>
      <c r="G151" s="18">
        <f>'NZ MaxDemand Calcs'!N152</f>
        <v>181.11627906976747</v>
      </c>
      <c r="H151" s="3">
        <f t="shared" si="77"/>
        <v>181.11627906976747</v>
      </c>
      <c r="I151" s="18">
        <f>[9]Sheet1!$M$15</f>
        <v>59380</v>
      </c>
      <c r="J151" s="18">
        <f>[10]Sheet1!$M$32</f>
        <v>6053.210810000005</v>
      </c>
      <c r="K151" s="18">
        <f>[10]Sheet1!$M$33</f>
        <v>1044.591580000005</v>
      </c>
      <c r="L151" s="19">
        <f t="shared" si="81"/>
        <v>0.17256818121621048</v>
      </c>
      <c r="M151" s="131"/>
      <c r="N151" s="42"/>
      <c r="O151" s="3">
        <f t="shared" si="79"/>
        <v>24616.843945048859</v>
      </c>
    </row>
    <row r="152" spans="1:15" s="9" customFormat="1">
      <c r="A152" s="104" t="str">
        <f t="shared" si="80"/>
        <v>Northpower</v>
      </c>
      <c r="B152" s="104">
        <f t="shared" si="80"/>
        <v>2006</v>
      </c>
      <c r="C152" s="104">
        <f>C151+1</f>
        <v>2020</v>
      </c>
      <c r="D152" s="104">
        <v>2</v>
      </c>
      <c r="E152" s="17">
        <f>[11]Sheet1!$M$17</f>
        <v>27046.588762438081</v>
      </c>
      <c r="F152" s="142">
        <f t="shared" si="75"/>
        <v>1.4000516345247649</v>
      </c>
      <c r="G152" s="18">
        <f>'NZ MaxDemand Calcs'!N153</f>
        <v>178.02906976744191</v>
      </c>
      <c r="H152" s="3">
        <f t="shared" ref="H152" si="82">IF(G152&gt;H151,G152,H151)</f>
        <v>181.11627906976747</v>
      </c>
      <c r="I152" s="18">
        <f>[12]Sheet1!$M$13</f>
        <v>60267</v>
      </c>
      <c r="J152" s="18">
        <f>[13]Sheet1!$M$33</f>
        <v>6085.7238399999997</v>
      </c>
      <c r="K152" s="18">
        <f>[13]Sheet1!$M$32</f>
        <v>1078.2918199999999</v>
      </c>
      <c r="L152" s="19">
        <f t="shared" si="81"/>
        <v>0.17718382370764954</v>
      </c>
      <c r="M152" s="131"/>
      <c r="N152" s="42"/>
      <c r="O152" s="3">
        <f t="shared" si="79"/>
        <v>27002.917274467938</v>
      </c>
    </row>
    <row r="153" spans="1:15">
      <c r="A153" s="101" t="str">
        <f>'[1]EDB Database'!A428</f>
        <v>Powerco</v>
      </c>
      <c r="B153" s="101">
        <v>2002</v>
      </c>
      <c r="C153" s="102">
        <f>'[1]EDB Database'!B428</f>
        <v>2006</v>
      </c>
      <c r="D153" s="101">
        <v>2</v>
      </c>
      <c r="E153" s="17">
        <f t="shared" ref="E153:E158" si="83">E154*M153/M154</f>
        <v>56962.494667723186</v>
      </c>
      <c r="F153">
        <f t="shared" ref="F153:F167" si="84">F138</f>
        <v>1</v>
      </c>
      <c r="G153" s="18">
        <f>'NZ MaxDemand Calcs'!N154</f>
        <v>730.37346736082475</v>
      </c>
      <c r="H153" s="3">
        <f>G153</f>
        <v>730.37346736082475</v>
      </c>
      <c r="I153" s="18">
        <f>AVERAGE(N150,'[2]EDB Database'!$F$427)</f>
        <v>298665</v>
      </c>
      <c r="J153" s="18">
        <f>'[2]EDB Database'!$N428</f>
        <v>27090</v>
      </c>
      <c r="K153" s="18">
        <f>'[2]EDB Database'!$P428</f>
        <v>5164</v>
      </c>
      <c r="L153" s="19">
        <f t="shared" si="81"/>
        <v>0.19062384643779992</v>
      </c>
      <c r="M153" s="18">
        <f>'[2]EDB Database'!$G428/1000</f>
        <v>54274.051820000001</v>
      </c>
      <c r="N153" s="18">
        <f>'[2]EDB Database'!$F428</f>
        <v>304471</v>
      </c>
      <c r="O153" s="3">
        <f t="shared" ref="O153:O159" si="85">M153</f>
        <v>54274.051820000001</v>
      </c>
    </row>
    <row r="154" spans="1:15">
      <c r="A154" s="101" t="str">
        <f>'[1]EDB Database'!A429</f>
        <v>Powerco</v>
      </c>
      <c r="B154" s="101">
        <v>2002</v>
      </c>
      <c r="C154" s="102">
        <f>'[1]EDB Database'!B429</f>
        <v>2007</v>
      </c>
      <c r="D154" s="101">
        <v>2</v>
      </c>
      <c r="E154" s="17">
        <f t="shared" si="83"/>
        <v>51851.49398530271</v>
      </c>
      <c r="F154">
        <f t="shared" si="84"/>
        <v>1.0438528231223547</v>
      </c>
      <c r="G154" s="18">
        <f>'NZ MaxDemand Calcs'!N155</f>
        <v>812.0947671494846</v>
      </c>
      <c r="H154" s="3">
        <f t="shared" ref="H154:H166" si="86">IF(G154&gt;H153,G154,H153)</f>
        <v>812.0947671494846</v>
      </c>
      <c r="I154" s="18">
        <f t="shared" ref="I154:I158" si="87">AVERAGE(N153:N154)</f>
        <v>305298.5</v>
      </c>
      <c r="J154" s="18">
        <f>'[2]EDB Database'!$N429</f>
        <v>27255</v>
      </c>
      <c r="K154" s="18">
        <f>'[2]EDB Database'!$P429</f>
        <v>5300</v>
      </c>
      <c r="L154" s="19">
        <f t="shared" si="81"/>
        <v>0.19445973215923684</v>
      </c>
      <c r="M154" s="18">
        <f>'[2]EDB Database'!$G429/1000</f>
        <v>49404.2736</v>
      </c>
      <c r="N154" s="18">
        <f>'[2]EDB Database'!$F429</f>
        <v>306126</v>
      </c>
      <c r="O154" s="3">
        <f t="shared" si="85"/>
        <v>49404.2736</v>
      </c>
    </row>
    <row r="155" spans="1:15">
      <c r="A155" s="103" t="str">
        <f>'[1]EDB Database'!A430</f>
        <v>Powerco</v>
      </c>
      <c r="B155" s="101">
        <v>2002</v>
      </c>
      <c r="C155" s="102">
        <f>'[1]EDB Database'!B430</f>
        <v>2008</v>
      </c>
      <c r="D155" s="101">
        <v>2</v>
      </c>
      <c r="E155" s="17">
        <f t="shared" si="83"/>
        <v>57634</v>
      </c>
      <c r="F155">
        <f t="shared" si="84"/>
        <v>1.0903851002750273</v>
      </c>
      <c r="G155" s="18">
        <f>'NZ MaxDemand Calcs'!N156</f>
        <v>836.86199999999997</v>
      </c>
      <c r="H155" s="3">
        <f t="shared" si="86"/>
        <v>836.86199999999997</v>
      </c>
      <c r="I155" s="18">
        <f t="shared" si="87"/>
        <v>305598.5</v>
      </c>
      <c r="J155" s="18">
        <f>'[2]EDB Database'!$N430</f>
        <v>27360.5557600018</v>
      </c>
      <c r="K155" s="18">
        <f>'[2]EDB Database'!$P430</f>
        <v>5128.3259299998299</v>
      </c>
      <c r="L155" s="19">
        <f t="shared" si="81"/>
        <v>0.18743500588891154</v>
      </c>
      <c r="M155" s="18">
        <f>'[2]EDB Database'!$G430/1000</f>
        <v>54913.86430388072</v>
      </c>
      <c r="N155" s="18">
        <f>'[2]EDB Database'!$F430</f>
        <v>305071</v>
      </c>
      <c r="O155" s="3">
        <f t="shared" si="85"/>
        <v>54913.86430388072</v>
      </c>
    </row>
    <row r="156" spans="1:15">
      <c r="A156" s="101" t="str">
        <f>'[1]EDB Database'!A431</f>
        <v>Powerco</v>
      </c>
      <c r="B156" s="101">
        <v>2002</v>
      </c>
      <c r="C156" s="102">
        <f>'[1]EDB Database'!B431</f>
        <v>2009</v>
      </c>
      <c r="D156" s="101">
        <v>2</v>
      </c>
      <c r="E156" s="17">
        <f t="shared" si="83"/>
        <v>58189.000000000007</v>
      </c>
      <c r="F156">
        <f t="shared" si="84"/>
        <v>1.1562469092885455</v>
      </c>
      <c r="G156" s="18">
        <f>'NZ MaxDemand Calcs'!N157</f>
        <v>856</v>
      </c>
      <c r="H156" s="3">
        <f t="shared" si="86"/>
        <v>856</v>
      </c>
      <c r="I156" s="18">
        <f t="shared" si="87"/>
        <v>310225</v>
      </c>
      <c r="J156" s="18">
        <f>'[2]EDB Database'!$N431</f>
        <v>29274</v>
      </c>
      <c r="K156" s="18">
        <f>'[2]EDB Database'!$P431</f>
        <v>6185</v>
      </c>
      <c r="L156" s="19">
        <f t="shared" si="81"/>
        <v>0.21127963380474141</v>
      </c>
      <c r="M156" s="18">
        <f>'[2]EDB Database'!$G431/1000</f>
        <v>55442.670124900505</v>
      </c>
      <c r="N156" s="18">
        <f>'[2]EDB Database'!$F431</f>
        <v>315379</v>
      </c>
      <c r="O156" s="3">
        <f t="shared" si="85"/>
        <v>55442.670124900505</v>
      </c>
    </row>
    <row r="157" spans="1:15">
      <c r="A157" s="101" t="str">
        <f>'[1]EDB Database'!A432</f>
        <v>Powerco</v>
      </c>
      <c r="B157" s="101">
        <v>2002</v>
      </c>
      <c r="C157" s="102">
        <f>'[1]EDB Database'!B432</f>
        <v>2010</v>
      </c>
      <c r="D157" s="101">
        <v>2</v>
      </c>
      <c r="E157" s="17">
        <f t="shared" si="83"/>
        <v>57431.96325980001</v>
      </c>
      <c r="F157">
        <f t="shared" si="84"/>
        <v>1.1601923412470114</v>
      </c>
      <c r="G157" s="18">
        <f>'NZ MaxDemand Calcs'!N158</f>
        <v>926.01199999999994</v>
      </c>
      <c r="H157" s="3">
        <f t="shared" si="86"/>
        <v>926.01199999999994</v>
      </c>
      <c r="I157" s="18">
        <f t="shared" si="87"/>
        <v>316434</v>
      </c>
      <c r="J157" s="18">
        <f>'[2]EDB Database'!$N432</f>
        <v>30035.4826390128</v>
      </c>
      <c r="K157" s="18">
        <f>'[2]EDB Database'!$P432</f>
        <v>7420.0583338598099</v>
      </c>
      <c r="L157" s="19">
        <f t="shared" si="81"/>
        <v>0.24704308644010159</v>
      </c>
      <c r="M157" s="18">
        <f>'[2]EDB Database'!$G432/1000</f>
        <v>54721.363034912043</v>
      </c>
      <c r="N157" s="18">
        <f>'[2]EDB Database'!$F432</f>
        <v>317489</v>
      </c>
      <c r="O157" s="3">
        <f t="shared" si="85"/>
        <v>54721.363034912043</v>
      </c>
    </row>
    <row r="158" spans="1:15">
      <c r="A158" s="101" t="str">
        <f>'[1]EDB Database'!A433</f>
        <v>Powerco</v>
      </c>
      <c r="B158" s="101">
        <v>2002</v>
      </c>
      <c r="C158" s="102">
        <f>'[1]EDB Database'!B433</f>
        <v>2011</v>
      </c>
      <c r="D158" s="101">
        <v>2</v>
      </c>
      <c r="E158" s="17">
        <f t="shared" si="83"/>
        <v>57267.520173115903</v>
      </c>
      <c r="F158">
        <f t="shared" si="84"/>
        <v>1.1900846681215445</v>
      </c>
      <c r="G158" s="18">
        <f>'NZ MaxDemand Calcs'!N159</f>
        <v>919.18200000000002</v>
      </c>
      <c r="H158" s="3">
        <f t="shared" si="86"/>
        <v>926.01199999999994</v>
      </c>
      <c r="I158" s="18">
        <f t="shared" si="87"/>
        <v>318335</v>
      </c>
      <c r="J158" s="18">
        <f>'[2]EDB Database'!$N433</f>
        <v>29920</v>
      </c>
      <c r="K158" s="18">
        <f>'[2]EDB Database'!$P433</f>
        <v>7598</v>
      </c>
      <c r="L158" s="19">
        <f t="shared" si="81"/>
        <v>0.2539438502673797</v>
      </c>
      <c r="M158" s="18">
        <f>'[2]EDB Database'!$G433/1000</f>
        <v>54564.681122362468</v>
      </c>
      <c r="N158" s="18">
        <f>'[2]EDB Database'!$F433</f>
        <v>319181</v>
      </c>
      <c r="O158" s="3">
        <f t="shared" si="85"/>
        <v>54564.681122362468</v>
      </c>
    </row>
    <row r="159" spans="1:15">
      <c r="A159" s="101" t="str">
        <f>'[1]EDB Database'!A434</f>
        <v>Powerco</v>
      </c>
      <c r="B159" s="101">
        <v>2002</v>
      </c>
      <c r="C159" s="102">
        <f>'[1]EDB Database'!B434</f>
        <v>2012</v>
      </c>
      <c r="D159" s="101">
        <v>2</v>
      </c>
      <c r="E159" s="17">
        <f>E160*M159/M160</f>
        <v>66547.535206153596</v>
      </c>
      <c r="F159">
        <f t="shared" si="84"/>
        <v>1.2216652483575092</v>
      </c>
      <c r="G159" s="18">
        <f>'NZ MaxDemand Calcs'!N160</f>
        <v>949.29199999999969</v>
      </c>
      <c r="H159" s="3">
        <f t="shared" si="86"/>
        <v>949.29199999999969</v>
      </c>
      <c r="I159" s="18">
        <f>AVERAGE(N158:N159)</f>
        <v>320034</v>
      </c>
      <c r="J159" s="18">
        <f>'[2]EDB Database'!$N434</f>
        <v>30841.2225764385</v>
      </c>
      <c r="K159" s="18">
        <f>'[2]EDB Database'!$P434</f>
        <v>7657.2998936632202</v>
      </c>
      <c r="L159" s="19">
        <f t="shared" si="81"/>
        <v>0.24828133433053659</v>
      </c>
      <c r="M159" s="18">
        <f>'[2]EDB Database'!$G434/1000</f>
        <v>63406.709894653213</v>
      </c>
      <c r="N159" s="18">
        <f>'[2]EDB Database'!$F434</f>
        <v>320887</v>
      </c>
      <c r="O159" s="3">
        <f t="shared" si="85"/>
        <v>63406.709894653213</v>
      </c>
    </row>
    <row r="160" spans="1:15">
      <c r="A160" s="101" t="str">
        <f>'[1]EDB Database'!A435</f>
        <v>Powerco</v>
      </c>
      <c r="B160" s="101">
        <v>2002</v>
      </c>
      <c r="C160" s="102">
        <f>'[1]EDB Database'!B435</f>
        <v>2013</v>
      </c>
      <c r="D160" s="101">
        <v>2</v>
      </c>
      <c r="E160" s="17">
        <f>[3]Sheet1!$M62</f>
        <v>65355.319773354822</v>
      </c>
      <c r="F160">
        <f t="shared" si="84"/>
        <v>1.2421813017565195</v>
      </c>
      <c r="G160" s="18">
        <f>'NZ MaxDemand Calcs'!N161</f>
        <v>919.07115600622171</v>
      </c>
      <c r="H160" s="3">
        <f t="shared" si="86"/>
        <v>949.29199999999969</v>
      </c>
      <c r="I160" s="18">
        <f>[4]Sheet1!$M61</f>
        <v>322161.5</v>
      </c>
      <c r="J160" s="18">
        <f>[5]Sheet1!$M122</f>
        <v>28879.355304661309</v>
      </c>
      <c r="K160" s="18">
        <f>[5]Sheet1!$M128</f>
        <v>6603.5398328602496</v>
      </c>
      <c r="L160" s="19">
        <f t="shared" si="81"/>
        <v>0.22865953076848627</v>
      </c>
      <c r="M160" s="18">
        <f>'[2]EDB Database'!$G435/1000</f>
        <v>62270.763118484552</v>
      </c>
      <c r="O160" s="3">
        <f>M160</f>
        <v>62270.763118484552</v>
      </c>
    </row>
    <row r="161" spans="1:15" s="9" customFormat="1">
      <c r="A161" s="104" t="str">
        <f>'[1]EDB Database'!A436</f>
        <v>Powerco</v>
      </c>
      <c r="B161" s="104">
        <v>2002</v>
      </c>
      <c r="C161" s="105">
        <f>'[1]EDB Database'!B436</f>
        <v>2014</v>
      </c>
      <c r="D161" s="104">
        <v>2</v>
      </c>
      <c r="E161" s="17">
        <f>[3]Sheet1!$M63</f>
        <v>67817.648873944156</v>
      </c>
      <c r="F161">
        <f t="shared" si="84"/>
        <v>1.27237461042106</v>
      </c>
      <c r="G161" s="18">
        <f>'NZ MaxDemand Calcs'!N162</f>
        <v>961.24710830731055</v>
      </c>
      <c r="H161" s="3">
        <f t="shared" si="86"/>
        <v>961.24710830731055</v>
      </c>
      <c r="I161" s="18">
        <f>[4]Sheet1!$M62</f>
        <v>324593</v>
      </c>
      <c r="J161" s="18">
        <f>[5]Sheet1!$M123</f>
        <v>27731.452660999999</v>
      </c>
      <c r="K161" s="18">
        <f>[5]Sheet1!$M129</f>
        <v>5931.5481900000004</v>
      </c>
      <c r="L161" s="19">
        <f t="shared" si="81"/>
        <v>0.21389244416834341</v>
      </c>
      <c r="M161" s="18">
        <f>'[2]EDB Database'!$G436/1000</f>
        <v>64616.87836471523</v>
      </c>
      <c r="N161" s="42"/>
      <c r="O161" s="3">
        <f>O160*E161/E160</f>
        <v>64616.878364715238</v>
      </c>
    </row>
    <row r="162" spans="1:15" s="9" customFormat="1">
      <c r="A162" s="104" t="str">
        <f>'[7]2015 data'!P$33</f>
        <v>Powerco</v>
      </c>
      <c r="B162" s="104">
        <f>'[7]2015 data'!Q$33</f>
        <v>2002</v>
      </c>
      <c r="C162" s="104">
        <f>'[7]2015 data'!R$33</f>
        <v>2015</v>
      </c>
      <c r="D162" s="104">
        <f>'[7]2015 data'!S$33</f>
        <v>2</v>
      </c>
      <c r="E162" s="17">
        <f>[3]Sheet1!$M64</f>
        <v>65510.486778504099</v>
      </c>
      <c r="F162">
        <f t="shared" si="84"/>
        <v>1.2816685951411126</v>
      </c>
      <c r="G162" s="18">
        <f>'NZ MaxDemand Calcs'!N163</f>
        <v>955.02974143129461</v>
      </c>
      <c r="H162" s="3">
        <f t="shared" si="86"/>
        <v>961.24710830731055</v>
      </c>
      <c r="I162" s="18">
        <f>[4]Sheet1!$M63</f>
        <v>327385.5</v>
      </c>
      <c r="J162" s="18">
        <f>[5]Sheet1!$M124</f>
        <v>27832.707504999998</v>
      </c>
      <c r="K162" s="18">
        <f>[5]Sheet1!$M130</f>
        <v>6037.3650520000001</v>
      </c>
      <c r="L162" s="19">
        <f t="shared" si="81"/>
        <v>0.21691619656174016</v>
      </c>
      <c r="M162" s="131"/>
      <c r="N162" s="42"/>
      <c r="O162" s="3">
        <f t="shared" ref="O162:O167" si="88">O161*E162/E161</f>
        <v>62418.606750111838</v>
      </c>
    </row>
    <row r="163" spans="1:15" s="9" customFormat="1">
      <c r="A163" s="104" t="str">
        <f t="shared" ref="A163:B167" si="89">A162</f>
        <v>Powerco</v>
      </c>
      <c r="B163" s="104">
        <f t="shared" si="89"/>
        <v>2002</v>
      </c>
      <c r="C163" s="104">
        <f>C162+1</f>
        <v>2016</v>
      </c>
      <c r="D163" s="104">
        <v>2</v>
      </c>
      <c r="E163" s="17">
        <f>[3]Sheet1!$M65</f>
        <v>69364.66225541968</v>
      </c>
      <c r="F163">
        <f t="shared" si="84"/>
        <v>1.2867539916420168</v>
      </c>
      <c r="G163" s="18">
        <f>'NZ MaxDemand Calcs'!N164</f>
        <v>1006.1431586166566</v>
      </c>
      <c r="H163" s="3">
        <f t="shared" si="86"/>
        <v>1006.1431586166566</v>
      </c>
      <c r="I163" s="18">
        <f>[4]Sheet1!$M64</f>
        <v>330577</v>
      </c>
      <c r="J163" s="18">
        <f>[5]Sheet1!$M125</f>
        <v>27903.905121</v>
      </c>
      <c r="K163" s="18">
        <f>[5]Sheet1!$M131</f>
        <v>6150.1530129999992</v>
      </c>
      <c r="L163" s="19">
        <f t="shared" si="81"/>
        <v>0.22040474214383346</v>
      </c>
      <c r="M163" s="131"/>
      <c r="N163" s="42"/>
      <c r="O163" s="3">
        <f t="shared" si="88"/>
        <v>66090.877790516577</v>
      </c>
    </row>
    <row r="164" spans="1:15" s="9" customFormat="1">
      <c r="A164" s="104" t="str">
        <f t="shared" si="89"/>
        <v>Powerco</v>
      </c>
      <c r="B164" s="104">
        <f t="shared" si="89"/>
        <v>2002</v>
      </c>
      <c r="C164" s="104">
        <f>C163+1</f>
        <v>2017</v>
      </c>
      <c r="D164" s="104">
        <v>2</v>
      </c>
      <c r="E164" s="17">
        <f>[3]Sheet1!$M66</f>
        <v>73523.621091508336</v>
      </c>
      <c r="F164">
        <f t="shared" si="84"/>
        <v>1.3063682360796467</v>
      </c>
      <c r="G164" s="18">
        <f>'NZ MaxDemand Calcs'!N165</f>
        <v>1002.7347092756978</v>
      </c>
      <c r="H164" s="3">
        <f t="shared" si="86"/>
        <v>1006.1431586166566</v>
      </c>
      <c r="I164" s="18">
        <f>[4]Sheet1!$M65</f>
        <v>334042</v>
      </c>
      <c r="J164" s="18">
        <f>[5]Sheet1!$M126</f>
        <v>28034.445577999999</v>
      </c>
      <c r="K164" s="18">
        <f>[5]Sheet1!$M132</f>
        <v>6297.4305909999994</v>
      </c>
      <c r="L164" s="19">
        <f t="shared" si="81"/>
        <v>0.22463189341407563</v>
      </c>
      <c r="M164" s="131"/>
      <c r="N164" s="42"/>
      <c r="O164" s="3">
        <f t="shared" si="88"/>
        <v>70053.5474155712</v>
      </c>
    </row>
    <row r="165" spans="1:15" s="9" customFormat="1">
      <c r="A165" s="104" t="str">
        <f t="shared" si="89"/>
        <v>Powerco</v>
      </c>
      <c r="B165" s="104">
        <f t="shared" si="89"/>
        <v>2002</v>
      </c>
      <c r="C165" s="104">
        <f>C164+1</f>
        <v>2018</v>
      </c>
      <c r="D165" s="104">
        <v>2</v>
      </c>
      <c r="E165" s="17">
        <f>[3]Sheet1!$M67</f>
        <v>70422.069412066543</v>
      </c>
      <c r="F165">
        <f t="shared" si="84"/>
        <v>1.3404204496621166</v>
      </c>
      <c r="G165" s="18">
        <f>'NZ MaxDemand Calcs'!N166</f>
        <v>995.88894424757029</v>
      </c>
      <c r="H165" s="3">
        <f t="shared" si="86"/>
        <v>1006.1431586166566</v>
      </c>
      <c r="I165" s="18">
        <f>[4]Sheet1!$M66</f>
        <v>337134.5</v>
      </c>
      <c r="J165" s="18">
        <f>[5]Sheet1!$M127</f>
        <v>28114.51109399999</v>
      </c>
      <c r="K165" s="18">
        <f>[5]Sheet1!$M133</f>
        <v>6413.9254179999998</v>
      </c>
      <c r="L165" s="19">
        <f t="shared" si="81"/>
        <v>0.22813576222454093</v>
      </c>
      <c r="M165" s="131"/>
      <c r="N165" s="42"/>
      <c r="O165" s="3">
        <f t="shared" si="88"/>
        <v>67098.378798845995</v>
      </c>
    </row>
    <row r="166" spans="1:15" s="9" customFormat="1">
      <c r="A166" s="104" t="str">
        <f t="shared" si="89"/>
        <v>Powerco</v>
      </c>
      <c r="B166" s="104">
        <f t="shared" si="89"/>
        <v>2002</v>
      </c>
      <c r="C166" s="104">
        <f>C165+1</f>
        <v>2019</v>
      </c>
      <c r="D166" s="104">
        <v>2</v>
      </c>
      <c r="E166" s="17">
        <f>[8]Sheet1!$M$20</f>
        <v>87938.577067936509</v>
      </c>
      <c r="F166">
        <f t="shared" si="84"/>
        <v>1.3740587734764929</v>
      </c>
      <c r="G166" s="18">
        <f>'NZ MaxDemand Calcs'!N167</f>
        <v>1016.9835818626248</v>
      </c>
      <c r="H166" s="3">
        <f t="shared" si="86"/>
        <v>1016.9835818626248</v>
      </c>
      <c r="I166" s="18">
        <f>[9]Sheet1!$M$18</f>
        <v>340378</v>
      </c>
      <c r="J166" s="18">
        <f>[10]Sheet1!$M$39</f>
        <v>28322.220612000001</v>
      </c>
      <c r="K166" s="18">
        <f>[10]Sheet1!$M$38</f>
        <v>6666.7073060000002</v>
      </c>
      <c r="L166" s="19">
        <f t="shared" si="81"/>
        <v>0.23538787432420979</v>
      </c>
      <c r="M166" s="131"/>
      <c r="N166" s="42"/>
      <c r="O166" s="3">
        <f t="shared" si="88"/>
        <v>83788.16476706494</v>
      </c>
    </row>
    <row r="167" spans="1:15" s="9" customFormat="1">
      <c r="A167" s="104" t="str">
        <f t="shared" si="89"/>
        <v>Powerco</v>
      </c>
      <c r="B167" s="104">
        <f t="shared" si="89"/>
        <v>2002</v>
      </c>
      <c r="C167" s="104">
        <f>C166+1</f>
        <v>2020</v>
      </c>
      <c r="D167" s="104">
        <v>2</v>
      </c>
      <c r="E167" s="17">
        <f>[11]Sheet1!$M$20</f>
        <v>89783.684829999998</v>
      </c>
      <c r="F167" s="142">
        <f t="shared" si="84"/>
        <v>1.4000516345247649</v>
      </c>
      <c r="G167" s="18">
        <f>'NZ MaxDemand Calcs'!N168</f>
        <v>1024.7552904576448</v>
      </c>
      <c r="H167" s="3">
        <f t="shared" ref="H167" si="90">IF(G167&gt;H166,G167,H166)</f>
        <v>1024.7552904576448</v>
      </c>
      <c r="I167" s="18">
        <f>[12]Sheet1!$M$16</f>
        <v>344184</v>
      </c>
      <c r="J167" s="18">
        <f>[13]Sheet1!$M$38</f>
        <v>28441.207031000002</v>
      </c>
      <c r="K167" s="18">
        <f>[13]Sheet1!$M$39</f>
        <v>6806.0307409999996</v>
      </c>
      <c r="L167" s="19">
        <f t="shared" si="81"/>
        <v>0.23930175444317975</v>
      </c>
      <c r="M167" s="131"/>
      <c r="N167" s="42"/>
      <c r="O167" s="3">
        <f t="shared" si="88"/>
        <v>85546.18949677296</v>
      </c>
    </row>
    <row r="168" spans="1:15">
      <c r="A168" s="101" t="str">
        <f>'[1]EDB Database'!A474</f>
        <v>The Lines Company</v>
      </c>
      <c r="B168" s="101">
        <v>2017</v>
      </c>
      <c r="C168" s="102">
        <f>'[1]EDB Database'!B474</f>
        <v>2006</v>
      </c>
      <c r="D168" s="101">
        <v>2</v>
      </c>
      <c r="E168" s="17">
        <f t="shared" ref="E168:E173" si="91">E169*M168/M169</f>
        <v>4519.7889212407272</v>
      </c>
      <c r="F168">
        <f t="shared" ref="F168:F182" si="92">F153</f>
        <v>1</v>
      </c>
      <c r="G168" s="18">
        <f>'NZ MaxDemand Calcs'!N169</f>
        <v>65.983076923076936</v>
      </c>
      <c r="H168" s="3">
        <f>G168</f>
        <v>65.983076923076936</v>
      </c>
      <c r="I168" s="18">
        <f>AVERAGE(N165,'[2]EDB Database'!$F$473)</f>
        <v>25535</v>
      </c>
      <c r="J168" s="18">
        <f>'[2]EDB Database'!$N474</f>
        <v>4409.1000000000004</v>
      </c>
      <c r="K168" s="18">
        <f>'[2]EDB Database'!$P474</f>
        <v>247.5</v>
      </c>
      <c r="L168" s="19">
        <f t="shared" si="81"/>
        <v>5.6133904878546637E-2</v>
      </c>
      <c r="M168" s="18">
        <f>'[2]EDB Database'!$G474/1000</f>
        <v>4846.5994000000001</v>
      </c>
      <c r="N168" s="18">
        <f>'[2]EDB Database'!$F474</f>
        <v>26181</v>
      </c>
      <c r="O168" s="3">
        <f t="shared" ref="O168:O174" si="93">M168</f>
        <v>4846.5994000000001</v>
      </c>
    </row>
    <row r="169" spans="1:15">
      <c r="A169" s="101" t="str">
        <f>'[1]EDB Database'!A475</f>
        <v>The Lines Company</v>
      </c>
      <c r="B169" s="101">
        <v>2017</v>
      </c>
      <c r="C169" s="102">
        <f>'[1]EDB Database'!B475</f>
        <v>2007</v>
      </c>
      <c r="D169" s="101">
        <v>2</v>
      </c>
      <c r="E169" s="17">
        <f t="shared" si="91"/>
        <v>4681.9796633850283</v>
      </c>
      <c r="F169">
        <f t="shared" si="92"/>
        <v>1.0438528231223547</v>
      </c>
      <c r="G169" s="18">
        <f>'NZ MaxDemand Calcs'!N170</f>
        <v>69.228923076923081</v>
      </c>
      <c r="H169" s="3">
        <f t="shared" ref="H169:H181" si="94">IF(G169&gt;H168,G169,H168)</f>
        <v>69.228923076923081</v>
      </c>
      <c r="I169" s="18">
        <f t="shared" ref="I169:I173" si="95">AVERAGE(N168:N169)</f>
        <v>24770</v>
      </c>
      <c r="J169" s="18">
        <f>'[2]EDB Database'!$N475</f>
        <v>4380.8</v>
      </c>
      <c r="K169" s="18">
        <f>'[2]EDB Database'!$P475</f>
        <v>242</v>
      </c>
      <c r="L169" s="19">
        <f t="shared" si="81"/>
        <v>5.5241051862673481E-2</v>
      </c>
      <c r="M169" s="18">
        <f>'[2]EDB Database'!$G475/1000</f>
        <v>5020.5175999999992</v>
      </c>
      <c r="N169" s="18">
        <f>'[2]EDB Database'!$F475</f>
        <v>23359</v>
      </c>
      <c r="O169" s="3">
        <f t="shared" si="93"/>
        <v>5020.5175999999992</v>
      </c>
    </row>
    <row r="170" spans="1:15">
      <c r="A170" s="103" t="str">
        <f>'[1]EDB Database'!A476</f>
        <v>The Lines Company</v>
      </c>
      <c r="B170" s="101">
        <v>2017</v>
      </c>
      <c r="C170" s="102">
        <f>'[1]EDB Database'!B476</f>
        <v>2008</v>
      </c>
      <c r="D170" s="101">
        <v>2</v>
      </c>
      <c r="E170" s="17">
        <f t="shared" si="91"/>
        <v>5531.9999999999991</v>
      </c>
      <c r="F170">
        <f t="shared" si="92"/>
        <v>1.0903851002750273</v>
      </c>
      <c r="G170" s="18">
        <f>'NZ MaxDemand Calcs'!N171</f>
        <v>77</v>
      </c>
      <c r="H170" s="3">
        <f t="shared" si="94"/>
        <v>77</v>
      </c>
      <c r="I170" s="18">
        <f t="shared" si="95"/>
        <v>23293.5</v>
      </c>
      <c r="J170" s="18">
        <f>'[2]EDB Database'!$N476</f>
        <v>4359.96</v>
      </c>
      <c r="K170" s="18">
        <f>'[2]EDB Database'!$P476</f>
        <v>209.94</v>
      </c>
      <c r="L170" s="19">
        <f t="shared" si="81"/>
        <v>4.8151817906586299E-2</v>
      </c>
      <c r="M170" s="18">
        <f>'[2]EDB Database'!$G476/1000</f>
        <v>5932</v>
      </c>
      <c r="N170" s="18">
        <f>'[2]EDB Database'!$F476</f>
        <v>23228</v>
      </c>
      <c r="O170" s="3">
        <f t="shared" si="93"/>
        <v>5932</v>
      </c>
    </row>
    <row r="171" spans="1:15">
      <c r="A171" s="101" t="str">
        <f>'[1]EDB Database'!A477</f>
        <v>The Lines Company</v>
      </c>
      <c r="B171" s="101">
        <v>2017</v>
      </c>
      <c r="C171" s="102">
        <f>'[1]EDB Database'!B477</f>
        <v>2009</v>
      </c>
      <c r="D171" s="101">
        <v>2</v>
      </c>
      <c r="E171" s="17">
        <f t="shared" si="91"/>
        <v>6598.9999999999991</v>
      </c>
      <c r="F171">
        <f t="shared" si="92"/>
        <v>1.1562469092885455</v>
      </c>
      <c r="G171" s="18">
        <f>'NZ MaxDemand Calcs'!N172</f>
        <v>75</v>
      </c>
      <c r="H171" s="3">
        <f t="shared" si="94"/>
        <v>77</v>
      </c>
      <c r="I171" s="18">
        <f t="shared" si="95"/>
        <v>23706.5</v>
      </c>
      <c r="J171" s="18">
        <f>'[2]EDB Database'!$N477</f>
        <v>4416.79</v>
      </c>
      <c r="K171" s="18">
        <f>'[2]EDB Database'!$P477</f>
        <v>272.79000000000002</v>
      </c>
      <c r="L171" s="19">
        <f t="shared" si="81"/>
        <v>6.1762048908822927E-2</v>
      </c>
      <c r="M171" s="18">
        <f>'[2]EDB Database'!$G477/1000</f>
        <v>7076.1511207519879</v>
      </c>
      <c r="N171" s="18">
        <f>'[2]EDB Database'!$F477</f>
        <v>24185</v>
      </c>
      <c r="O171" s="3">
        <f t="shared" si="93"/>
        <v>7076.1511207519879</v>
      </c>
    </row>
    <row r="172" spans="1:15">
      <c r="A172" s="101" t="str">
        <f>'[1]EDB Database'!A478</f>
        <v>The Lines Company</v>
      </c>
      <c r="B172" s="101">
        <v>2017</v>
      </c>
      <c r="C172" s="102">
        <f>'[1]EDB Database'!B478</f>
        <v>2010</v>
      </c>
      <c r="D172" s="101">
        <v>2</v>
      </c>
      <c r="E172" s="17">
        <f t="shared" si="91"/>
        <v>6869</v>
      </c>
      <c r="F172">
        <f t="shared" si="92"/>
        <v>1.1601923412470114</v>
      </c>
      <c r="G172" s="18">
        <f>'NZ MaxDemand Calcs'!N173</f>
        <v>79.88</v>
      </c>
      <c r="H172" s="3">
        <f t="shared" si="94"/>
        <v>79.88</v>
      </c>
      <c r="I172" s="18">
        <f t="shared" si="95"/>
        <v>24310</v>
      </c>
      <c r="J172" s="18">
        <f>'[2]EDB Database'!$N478</f>
        <v>4490.8999999999996</v>
      </c>
      <c r="K172" s="18">
        <f>'[2]EDB Database'!$P478</f>
        <v>284.89999999999998</v>
      </c>
      <c r="L172" s="19">
        <f t="shared" si="81"/>
        <v>6.3439399674898131E-2</v>
      </c>
      <c r="M172" s="18">
        <f>'[2]EDB Database'!$G478/1000</f>
        <v>7365.6738973246565</v>
      </c>
      <c r="N172" s="18">
        <f>'[2]EDB Database'!$F478</f>
        <v>24435</v>
      </c>
      <c r="O172" s="3">
        <f t="shared" si="93"/>
        <v>7365.6738973246565</v>
      </c>
    </row>
    <row r="173" spans="1:15">
      <c r="A173" s="101" t="str">
        <f>'[1]EDB Database'!A479</f>
        <v>The Lines Company</v>
      </c>
      <c r="B173" s="101">
        <v>2017</v>
      </c>
      <c r="C173" s="102">
        <f>'[1]EDB Database'!B479</f>
        <v>2011</v>
      </c>
      <c r="D173" s="101">
        <v>2</v>
      </c>
      <c r="E173" s="17">
        <f t="shared" si="91"/>
        <v>7147.3181249999998</v>
      </c>
      <c r="F173">
        <f t="shared" si="92"/>
        <v>1.1900846681215445</v>
      </c>
      <c r="G173" s="18">
        <f>'NZ MaxDemand Calcs'!N174</f>
        <v>79.88</v>
      </c>
      <c r="H173" s="3">
        <f t="shared" si="94"/>
        <v>79.88</v>
      </c>
      <c r="I173" s="18">
        <f t="shared" si="95"/>
        <v>24454.5</v>
      </c>
      <c r="J173" s="18">
        <f>'[2]EDB Database'!$N479</f>
        <v>5001</v>
      </c>
      <c r="K173" s="18">
        <f>'[2]EDB Database'!$P479</f>
        <v>294</v>
      </c>
      <c r="L173" s="19">
        <f t="shared" si="81"/>
        <v>5.8788242351529692E-2</v>
      </c>
      <c r="M173" s="18">
        <f>'[2]EDB Database'!$G479/1000</f>
        <v>7664.1162540672449</v>
      </c>
      <c r="N173" s="18">
        <f>'[2]EDB Database'!$F479</f>
        <v>24474</v>
      </c>
      <c r="O173" s="3">
        <f t="shared" si="93"/>
        <v>7664.1162540672449</v>
      </c>
    </row>
    <row r="174" spans="1:15">
      <c r="A174" s="101" t="str">
        <f>'[1]EDB Database'!A480</f>
        <v>The Lines Company</v>
      </c>
      <c r="B174" s="101">
        <v>2017</v>
      </c>
      <c r="C174" s="102">
        <f>'[1]EDB Database'!B480</f>
        <v>2012</v>
      </c>
      <c r="D174" s="101">
        <v>2</v>
      </c>
      <c r="E174" s="17">
        <f>E175*M174/M175</f>
        <v>8671.8429840000099</v>
      </c>
      <c r="F174">
        <f t="shared" si="92"/>
        <v>1.2216652483575092</v>
      </c>
      <c r="G174" s="18">
        <f>'NZ MaxDemand Calcs'!N175</f>
        <v>70</v>
      </c>
      <c r="H174" s="3">
        <f t="shared" si="94"/>
        <v>79.88</v>
      </c>
      <c r="I174" s="18">
        <f>AVERAGE(N173:N174)</f>
        <v>24394.5</v>
      </c>
      <c r="J174" s="18">
        <f>'[2]EDB Database'!$N480</f>
        <v>4417.7</v>
      </c>
      <c r="K174" s="18">
        <f>'[2]EDB Database'!$P480</f>
        <v>295.7</v>
      </c>
      <c r="L174" s="19">
        <f t="shared" si="81"/>
        <v>6.6935283065848741E-2</v>
      </c>
      <c r="M174" s="18">
        <f>'[2]EDB Database'!$G480/1000</f>
        <v>9298.8742915922012</v>
      </c>
      <c r="N174" s="18">
        <f>'[2]EDB Database'!$F480</f>
        <v>24315</v>
      </c>
      <c r="O174" s="3">
        <f t="shared" si="93"/>
        <v>9298.8742915922012</v>
      </c>
    </row>
    <row r="175" spans="1:15">
      <c r="A175" s="101" t="str">
        <f>'[1]EDB Database'!A481</f>
        <v>The Lines Company</v>
      </c>
      <c r="B175" s="101">
        <v>2017</v>
      </c>
      <c r="C175" s="102">
        <f>'[1]EDB Database'!B481</f>
        <v>2013</v>
      </c>
      <c r="D175" s="101">
        <v>2</v>
      </c>
      <c r="E175" s="17">
        <f>[3]Sheet1!$M68</f>
        <v>9736.5836439999948</v>
      </c>
      <c r="F175">
        <f t="shared" si="92"/>
        <v>1.2421813017565195</v>
      </c>
      <c r="G175" s="18">
        <f>'NZ MaxDemand Calcs'!N176</f>
        <v>66.443457695433523</v>
      </c>
      <c r="H175" s="3">
        <f t="shared" si="94"/>
        <v>79.88</v>
      </c>
      <c r="I175" s="18">
        <f>[4]Sheet1!$M67</f>
        <v>23508</v>
      </c>
      <c r="J175" s="18">
        <f>[5]Sheet1!$M134</f>
        <v>4340.0304100000103</v>
      </c>
      <c r="K175" s="18">
        <f>[5]Sheet1!$M140</f>
        <v>299.22651999999999</v>
      </c>
      <c r="L175" s="19">
        <f t="shared" si="81"/>
        <v>6.8945719668355804E-2</v>
      </c>
      <c r="M175" s="18">
        <f>'[2]EDB Database'!$G481/1000</f>
        <v>10440.602707195945</v>
      </c>
      <c r="O175" s="3">
        <f>M175</f>
        <v>10440.602707195945</v>
      </c>
    </row>
    <row r="176" spans="1:15" s="9" customFormat="1">
      <c r="A176" s="104" t="str">
        <f>'[1]EDB Database'!A482</f>
        <v>The Lines Company</v>
      </c>
      <c r="B176" s="104">
        <v>2017</v>
      </c>
      <c r="C176" s="105">
        <f>'[1]EDB Database'!B482</f>
        <v>2014</v>
      </c>
      <c r="D176" s="104">
        <v>2</v>
      </c>
      <c r="E176" s="17">
        <f>[3]Sheet1!$M69</f>
        <v>10693</v>
      </c>
      <c r="F176">
        <f t="shared" si="92"/>
        <v>1.27237461042106</v>
      </c>
      <c r="G176" s="18">
        <f>'NZ MaxDemand Calcs'!N177</f>
        <v>65.882352941176464</v>
      </c>
      <c r="H176" s="3">
        <f t="shared" si="94"/>
        <v>79.88</v>
      </c>
      <c r="I176" s="18">
        <f>[4]Sheet1!$M68</f>
        <v>23595</v>
      </c>
      <c r="J176" s="18">
        <f>[5]Sheet1!$M135</f>
        <v>4250.6271400000151</v>
      </c>
      <c r="K176" s="18">
        <f>[5]Sheet1!$M141</f>
        <v>252.29101</v>
      </c>
      <c r="L176" s="19">
        <f t="shared" si="81"/>
        <v>5.9353832197100005E-2</v>
      </c>
      <c r="M176" s="18">
        <f>'[2]EDB Database'!$G482/1000</f>
        <v>11466.174258857554</v>
      </c>
      <c r="N176" s="42"/>
      <c r="O176" s="3">
        <f>O175*E176/E175</f>
        <v>11466.174258857556</v>
      </c>
    </row>
    <row r="177" spans="1:15" s="9" customFormat="1">
      <c r="A177" s="104" t="str">
        <f>'[7]2015 data'!P$35</f>
        <v>The Lines Company</v>
      </c>
      <c r="B177" s="104">
        <f>'[7]2015 data'!Q$35</f>
        <v>2017</v>
      </c>
      <c r="C177" s="104">
        <f>'[7]2015 data'!R$35</f>
        <v>2015</v>
      </c>
      <c r="D177" s="104">
        <f>'[7]2015 data'!S$35</f>
        <v>2</v>
      </c>
      <c r="E177" s="17">
        <f>[3]Sheet1!$M70</f>
        <v>10062</v>
      </c>
      <c r="F177">
        <f t="shared" si="92"/>
        <v>1.2816685951411126</v>
      </c>
      <c r="G177" s="18">
        <f>'NZ MaxDemand Calcs'!N178</f>
        <v>64.947203279411752</v>
      </c>
      <c r="H177" s="3">
        <f t="shared" si="94"/>
        <v>79.88</v>
      </c>
      <c r="I177" s="18">
        <f>[4]Sheet1!$M69</f>
        <v>23584</v>
      </c>
      <c r="J177" s="18">
        <f>[5]Sheet1!$M136</f>
        <v>4330.1400389689588</v>
      </c>
      <c r="K177" s="18">
        <f>[5]Sheet1!$M142</f>
        <v>301.65611999999999</v>
      </c>
      <c r="L177" s="19">
        <f t="shared" si="81"/>
        <v>6.9664287363746955E-2</v>
      </c>
      <c r="M177" s="131"/>
      <c r="N177" s="42"/>
      <c r="O177" s="3">
        <f t="shared" ref="O177:O182" si="96">O176*E177/E176</f>
        <v>10789.548806941433</v>
      </c>
    </row>
    <row r="178" spans="1:15" s="9" customFormat="1">
      <c r="A178" s="104" t="str">
        <f t="shared" ref="A178:B182" si="97">A177</f>
        <v>The Lines Company</v>
      </c>
      <c r="B178" s="104">
        <f t="shared" si="97"/>
        <v>2017</v>
      </c>
      <c r="C178" s="104">
        <f>C177+1</f>
        <v>2016</v>
      </c>
      <c r="D178" s="104">
        <v>2</v>
      </c>
      <c r="E178" s="17">
        <f>[3]Sheet1!$M71</f>
        <v>11215</v>
      </c>
      <c r="F178">
        <f t="shared" si="92"/>
        <v>1.2867539916420168</v>
      </c>
      <c r="G178" s="18">
        <f>'NZ MaxDemand Calcs'!N179</f>
        <v>74.262955828571776</v>
      </c>
      <c r="H178" s="3">
        <f t="shared" si="94"/>
        <v>79.88</v>
      </c>
      <c r="I178" s="18">
        <f>[4]Sheet1!$M70</f>
        <v>23652</v>
      </c>
      <c r="J178" s="18">
        <f>[5]Sheet1!$M137</f>
        <v>4368.7104365912592</v>
      </c>
      <c r="K178" s="18">
        <f>[5]Sheet1!$M143</f>
        <v>307.55912000000001</v>
      </c>
      <c r="L178" s="19">
        <f t="shared" si="81"/>
        <v>7.0400436115875153E-2</v>
      </c>
      <c r="M178" s="131"/>
      <c r="N178" s="42"/>
      <c r="O178" s="3">
        <f t="shared" si="96"/>
        <v>12025.918293564717</v>
      </c>
    </row>
    <row r="179" spans="1:15" s="9" customFormat="1">
      <c r="A179" s="104" t="str">
        <f t="shared" si="97"/>
        <v>The Lines Company</v>
      </c>
      <c r="B179" s="104">
        <f t="shared" si="97"/>
        <v>2017</v>
      </c>
      <c r="C179" s="104">
        <f>C178+1</f>
        <v>2017</v>
      </c>
      <c r="D179" s="104">
        <v>2</v>
      </c>
      <c r="E179" s="17">
        <f>[3]Sheet1!$M72</f>
        <v>11785.4843055</v>
      </c>
      <c r="F179">
        <f t="shared" si="92"/>
        <v>1.3063682360796467</v>
      </c>
      <c r="G179" s="18">
        <f>'NZ MaxDemand Calcs'!N180</f>
        <v>83.189877065837834</v>
      </c>
      <c r="H179" s="3">
        <f t="shared" si="94"/>
        <v>83.189877065837834</v>
      </c>
      <c r="I179" s="18">
        <f>[4]Sheet1!$M71</f>
        <v>23691</v>
      </c>
      <c r="J179" s="18">
        <f>[5]Sheet1!$M138</f>
        <v>4346.5890500000014</v>
      </c>
      <c r="K179" s="18">
        <f>[5]Sheet1!$M144</f>
        <v>309.32411999999999</v>
      </c>
      <c r="L179" s="19">
        <f t="shared" si="81"/>
        <v>7.1164795300811767E-2</v>
      </c>
      <c r="M179" s="131"/>
      <c r="N179" s="42"/>
      <c r="O179" s="3">
        <f t="shared" si="96"/>
        <v>12637.652368081346</v>
      </c>
    </row>
    <row r="180" spans="1:15" s="9" customFormat="1">
      <c r="A180" s="104" t="str">
        <f t="shared" si="97"/>
        <v>The Lines Company</v>
      </c>
      <c r="B180" s="104">
        <f t="shared" si="97"/>
        <v>2017</v>
      </c>
      <c r="C180" s="104">
        <f>C179+1</f>
        <v>2018</v>
      </c>
      <c r="D180" s="104">
        <v>2</v>
      </c>
      <c r="E180" s="17">
        <f>[3]Sheet1!$M73</f>
        <v>12200</v>
      </c>
      <c r="F180">
        <f t="shared" si="92"/>
        <v>1.3404204496621166</v>
      </c>
      <c r="G180" s="18">
        <f>'NZ MaxDemand Calcs'!N181</f>
        <v>77.819032460405481</v>
      </c>
      <c r="H180" s="3">
        <f t="shared" si="94"/>
        <v>83.189877065837834</v>
      </c>
      <c r="I180" s="18">
        <v>23768</v>
      </c>
      <c r="J180" s="18">
        <f>[5]Sheet1!$M139</f>
        <v>4423.0749300000007</v>
      </c>
      <c r="K180" s="18">
        <f>[5]Sheet1!$M145</f>
        <v>317.79712000000001</v>
      </c>
      <c r="L180" s="19">
        <f t="shared" si="81"/>
        <v>7.1849816028325783E-2</v>
      </c>
      <c r="M180" s="131"/>
      <c r="N180" s="42"/>
      <c r="O180" s="3">
        <f t="shared" si="96"/>
        <v>13082.140274765005</v>
      </c>
    </row>
    <row r="181" spans="1:15" s="9" customFormat="1">
      <c r="A181" s="104" t="str">
        <f t="shared" si="97"/>
        <v>The Lines Company</v>
      </c>
      <c r="B181" s="104">
        <f t="shared" si="97"/>
        <v>2017</v>
      </c>
      <c r="C181" s="104">
        <f>C180+1</f>
        <v>2019</v>
      </c>
      <c r="D181" s="104">
        <v>2</v>
      </c>
      <c r="E181" s="17">
        <f>[8]Sheet1!$M$22</f>
        <v>14172.532937452999</v>
      </c>
      <c r="F181">
        <f t="shared" si="92"/>
        <v>1.3740587734764929</v>
      </c>
      <c r="G181" s="18">
        <f>'NZ MaxDemand Calcs'!N182</f>
        <v>74.817798479813732</v>
      </c>
      <c r="H181" s="3">
        <f t="shared" si="94"/>
        <v>83.189877065837834</v>
      </c>
      <c r="I181" s="18">
        <f>[9]Sheet1!$M$20</f>
        <v>23579</v>
      </c>
      <c r="J181" s="18">
        <f>[10]Sheet1!$M$43</f>
        <v>4384.6258900000003</v>
      </c>
      <c r="K181" s="18">
        <f>[10]Sheet1!$M$42</f>
        <v>320.03111999999999</v>
      </c>
      <c r="L181" s="19">
        <f t="shared" si="81"/>
        <v>7.2989378804219934E-2</v>
      </c>
      <c r="M181" s="131"/>
      <c r="N181" s="42"/>
      <c r="O181" s="3">
        <f t="shared" si="96"/>
        <v>15197.300322662906</v>
      </c>
    </row>
    <row r="182" spans="1:15" s="9" customFormat="1">
      <c r="A182" s="104" t="str">
        <f t="shared" si="97"/>
        <v>The Lines Company</v>
      </c>
      <c r="B182" s="104">
        <f t="shared" si="97"/>
        <v>2017</v>
      </c>
      <c r="C182" s="104">
        <f>C181+1</f>
        <v>2020</v>
      </c>
      <c r="D182" s="104">
        <v>2</v>
      </c>
      <c r="E182" s="17">
        <f>[11]Sheet1!$M$22</f>
        <v>15991.2442477</v>
      </c>
      <c r="F182" s="142">
        <f t="shared" si="92"/>
        <v>1.4000516345247649</v>
      </c>
      <c r="G182" s="18">
        <f>'NZ MaxDemand Calcs'!N183</f>
        <v>80.962848647058834</v>
      </c>
      <c r="H182" s="3">
        <f t="shared" ref="H182" si="98">IF(G182&gt;H181,G182,H181)</f>
        <v>83.189877065837834</v>
      </c>
      <c r="I182" s="94">
        <v>23687</v>
      </c>
      <c r="J182" s="18">
        <f>[13]Sheet1!$M$43</f>
        <v>4313.7070000000003</v>
      </c>
      <c r="K182" s="18">
        <f>[13]Sheet1!$M$42</f>
        <v>323.09899999999999</v>
      </c>
      <c r="L182" s="19">
        <f t="shared" si="81"/>
        <v>7.4900543778239917E-2</v>
      </c>
      <c r="M182" s="131"/>
      <c r="N182" s="42"/>
      <c r="O182" s="3">
        <f t="shared" si="96"/>
        <v>17147.51642757708</v>
      </c>
    </row>
    <row r="183" spans="1:15">
      <c r="A183" s="101" t="str">
        <f>'[1]EDB Database'!A497</f>
        <v>The Power Company</v>
      </c>
      <c r="B183" s="101">
        <v>2011</v>
      </c>
      <c r="C183" s="102">
        <f>'[1]EDB Database'!B497</f>
        <v>2006</v>
      </c>
      <c r="D183" s="101">
        <v>2</v>
      </c>
      <c r="E183" s="17">
        <f t="shared" ref="E183:E188" si="99">E184*M183/M184</f>
        <v>7639.017445041356</v>
      </c>
      <c r="F183">
        <f t="shared" ref="F183:F197" si="100">F168</f>
        <v>1</v>
      </c>
      <c r="G183" s="18">
        <f>'NZ MaxDemand Calcs'!N184</f>
        <v>134.84611949017963</v>
      </c>
      <c r="H183" s="3">
        <f>G183</f>
        <v>134.84611949017963</v>
      </c>
      <c r="I183" s="18">
        <f>AVERAGE(N180,'[2]EDB Database'!$F$496)</f>
        <v>31967</v>
      </c>
      <c r="J183" s="18">
        <f>'[2]EDB Database'!$N497</f>
        <v>8541</v>
      </c>
      <c r="K183" s="18">
        <f>'[2]EDB Database'!$P497</f>
        <v>257</v>
      </c>
      <c r="L183" s="19">
        <f t="shared" si="81"/>
        <v>3.009015337782461E-2</v>
      </c>
      <c r="M183" s="18">
        <f>'[2]EDB Database'!$G497/1000</f>
        <v>8032.14</v>
      </c>
      <c r="N183" s="18">
        <f>'[2]EDB Database'!$F497</f>
        <v>32243</v>
      </c>
      <c r="O183" s="3">
        <f t="shared" ref="O183:O189" si="101">M183</f>
        <v>8032.14</v>
      </c>
    </row>
    <row r="184" spans="1:15">
      <c r="A184" s="101" t="str">
        <f>'[1]EDB Database'!A498</f>
        <v>The Power Company</v>
      </c>
      <c r="B184" s="101">
        <v>2011</v>
      </c>
      <c r="C184" s="102">
        <f>'[1]EDB Database'!B498</f>
        <v>2007</v>
      </c>
      <c r="D184" s="101">
        <v>2</v>
      </c>
      <c r="E184" s="17">
        <f t="shared" si="99"/>
        <v>8863.1106114083996</v>
      </c>
      <c r="F184">
        <f t="shared" si="100"/>
        <v>1.0438528231223547</v>
      </c>
      <c r="G184" s="18">
        <f>'NZ MaxDemand Calcs'!N185</f>
        <v>134.73494033719237</v>
      </c>
      <c r="H184" s="3">
        <f t="shared" ref="H184:H196" si="102">IF(G184&gt;H183,G184,H183)</f>
        <v>134.84611949017963</v>
      </c>
      <c r="I184" s="18">
        <f t="shared" ref="I184:I188" si="103">AVERAGE(N183:N184)</f>
        <v>32405.5</v>
      </c>
      <c r="J184" s="18">
        <f>'[2]EDB Database'!$N498</f>
        <v>8545</v>
      </c>
      <c r="K184" s="18">
        <f>'[2]EDB Database'!$P498</f>
        <v>248</v>
      </c>
      <c r="L184" s="19">
        <f t="shared" si="81"/>
        <v>2.9022820362785254E-2</v>
      </c>
      <c r="M184" s="18">
        <f>'[2]EDB Database'!$G498/1000</f>
        <v>9319.2279999999992</v>
      </c>
      <c r="N184" s="18">
        <f>'[2]EDB Database'!$F498</f>
        <v>32568</v>
      </c>
      <c r="O184" s="3">
        <f t="shared" si="101"/>
        <v>9319.2279999999992</v>
      </c>
    </row>
    <row r="185" spans="1:15">
      <c r="A185" s="103" t="str">
        <f>'[1]EDB Database'!A499</f>
        <v>The Power Company</v>
      </c>
      <c r="B185" s="101">
        <v>2011</v>
      </c>
      <c r="C185" s="102">
        <f>'[1]EDB Database'!B499</f>
        <v>2008</v>
      </c>
      <c r="D185" s="101">
        <v>2</v>
      </c>
      <c r="E185" s="17">
        <f t="shared" si="99"/>
        <v>9014</v>
      </c>
      <c r="F185">
        <f t="shared" si="100"/>
        <v>1.0903851002750273</v>
      </c>
      <c r="G185" s="18">
        <f>'NZ MaxDemand Calcs'!N186</f>
        <v>143.744</v>
      </c>
      <c r="H185" s="3">
        <f t="shared" si="102"/>
        <v>143.744</v>
      </c>
      <c r="I185" s="18">
        <f t="shared" si="103"/>
        <v>32783</v>
      </c>
      <c r="J185" s="18">
        <f>'[2]EDB Database'!$N499</f>
        <v>8529.3621199999998</v>
      </c>
      <c r="K185" s="18">
        <f>'[2]EDB Database'!$P499</f>
        <v>275.82600000000002</v>
      </c>
      <c r="L185" s="19">
        <f t="shared" si="81"/>
        <v>3.2338408912576458E-2</v>
      </c>
      <c r="M185" s="18">
        <f>'[2]EDB Database'!$G499/1000</f>
        <v>9477.8825262399987</v>
      </c>
      <c r="N185" s="18">
        <f>'[2]EDB Database'!$F499</f>
        <v>32998</v>
      </c>
      <c r="O185" s="3">
        <f t="shared" si="101"/>
        <v>9477.8825262399987</v>
      </c>
    </row>
    <row r="186" spans="1:15">
      <c r="A186" s="101" t="str">
        <f>'[1]EDB Database'!A500</f>
        <v>The Power Company</v>
      </c>
      <c r="B186" s="101">
        <v>2011</v>
      </c>
      <c r="C186" s="102">
        <f>'[1]EDB Database'!B500</f>
        <v>2009</v>
      </c>
      <c r="D186" s="101">
        <v>2</v>
      </c>
      <c r="E186" s="17">
        <f t="shared" si="99"/>
        <v>10589.999999999998</v>
      </c>
      <c r="F186">
        <f t="shared" si="100"/>
        <v>1.1562469092885455</v>
      </c>
      <c r="G186" s="18">
        <f>'NZ MaxDemand Calcs'!N187</f>
        <v>144.804</v>
      </c>
      <c r="H186" s="3">
        <f t="shared" si="102"/>
        <v>144.804</v>
      </c>
      <c r="I186" s="18">
        <f t="shared" si="103"/>
        <v>33345</v>
      </c>
      <c r="J186" s="18">
        <f>'[2]EDB Database'!$N500</f>
        <v>8580.2140450000006</v>
      </c>
      <c r="K186" s="18">
        <f>'[2]EDB Database'!$P500</f>
        <v>298.12923999999998</v>
      </c>
      <c r="L186" s="19">
        <f t="shared" si="81"/>
        <v>3.4746130858324058E-2</v>
      </c>
      <c r="M186" s="18">
        <f>'[2]EDB Database'!$G500/1000</f>
        <v>11134.987347779184</v>
      </c>
      <c r="N186" s="18">
        <f>'[2]EDB Database'!$F500</f>
        <v>33692</v>
      </c>
      <c r="O186" s="3">
        <f t="shared" si="101"/>
        <v>11134.987347779184</v>
      </c>
    </row>
    <row r="187" spans="1:15">
      <c r="A187" s="101" t="str">
        <f>'[1]EDB Database'!A501</f>
        <v>The Power Company</v>
      </c>
      <c r="B187" s="101">
        <v>2011</v>
      </c>
      <c r="C187" s="102">
        <f>'[1]EDB Database'!B501</f>
        <v>2010</v>
      </c>
      <c r="D187" s="101">
        <v>2</v>
      </c>
      <c r="E187" s="17">
        <f t="shared" si="99"/>
        <v>11372</v>
      </c>
      <c r="F187">
        <f t="shared" si="100"/>
        <v>1.1601923412470114</v>
      </c>
      <c r="G187" s="18">
        <f>'NZ MaxDemand Calcs'!N188</f>
        <v>145.38</v>
      </c>
      <c r="H187" s="3">
        <f t="shared" si="102"/>
        <v>145.38</v>
      </c>
      <c r="I187" s="18">
        <f t="shared" si="103"/>
        <v>33871</v>
      </c>
      <c r="J187" s="18">
        <f>'[2]EDB Database'!$N501</f>
        <v>8603.1899599999997</v>
      </c>
      <c r="K187" s="18">
        <f>'[2]EDB Database'!$P501</f>
        <v>313.93041499999998</v>
      </c>
      <c r="L187" s="19">
        <f t="shared" si="81"/>
        <v>3.6490001552865865E-2</v>
      </c>
      <c r="M187" s="18">
        <f>'[2]EDB Database'!$G501/1000</f>
        <v>11957.230983847488</v>
      </c>
      <c r="N187" s="18">
        <f>'[2]EDB Database'!$F501</f>
        <v>34050</v>
      </c>
      <c r="O187" s="3">
        <f t="shared" si="101"/>
        <v>11957.230983847488</v>
      </c>
    </row>
    <row r="188" spans="1:15">
      <c r="A188" s="101" t="str">
        <f>'[1]EDB Database'!A502</f>
        <v>The Power Company</v>
      </c>
      <c r="B188" s="101">
        <v>2011</v>
      </c>
      <c r="C188" s="102">
        <f>'[1]EDB Database'!B502</f>
        <v>2011</v>
      </c>
      <c r="D188" s="101">
        <v>2</v>
      </c>
      <c r="E188" s="17">
        <f t="shared" si="99"/>
        <v>11319</v>
      </c>
      <c r="F188">
        <f t="shared" si="100"/>
        <v>1.1900846681215445</v>
      </c>
      <c r="G188" s="18">
        <f>'NZ MaxDemand Calcs'!N189</f>
        <v>150.44399999999999</v>
      </c>
      <c r="H188" s="3">
        <f t="shared" si="102"/>
        <v>150.44399999999999</v>
      </c>
      <c r="I188" s="18">
        <f t="shared" si="103"/>
        <v>34240.5</v>
      </c>
      <c r="J188" s="18">
        <f>'[2]EDB Database'!$N502</f>
        <v>8630.2946400000001</v>
      </c>
      <c r="K188" s="18">
        <f>'[2]EDB Database'!$P502</f>
        <v>323.93194999999997</v>
      </c>
      <c r="L188" s="19">
        <f t="shared" si="81"/>
        <v>3.7534286314933968E-2</v>
      </c>
      <c r="M188" s="18">
        <f>'[2]EDB Database'!$G502/1000</f>
        <v>11901.503473986082</v>
      </c>
      <c r="N188" s="18">
        <f>'[2]EDB Database'!$F502</f>
        <v>34431</v>
      </c>
      <c r="O188" s="3">
        <f t="shared" si="101"/>
        <v>11901.503473986082</v>
      </c>
    </row>
    <row r="189" spans="1:15">
      <c r="A189" s="101" t="str">
        <f>'[1]EDB Database'!A503</f>
        <v>The Power Company</v>
      </c>
      <c r="B189" s="101">
        <v>2011</v>
      </c>
      <c r="C189" s="102">
        <f>'[1]EDB Database'!B503</f>
        <v>2012</v>
      </c>
      <c r="D189" s="101">
        <v>2</v>
      </c>
      <c r="E189" s="17">
        <f>E190*M189/M190</f>
        <v>12235.999999999998</v>
      </c>
      <c r="F189">
        <f t="shared" si="100"/>
        <v>1.2216652483575092</v>
      </c>
      <c r="G189" s="18">
        <f>'NZ MaxDemand Calcs'!N190</f>
        <v>147.304</v>
      </c>
      <c r="H189" s="3">
        <f t="shared" si="102"/>
        <v>150.44399999999999</v>
      </c>
      <c r="I189" s="18">
        <f>AVERAGE(N188:N189)</f>
        <v>34495</v>
      </c>
      <c r="J189" s="18">
        <f>'[2]EDB Database'!$N503</f>
        <v>8664.5160799999994</v>
      </c>
      <c r="K189" s="18">
        <f>'[2]EDB Database'!$P503</f>
        <v>333.02981999999997</v>
      </c>
      <c r="L189" s="19">
        <f t="shared" si="81"/>
        <v>3.8436055392489961E-2</v>
      </c>
      <c r="M189" s="18">
        <f>'[2]EDB Database'!$G503/1000</f>
        <v>12865.694540833438</v>
      </c>
      <c r="N189" s="18">
        <f>'[2]EDB Database'!$F503</f>
        <v>34559</v>
      </c>
      <c r="O189" s="3">
        <f t="shared" si="101"/>
        <v>12865.694540833438</v>
      </c>
    </row>
    <row r="190" spans="1:15">
      <c r="A190" s="101" t="str">
        <f>'[1]EDB Database'!A504</f>
        <v>The Power Company</v>
      </c>
      <c r="B190" s="101">
        <v>2011</v>
      </c>
      <c r="C190" s="102">
        <f>'[1]EDB Database'!B504</f>
        <v>2013</v>
      </c>
      <c r="D190" s="101">
        <v>2</v>
      </c>
      <c r="E190" s="17">
        <f>[3]Sheet1!$M74</f>
        <v>13464.701999999999</v>
      </c>
      <c r="F190">
        <f t="shared" si="100"/>
        <v>1.2421813017565195</v>
      </c>
      <c r="G190" s="18">
        <f>'NZ MaxDemand Calcs'!N191</f>
        <v>145.94830309847632</v>
      </c>
      <c r="H190" s="3">
        <f t="shared" si="102"/>
        <v>150.44399999999999</v>
      </c>
      <c r="I190" s="18">
        <f>[4]Sheet1!$M72</f>
        <v>34578</v>
      </c>
      <c r="J190" s="18">
        <f>[5]Sheet1!$M146</f>
        <v>8690.079380000001</v>
      </c>
      <c r="K190" s="18">
        <f>[5]Sheet1!$M152</f>
        <v>343.10466000000002</v>
      </c>
      <c r="L190" s="19">
        <f t="shared" si="81"/>
        <v>3.9482338997920634E-2</v>
      </c>
      <c r="M190" s="18">
        <f>'[2]EDB Database'!$G504/1000</f>
        <v>14157.628556337781</v>
      </c>
      <c r="O190" s="3">
        <f>M190</f>
        <v>14157.628556337781</v>
      </c>
    </row>
    <row r="191" spans="1:15" s="9" customFormat="1">
      <c r="A191" s="104" t="str">
        <f>'[1]EDB Database'!A505</f>
        <v>The Power Company</v>
      </c>
      <c r="B191" s="104">
        <v>2011</v>
      </c>
      <c r="C191" s="105">
        <f>'[1]EDB Database'!B505</f>
        <v>2014</v>
      </c>
      <c r="D191" s="104">
        <v>2</v>
      </c>
      <c r="E191" s="17">
        <f>[3]Sheet1!$M75</f>
        <v>13497.526</v>
      </c>
      <c r="F191">
        <f t="shared" si="100"/>
        <v>1.27237461042106</v>
      </c>
      <c r="G191" s="18">
        <f>'NZ MaxDemand Calcs'!N192</f>
        <v>147.33197469796792</v>
      </c>
      <c r="H191" s="3">
        <f t="shared" si="102"/>
        <v>150.44399999999999</v>
      </c>
      <c r="I191" s="18">
        <f>[4]Sheet1!$M73</f>
        <v>34614.25</v>
      </c>
      <c r="J191" s="18">
        <f>[5]Sheet1!$M147</f>
        <v>8808.8112799999981</v>
      </c>
      <c r="K191" s="18">
        <f>[5]Sheet1!$M153</f>
        <v>350.69646999999998</v>
      </c>
      <c r="L191" s="19">
        <f t="shared" si="81"/>
        <v>3.9812008550602081E-2</v>
      </c>
      <c r="M191" s="18">
        <f>'[2]EDB Database'!$G505/1000</f>
        <v>14192.141759803646</v>
      </c>
      <c r="N191" s="42"/>
      <c r="O191" s="3">
        <f>O190*E191/E190</f>
        <v>14192.141759803644</v>
      </c>
    </row>
    <row r="192" spans="1:15" s="9" customFormat="1">
      <c r="A192" s="104" t="str">
        <f>'[7]2015 data'!P$36</f>
        <v>The Power Company</v>
      </c>
      <c r="B192" s="104">
        <f>'[7]2015 data'!Q$36</f>
        <v>2011</v>
      </c>
      <c r="C192" s="104">
        <f>'[7]2015 data'!R$36</f>
        <v>2015</v>
      </c>
      <c r="D192" s="104">
        <f>'[7]2015 data'!S$36</f>
        <v>2</v>
      </c>
      <c r="E192" s="17">
        <f>[3]Sheet1!$M76</f>
        <v>14413.540999999999</v>
      </c>
      <c r="F192">
        <f t="shared" si="100"/>
        <v>1.2816685951411126</v>
      </c>
      <c r="G192" s="18">
        <f>'NZ MaxDemand Calcs'!N193</f>
        <v>145.49117501468157</v>
      </c>
      <c r="H192" s="3">
        <f t="shared" si="102"/>
        <v>150.44399999999999</v>
      </c>
      <c r="I192" s="18">
        <f>[4]Sheet1!$M74</f>
        <v>35090</v>
      </c>
      <c r="J192" s="18">
        <f>[5]Sheet1!$M148</f>
        <v>8808.497374999999</v>
      </c>
      <c r="K192" s="18">
        <f>[5]Sheet1!$M154</f>
        <v>360.32672000000002</v>
      </c>
      <c r="L192" s="19">
        <f t="shared" si="81"/>
        <v>4.0906718213105001E-2</v>
      </c>
      <c r="M192" s="131"/>
      <c r="N192" s="42"/>
      <c r="O192" s="3">
        <f t="shared" ref="O192:O197" si="104">O191*E192/E191</f>
        <v>15155.297136137538</v>
      </c>
    </row>
    <row r="193" spans="1:15" s="9" customFormat="1">
      <c r="A193" s="104" t="str">
        <f t="shared" ref="A193:B197" si="105">A192</f>
        <v>The Power Company</v>
      </c>
      <c r="B193" s="104">
        <f t="shared" si="105"/>
        <v>2011</v>
      </c>
      <c r="C193" s="104">
        <f>C192+1</f>
        <v>2016</v>
      </c>
      <c r="D193" s="104">
        <v>2</v>
      </c>
      <c r="E193" s="17">
        <f>[3]Sheet1!$M77</f>
        <v>15183.84</v>
      </c>
      <c r="F193">
        <f t="shared" si="100"/>
        <v>1.2867539916420168</v>
      </c>
      <c r="G193" s="18">
        <f>'NZ MaxDemand Calcs'!N194</f>
        <v>147.62992675032501</v>
      </c>
      <c r="H193" s="3">
        <f t="shared" si="102"/>
        <v>150.44399999999999</v>
      </c>
      <c r="I193" s="18">
        <f>[4]Sheet1!$M75</f>
        <v>35474</v>
      </c>
      <c r="J193" s="18">
        <f>[5]Sheet1!$M149</f>
        <v>8844.8352999999988</v>
      </c>
      <c r="K193" s="18">
        <f>[5]Sheet1!$M155</f>
        <v>370.63078000000002</v>
      </c>
      <c r="L193" s="19">
        <f t="shared" si="81"/>
        <v>4.1903638386573468E-2</v>
      </c>
      <c r="M193" s="131"/>
      <c r="N193" s="42"/>
      <c r="O193" s="3">
        <f t="shared" si="104"/>
        <v>15965.237610075874</v>
      </c>
    </row>
    <row r="194" spans="1:15" s="9" customFormat="1">
      <c r="A194" s="104" t="str">
        <f t="shared" si="105"/>
        <v>The Power Company</v>
      </c>
      <c r="B194" s="104">
        <f t="shared" si="105"/>
        <v>2011</v>
      </c>
      <c r="C194" s="104">
        <f>C193+1</f>
        <v>2017</v>
      </c>
      <c r="D194" s="104">
        <v>2</v>
      </c>
      <c r="E194" s="17">
        <f>[3]Sheet1!$M78</f>
        <v>14692.91</v>
      </c>
      <c r="F194">
        <f t="shared" si="100"/>
        <v>1.3063682360796467</v>
      </c>
      <c r="G194" s="18">
        <f>'NZ MaxDemand Calcs'!N195</f>
        <v>147.12595180693319</v>
      </c>
      <c r="H194" s="3">
        <f t="shared" si="102"/>
        <v>150.44399999999999</v>
      </c>
      <c r="I194" s="18">
        <f>[4]Sheet1!$M76</f>
        <v>35507</v>
      </c>
      <c r="J194" s="18">
        <f>[5]Sheet1!$M150</f>
        <v>8882.7531100001288</v>
      </c>
      <c r="K194" s="18">
        <f>[5]Sheet1!$M156</f>
        <v>380.93061999999998</v>
      </c>
      <c r="L194" s="19">
        <f t="shared" si="81"/>
        <v>4.2884296713273665E-2</v>
      </c>
      <c r="M194" s="131"/>
      <c r="N194" s="42"/>
      <c r="O194" s="3">
        <f t="shared" si="104"/>
        <v>15449.043149391717</v>
      </c>
    </row>
    <row r="195" spans="1:15" s="9" customFormat="1">
      <c r="A195" s="104" t="str">
        <f t="shared" si="105"/>
        <v>The Power Company</v>
      </c>
      <c r="B195" s="104">
        <f t="shared" si="105"/>
        <v>2011</v>
      </c>
      <c r="C195" s="104">
        <f>C194+1</f>
        <v>2018</v>
      </c>
      <c r="D195" s="104">
        <v>2</v>
      </c>
      <c r="E195" s="17">
        <f>[3]Sheet1!$M79</f>
        <v>14896.81</v>
      </c>
      <c r="F195">
        <f t="shared" si="100"/>
        <v>1.3404204496621166</v>
      </c>
      <c r="G195" s="18">
        <f>'NZ MaxDemand Calcs'!N196</f>
        <v>154.5133163753232</v>
      </c>
      <c r="H195" s="3">
        <f t="shared" si="102"/>
        <v>154.5133163753232</v>
      </c>
      <c r="I195" s="18">
        <f>[4]Sheet1!$M77</f>
        <v>35698</v>
      </c>
      <c r="J195" s="18">
        <f>[5]Sheet1!$M151</f>
        <v>8826.1380949996983</v>
      </c>
      <c r="K195" s="18">
        <f>[5]Sheet1!$M157</f>
        <v>369.61464000000018</v>
      </c>
      <c r="L195" s="19">
        <f t="shared" si="81"/>
        <v>4.1877278150610313E-2</v>
      </c>
      <c r="M195" s="131"/>
      <c r="N195" s="42"/>
      <c r="O195" s="3">
        <f t="shared" si="104"/>
        <v>15663.436342990601</v>
      </c>
    </row>
    <row r="196" spans="1:15" s="9" customFormat="1">
      <c r="A196" s="104" t="str">
        <f t="shared" si="105"/>
        <v>The Power Company</v>
      </c>
      <c r="B196" s="104">
        <f t="shared" si="105"/>
        <v>2011</v>
      </c>
      <c r="C196" s="104">
        <f>C195+1</f>
        <v>2019</v>
      </c>
      <c r="D196" s="104">
        <v>2</v>
      </c>
      <c r="E196" s="17">
        <f>[8]Sheet1!$M$23</f>
        <v>16197.53</v>
      </c>
      <c r="F196">
        <f t="shared" si="100"/>
        <v>1.3740587734764929</v>
      </c>
      <c r="G196" s="18">
        <f>'NZ MaxDemand Calcs'!N197</f>
        <v>158.04751060260321</v>
      </c>
      <c r="H196" s="3">
        <f t="shared" si="102"/>
        <v>158.04751060260321</v>
      </c>
      <c r="I196" s="18">
        <f>[9]Sheet1!$M$21</f>
        <v>35958</v>
      </c>
      <c r="J196" s="18">
        <f>[10]Sheet1!$M$44</f>
        <v>8852.9111926390706</v>
      </c>
      <c r="K196" s="18">
        <f>[10]Sheet1!$M$45</f>
        <v>391.65104000000008</v>
      </c>
      <c r="L196" s="19">
        <f t="shared" si="81"/>
        <v>4.4239802193615826E-2</v>
      </c>
      <c r="M196" s="131"/>
      <c r="N196" s="42"/>
      <c r="O196" s="3">
        <f t="shared" si="104"/>
        <v>17031.094581234545</v>
      </c>
    </row>
    <row r="197" spans="1:15" s="9" customFormat="1">
      <c r="A197" s="104" t="str">
        <f t="shared" si="105"/>
        <v>The Power Company</v>
      </c>
      <c r="B197" s="104">
        <f t="shared" si="105"/>
        <v>2011</v>
      </c>
      <c r="C197" s="104">
        <f>C196+1</f>
        <v>2020</v>
      </c>
      <c r="D197" s="104">
        <v>2</v>
      </c>
      <c r="E197" s="17">
        <f>[11]Sheet1!$M$23</f>
        <v>17279.3</v>
      </c>
      <c r="F197" s="142">
        <f t="shared" si="100"/>
        <v>1.4000516345247649</v>
      </c>
      <c r="G197" s="18">
        <f>'NZ MaxDemand Calcs'!N198</f>
        <v>159.48454931821828</v>
      </c>
      <c r="H197" s="3">
        <f t="shared" ref="H197" si="106">IF(G197&gt;H196,G197,H196)</f>
        <v>159.48454931821828</v>
      </c>
      <c r="I197" s="18">
        <f>[12]Sheet1!$M$18</f>
        <v>36282</v>
      </c>
      <c r="J197" s="18">
        <f>[13]Sheet1!$M$45</f>
        <v>8839.3990249999624</v>
      </c>
      <c r="K197" s="18">
        <f>[13]Sheet1!$M$44</f>
        <v>382.57175999999993</v>
      </c>
      <c r="L197" s="19">
        <f t="shared" si="81"/>
        <v>4.3280290766147596E-2</v>
      </c>
      <c r="M197" s="131"/>
      <c r="N197" s="42"/>
      <c r="O197" s="3">
        <f t="shared" si="104"/>
        <v>18168.535116003863</v>
      </c>
    </row>
    <row r="198" spans="1:15">
      <c r="A198" s="101" t="str">
        <f>'[1]EDB Database'!A520</f>
        <v>Top Energy</v>
      </c>
      <c r="B198" s="101">
        <v>2012</v>
      </c>
      <c r="C198" s="102">
        <f>'[1]EDB Database'!B520</f>
        <v>2006</v>
      </c>
      <c r="D198" s="101">
        <v>2</v>
      </c>
      <c r="E198" s="17">
        <f t="shared" ref="E198:E203" si="107">E199*M198/M199</f>
        <v>8452.1142873757581</v>
      </c>
      <c r="F198">
        <f t="shared" ref="F198:F212" si="108">F183</f>
        <v>1</v>
      </c>
      <c r="G198" s="18">
        <f>'NZ MaxDemand Calcs'!N199</f>
        <v>53.081575425403095</v>
      </c>
      <c r="H198" s="3">
        <f>G198</f>
        <v>53.081575425403095</v>
      </c>
      <c r="I198" s="18">
        <f>AVERAGE(N195,'[2]EDB Database'!$F$519)</f>
        <v>27656</v>
      </c>
      <c r="J198" s="18">
        <f>'[2]EDB Database'!$N520</f>
        <v>3987</v>
      </c>
      <c r="K198" s="18">
        <f>'[2]EDB Database'!$P520</f>
        <v>720</v>
      </c>
      <c r="L198" s="19">
        <f t="shared" si="81"/>
        <v>0.18058690744920994</v>
      </c>
      <c r="M198" s="18">
        <f>'[2]EDB Database'!$G520/1000</f>
        <v>8171.6660000000002</v>
      </c>
      <c r="N198" s="18">
        <f>'[2]EDB Database'!$F520</f>
        <v>28486</v>
      </c>
      <c r="O198" s="3">
        <f t="shared" ref="O198:O204" si="109">M198</f>
        <v>8171.6660000000002</v>
      </c>
    </row>
    <row r="199" spans="1:15">
      <c r="A199" s="101" t="str">
        <f>'[1]EDB Database'!A521</f>
        <v>Top Energy</v>
      </c>
      <c r="B199" s="101">
        <v>2012</v>
      </c>
      <c r="C199" s="102">
        <f>'[1]EDB Database'!B521</f>
        <v>2007</v>
      </c>
      <c r="D199" s="101">
        <v>2</v>
      </c>
      <c r="E199" s="17">
        <f t="shared" si="107"/>
        <v>8277.2822115041545</v>
      </c>
      <c r="F199">
        <f t="shared" si="108"/>
        <v>1.0438528231223547</v>
      </c>
      <c r="G199" s="18">
        <f>'NZ MaxDemand Calcs'!N200</f>
        <v>57.58001402077624</v>
      </c>
      <c r="H199" s="3">
        <f t="shared" ref="H199:H211" si="110">IF(G199&gt;H198,G199,H198)</f>
        <v>57.58001402077624</v>
      </c>
      <c r="I199" s="18">
        <f t="shared" ref="I199:I203" si="111">AVERAGE(N198:N199)</f>
        <v>28779.5</v>
      </c>
      <c r="J199" s="18">
        <f>'[2]EDB Database'!$N521</f>
        <v>4060</v>
      </c>
      <c r="K199" s="18">
        <f>'[2]EDB Database'!$P521</f>
        <v>742</v>
      </c>
      <c r="L199" s="19">
        <f t="shared" si="81"/>
        <v>0.18275862068965518</v>
      </c>
      <c r="M199" s="18">
        <f>'[2]EDB Database'!$G521/1000</f>
        <v>8002.6350000000002</v>
      </c>
      <c r="N199" s="18">
        <f>'[2]EDB Database'!$F521</f>
        <v>29073</v>
      </c>
      <c r="O199" s="3">
        <f t="shared" si="109"/>
        <v>8002.6350000000002</v>
      </c>
    </row>
    <row r="200" spans="1:15">
      <c r="A200" s="103" t="str">
        <f>'[1]EDB Database'!A522</f>
        <v>Top Energy</v>
      </c>
      <c r="B200" s="101">
        <v>2012</v>
      </c>
      <c r="C200" s="102">
        <f>'[1]EDB Database'!B522</f>
        <v>2008</v>
      </c>
      <c r="D200" s="101">
        <v>2</v>
      </c>
      <c r="E200" s="17">
        <f t="shared" si="107"/>
        <v>8645.9999999999982</v>
      </c>
      <c r="F200">
        <f t="shared" si="108"/>
        <v>1.0903851002750273</v>
      </c>
      <c r="G200" s="18">
        <f>'NZ MaxDemand Calcs'!N201</f>
        <v>56.468000000000004</v>
      </c>
      <c r="H200" s="3">
        <f t="shared" si="110"/>
        <v>57.58001402077624</v>
      </c>
      <c r="I200" s="18">
        <f t="shared" si="111"/>
        <v>29523</v>
      </c>
      <c r="J200" s="18">
        <f>'[2]EDB Database'!$N522</f>
        <v>4095.8130000000001</v>
      </c>
      <c r="K200" s="18">
        <f>'[2]EDB Database'!$P522</f>
        <v>790.81299999999999</v>
      </c>
      <c r="L200" s="19">
        <f t="shared" si="81"/>
        <v>0.19307839493648757</v>
      </c>
      <c r="M200" s="18">
        <f>'[2]EDB Database'!$G522/1000</f>
        <v>8359.1184209999992</v>
      </c>
      <c r="N200" s="18">
        <f>'[2]EDB Database'!$F522</f>
        <v>29973</v>
      </c>
      <c r="O200" s="3">
        <f t="shared" si="109"/>
        <v>8359.1184209999992</v>
      </c>
    </row>
    <row r="201" spans="1:15">
      <c r="A201" s="101" t="str">
        <f>'[1]EDB Database'!A523</f>
        <v>Top Energy</v>
      </c>
      <c r="B201" s="101">
        <v>2012</v>
      </c>
      <c r="C201" s="102">
        <f>'[1]EDB Database'!B523</f>
        <v>2009</v>
      </c>
      <c r="D201" s="101">
        <v>2</v>
      </c>
      <c r="E201" s="17">
        <f t="shared" si="107"/>
        <v>9897</v>
      </c>
      <c r="F201">
        <f t="shared" si="108"/>
        <v>1.1562469092885455</v>
      </c>
      <c r="G201" s="18">
        <f>'NZ MaxDemand Calcs'!N202</f>
        <v>58.222000000000001</v>
      </c>
      <c r="H201" s="3">
        <f t="shared" si="110"/>
        <v>58.222000000000001</v>
      </c>
      <c r="I201" s="18">
        <f t="shared" si="111"/>
        <v>30213</v>
      </c>
      <c r="J201" s="18">
        <f>'[2]EDB Database'!$N523</f>
        <v>3837.2150000000001</v>
      </c>
      <c r="K201" s="18">
        <f>'[2]EDB Database'!$P523</f>
        <v>781.46900000000005</v>
      </c>
      <c r="L201" s="19">
        <f t="shared" si="81"/>
        <v>0.20365525517856051</v>
      </c>
      <c r="M201" s="18">
        <f>'[2]EDB Database'!$G523/1000</f>
        <v>9568.6091848990291</v>
      </c>
      <c r="N201" s="18">
        <f>'[2]EDB Database'!$F523</f>
        <v>30453</v>
      </c>
      <c r="O201" s="3">
        <f t="shared" si="109"/>
        <v>9568.6091848990291</v>
      </c>
    </row>
    <row r="202" spans="1:15">
      <c r="A202" s="101" t="str">
        <f>'[1]EDB Database'!A524</f>
        <v>Top Energy</v>
      </c>
      <c r="B202" s="101">
        <v>2012</v>
      </c>
      <c r="C202" s="102">
        <f>'[1]EDB Database'!B524</f>
        <v>2010</v>
      </c>
      <c r="D202" s="101">
        <v>2</v>
      </c>
      <c r="E202" s="17">
        <f t="shared" si="107"/>
        <v>11414</v>
      </c>
      <c r="F202">
        <f t="shared" si="108"/>
        <v>1.1601923412470114</v>
      </c>
      <c r="G202" s="18">
        <f>'NZ MaxDemand Calcs'!N203</f>
        <v>59</v>
      </c>
      <c r="H202" s="3">
        <f t="shared" si="110"/>
        <v>59</v>
      </c>
      <c r="I202" s="18">
        <f t="shared" si="111"/>
        <v>30638.5</v>
      </c>
      <c r="J202" s="18">
        <f>'[2]EDB Database'!$N524</f>
        <v>3846.14</v>
      </c>
      <c r="K202" s="18">
        <f>'[2]EDB Database'!$P524</f>
        <v>787.14</v>
      </c>
      <c r="L202" s="19">
        <f t="shared" si="81"/>
        <v>0.20465713676569236</v>
      </c>
      <c r="M202" s="18">
        <f>'[2]EDB Database'!$G524/1000</f>
        <v>11035.273844239417</v>
      </c>
      <c r="N202" s="18">
        <f>'[2]EDB Database'!$F524</f>
        <v>30824</v>
      </c>
      <c r="O202" s="3">
        <f t="shared" si="109"/>
        <v>11035.273844239417</v>
      </c>
    </row>
    <row r="203" spans="1:15">
      <c r="A203" s="101" t="str">
        <f>'[1]EDB Database'!A525</f>
        <v>Top Energy</v>
      </c>
      <c r="B203" s="101">
        <v>2012</v>
      </c>
      <c r="C203" s="102">
        <f>'[1]EDB Database'!B525</f>
        <v>2011</v>
      </c>
      <c r="D203" s="101">
        <v>2</v>
      </c>
      <c r="E203" s="17">
        <f t="shared" si="107"/>
        <v>12645.000000000002</v>
      </c>
      <c r="F203">
        <f t="shared" si="108"/>
        <v>1.1900846681215445</v>
      </c>
      <c r="G203" s="18">
        <f>'NZ MaxDemand Calcs'!N204</f>
        <v>50</v>
      </c>
      <c r="H203" s="3">
        <f t="shared" si="110"/>
        <v>59</v>
      </c>
      <c r="I203" s="18">
        <f t="shared" si="111"/>
        <v>30913</v>
      </c>
      <c r="J203" s="18">
        <f>'[2]EDB Database'!$N525</f>
        <v>3849</v>
      </c>
      <c r="K203" s="18">
        <f>'[2]EDB Database'!$P525</f>
        <v>798</v>
      </c>
      <c r="L203" s="19">
        <f t="shared" si="81"/>
        <v>0.2073265783320343</v>
      </c>
      <c r="M203" s="18">
        <f>'[2]EDB Database'!$G525/1000</f>
        <v>12225.428225022555</v>
      </c>
      <c r="N203" s="18">
        <f>'[2]EDB Database'!$F525</f>
        <v>31002</v>
      </c>
      <c r="O203" s="3">
        <f t="shared" si="109"/>
        <v>12225.428225022555</v>
      </c>
    </row>
    <row r="204" spans="1:15">
      <c r="A204" s="101" t="str">
        <f>'[1]EDB Database'!A526</f>
        <v>Top Energy</v>
      </c>
      <c r="B204" s="101">
        <v>2012</v>
      </c>
      <c r="C204" s="102">
        <f>'[1]EDB Database'!B526</f>
        <v>2012</v>
      </c>
      <c r="D204" s="101">
        <v>2</v>
      </c>
      <c r="E204" s="17">
        <f>E205*M204/M205</f>
        <v>14771.960000000001</v>
      </c>
      <c r="F204">
        <f t="shared" si="108"/>
        <v>1.2216652483575092</v>
      </c>
      <c r="G204" s="18">
        <f>'NZ MaxDemand Calcs'!N205</f>
        <v>45.7</v>
      </c>
      <c r="H204" s="3">
        <f t="shared" si="110"/>
        <v>59</v>
      </c>
      <c r="I204" s="18">
        <f>AVERAGE(N203:N204)</f>
        <v>31109.5</v>
      </c>
      <c r="J204" s="18">
        <f>'[2]EDB Database'!$N526</f>
        <v>3857.9</v>
      </c>
      <c r="K204" s="18">
        <f>'[2]EDB Database'!$P526</f>
        <v>803.18</v>
      </c>
      <c r="L204" s="19">
        <f t="shared" si="81"/>
        <v>0.20819098473262654</v>
      </c>
      <c r="M204" s="18">
        <f>'[2]EDB Database'!$G526/1000</f>
        <v>14281.813896631411</v>
      </c>
      <c r="N204" s="18">
        <f>'[2]EDB Database'!$F526</f>
        <v>31217</v>
      </c>
      <c r="O204" s="3">
        <f t="shared" si="109"/>
        <v>14281.813896631411</v>
      </c>
    </row>
    <row r="205" spans="1:15">
      <c r="A205" s="101" t="str">
        <f>'[1]EDB Database'!A527</f>
        <v>Top Energy</v>
      </c>
      <c r="B205" s="101">
        <v>2012</v>
      </c>
      <c r="C205" s="102">
        <f>'[1]EDB Database'!B527</f>
        <v>2013</v>
      </c>
      <c r="D205" s="101">
        <v>2</v>
      </c>
      <c r="E205" s="17">
        <f>[3]Sheet1!$M80</f>
        <v>12763.15617465926</v>
      </c>
      <c r="F205">
        <f t="shared" si="108"/>
        <v>1.2421813017565195</v>
      </c>
      <c r="G205" s="18">
        <f>'NZ MaxDemand Calcs'!N206</f>
        <v>50.309153189507995</v>
      </c>
      <c r="H205" s="3">
        <f t="shared" si="110"/>
        <v>59</v>
      </c>
      <c r="I205" s="18">
        <f>[4]Sheet1!$M78</f>
        <v>30606</v>
      </c>
      <c r="J205" s="18">
        <f>[5]Sheet1!$M158</f>
        <v>3922.54</v>
      </c>
      <c r="K205" s="18">
        <f>[5]Sheet1!$M164</f>
        <v>808.31</v>
      </c>
      <c r="L205" s="19">
        <f t="shared" si="81"/>
        <v>0.20606800695467731</v>
      </c>
      <c r="M205" s="18">
        <f>'[2]EDB Database'!$G527/1000</f>
        <v>12339.663878058538</v>
      </c>
      <c r="O205" s="3">
        <f>M205</f>
        <v>12339.663878058538</v>
      </c>
    </row>
    <row r="206" spans="1:15" s="9" customFormat="1">
      <c r="A206" s="104" t="str">
        <f>'[1]EDB Database'!A528</f>
        <v>Top Energy</v>
      </c>
      <c r="B206" s="104">
        <v>2012</v>
      </c>
      <c r="C206" s="105">
        <f>'[1]EDB Database'!B528</f>
        <v>2014</v>
      </c>
      <c r="D206" s="104">
        <v>2</v>
      </c>
      <c r="E206" s="17">
        <f>[3]Sheet1!$M81</f>
        <v>12617.3259424278</v>
      </c>
      <c r="F206">
        <f t="shared" si="108"/>
        <v>1.27237461042106</v>
      </c>
      <c r="G206" s="18">
        <f>'NZ MaxDemand Calcs'!N207</f>
        <v>49.650783796368152</v>
      </c>
      <c r="H206" s="3">
        <f t="shared" si="110"/>
        <v>59</v>
      </c>
      <c r="I206" s="18">
        <f>[4]Sheet1!$M79</f>
        <v>30668</v>
      </c>
      <c r="J206" s="18">
        <f>[5]Sheet1!$M159</f>
        <v>3955.3419600000002</v>
      </c>
      <c r="K206" s="18">
        <f>[5]Sheet1!$M165</f>
        <v>838.01214999999991</v>
      </c>
      <c r="L206" s="19">
        <f t="shared" si="81"/>
        <v>0.21186844487145173</v>
      </c>
      <c r="M206" s="18">
        <f>'[2]EDB Database'!$G528/1000</f>
        <v>12198.672416043188</v>
      </c>
      <c r="N206" s="42"/>
      <c r="O206" s="3">
        <f>O205*E206/E205</f>
        <v>12198.672416043191</v>
      </c>
    </row>
    <row r="207" spans="1:15" s="9" customFormat="1">
      <c r="A207" s="104" t="str">
        <f>'[7]2015 data'!P$37</f>
        <v>Top Energy</v>
      </c>
      <c r="B207" s="104">
        <f>'[7]2015 data'!Q$37</f>
        <v>2012</v>
      </c>
      <c r="C207" s="104">
        <f>'[7]2015 data'!R$37</f>
        <v>2015</v>
      </c>
      <c r="D207" s="104">
        <f>'[7]2015 data'!S$37</f>
        <v>2</v>
      </c>
      <c r="E207" s="17">
        <f>[3]Sheet1!$M82</f>
        <v>13032.385186707919</v>
      </c>
      <c r="F207">
        <f t="shared" si="108"/>
        <v>1.2816685951411126</v>
      </c>
      <c r="G207" s="18">
        <f>'NZ MaxDemand Calcs'!N208</f>
        <v>48.941486884991463</v>
      </c>
      <c r="H207" s="3">
        <f t="shared" si="110"/>
        <v>59</v>
      </c>
      <c r="I207" s="18">
        <f>[4]Sheet1!$M80</f>
        <v>30771</v>
      </c>
      <c r="J207" s="18">
        <f>[5]Sheet1!$M160</f>
        <v>3979.72</v>
      </c>
      <c r="K207" s="18">
        <f>[5]Sheet1!$M166</f>
        <v>852.66000000000008</v>
      </c>
      <c r="L207" s="19">
        <f t="shared" si="81"/>
        <v>0.21425125385705529</v>
      </c>
      <c r="M207" s="131"/>
      <c r="N207" s="42"/>
      <c r="O207" s="3">
        <f t="shared" ref="O207:O212" si="112">O206*E207/E206</f>
        <v>12599.959644202836</v>
      </c>
    </row>
    <row r="208" spans="1:15" s="9" customFormat="1">
      <c r="A208" s="104" t="str">
        <f t="shared" ref="A208:B212" si="113">A207</f>
        <v>Top Energy</v>
      </c>
      <c r="B208" s="104">
        <f t="shared" si="113"/>
        <v>2012</v>
      </c>
      <c r="C208" s="104">
        <f>C207+1</f>
        <v>2016</v>
      </c>
      <c r="D208" s="104">
        <v>2</v>
      </c>
      <c r="E208" s="17">
        <f>[3]Sheet1!$M83</f>
        <v>14445.111881808451</v>
      </c>
      <c r="F208">
        <f t="shared" si="108"/>
        <v>1.2867539916420168</v>
      </c>
      <c r="G208" s="18">
        <f>'NZ MaxDemand Calcs'!N209</f>
        <v>49.274856433338506</v>
      </c>
      <c r="H208" s="3">
        <f t="shared" si="110"/>
        <v>59</v>
      </c>
      <c r="I208" s="18">
        <f>[4]Sheet1!$M81</f>
        <v>31025</v>
      </c>
      <c r="J208" s="18">
        <f>[5]Sheet1!$M161</f>
        <v>4016.1509999999998</v>
      </c>
      <c r="K208" s="18">
        <f>[5]Sheet1!$M167</f>
        <v>862.11999999999989</v>
      </c>
      <c r="L208" s="19">
        <f t="shared" si="81"/>
        <v>0.21466324348860388</v>
      </c>
      <c r="M208" s="131"/>
      <c r="N208" s="42"/>
      <c r="O208" s="3">
        <f t="shared" si="112"/>
        <v>13965.810874928409</v>
      </c>
    </row>
    <row r="209" spans="1:15" s="9" customFormat="1">
      <c r="A209" s="104" t="str">
        <f t="shared" si="113"/>
        <v>Top Energy</v>
      </c>
      <c r="B209" s="104">
        <f t="shared" si="113"/>
        <v>2012</v>
      </c>
      <c r="C209" s="104">
        <f>C208+1</f>
        <v>2017</v>
      </c>
      <c r="D209" s="104">
        <v>2</v>
      </c>
      <c r="E209" s="17">
        <f>[3]Sheet1!$M84</f>
        <v>14224.99520716896</v>
      </c>
      <c r="F209">
        <f t="shared" si="108"/>
        <v>1.3063682360796467</v>
      </c>
      <c r="G209" s="18">
        <f>'NZ MaxDemand Calcs'!N210</f>
        <v>48.730556169486263</v>
      </c>
      <c r="H209" s="3">
        <f t="shared" si="110"/>
        <v>59</v>
      </c>
      <c r="I209" s="18">
        <f>[4]Sheet1!$M82</f>
        <v>31365</v>
      </c>
      <c r="J209" s="18">
        <f>[5]Sheet1!$M162</f>
        <v>4030.006200000003</v>
      </c>
      <c r="K209" s="18">
        <f>[5]Sheet1!$M168</f>
        <v>872.30259999999998</v>
      </c>
      <c r="L209" s="19">
        <f t="shared" si="81"/>
        <v>0.21645192506155433</v>
      </c>
      <c r="M209" s="131"/>
      <c r="N209" s="42"/>
      <c r="O209" s="3">
        <f t="shared" si="112"/>
        <v>13752.997857377146</v>
      </c>
    </row>
    <row r="210" spans="1:15" s="9" customFormat="1">
      <c r="A210" s="104" t="str">
        <f t="shared" si="113"/>
        <v>Top Energy</v>
      </c>
      <c r="B210" s="104">
        <f t="shared" si="113"/>
        <v>2012</v>
      </c>
      <c r="C210" s="104">
        <f>C209+1</f>
        <v>2018</v>
      </c>
      <c r="D210" s="104">
        <v>2</v>
      </c>
      <c r="E210" s="17">
        <f>[3]Sheet1!$M85</f>
        <v>16011.85701212451</v>
      </c>
      <c r="F210">
        <f t="shared" si="108"/>
        <v>1.3404204496621166</v>
      </c>
      <c r="G210" s="18">
        <f>'NZ MaxDemand Calcs'!N211</f>
        <v>49.821168583158979</v>
      </c>
      <c r="H210" s="3">
        <f t="shared" si="110"/>
        <v>59</v>
      </c>
      <c r="I210" s="18">
        <f>[4]Sheet1!$M83</f>
        <v>31641</v>
      </c>
      <c r="J210" s="18">
        <f>[5]Sheet1!$M163</f>
        <v>4051.24</v>
      </c>
      <c r="K210" s="18">
        <f>[5]Sheet1!$M169</f>
        <v>878.4</v>
      </c>
      <c r="L210" s="19">
        <f t="shared" si="81"/>
        <v>0.2168225037272539</v>
      </c>
      <c r="M210" s="131"/>
      <c r="N210" s="42"/>
      <c r="O210" s="3">
        <f t="shared" si="112"/>
        <v>15480.570079165864</v>
      </c>
    </row>
    <row r="211" spans="1:15" s="9" customFormat="1">
      <c r="A211" s="104" t="str">
        <f t="shared" si="113"/>
        <v>Top Energy</v>
      </c>
      <c r="B211" s="104">
        <f t="shared" si="113"/>
        <v>2012</v>
      </c>
      <c r="C211" s="104">
        <f>C210+1</f>
        <v>2019</v>
      </c>
      <c r="D211" s="104">
        <v>2</v>
      </c>
      <c r="E211" s="17">
        <f>[8]Sheet1!$M$24</f>
        <v>15409.336187160279</v>
      </c>
      <c r="F211">
        <f t="shared" si="108"/>
        <v>1.3740587734764929</v>
      </c>
      <c r="G211" s="18">
        <f>'NZ MaxDemand Calcs'!N212</f>
        <v>50.263715629365194</v>
      </c>
      <c r="H211" s="3">
        <f t="shared" si="110"/>
        <v>59</v>
      </c>
      <c r="I211" s="18">
        <f>[9]Sheet1!$M$22</f>
        <v>32156</v>
      </c>
      <c r="J211" s="18">
        <f>[10]Sheet1!$M$47</f>
        <v>4061.91</v>
      </c>
      <c r="K211" s="18">
        <f>[10]Sheet1!$M$46</f>
        <v>895.98</v>
      </c>
      <c r="L211" s="19">
        <f t="shared" si="81"/>
        <v>0.22058095821916293</v>
      </c>
      <c r="M211" s="131"/>
      <c r="N211" s="42"/>
      <c r="O211" s="3">
        <f t="shared" si="112"/>
        <v>14898.041403825287</v>
      </c>
    </row>
    <row r="212" spans="1:15" s="9" customFormat="1">
      <c r="A212" s="104" t="str">
        <f t="shared" si="113"/>
        <v>Top Energy</v>
      </c>
      <c r="B212" s="104">
        <f t="shared" si="113"/>
        <v>2012</v>
      </c>
      <c r="C212" s="104">
        <f>C211+1</f>
        <v>2020</v>
      </c>
      <c r="D212" s="104">
        <v>2</v>
      </c>
      <c r="E212" s="17">
        <f>[11]Sheet1!$M$24</f>
        <v>19109.370495048741</v>
      </c>
      <c r="F212" s="142">
        <f t="shared" si="108"/>
        <v>1.4000516345247649</v>
      </c>
      <c r="G212" s="18">
        <f>'NZ MaxDemand Calcs'!N213</f>
        <v>87.952817010709296</v>
      </c>
      <c r="H212" s="3">
        <f t="shared" ref="H212" si="114">IF(G212&gt;H211,G212,H211)</f>
        <v>87.952817010709296</v>
      </c>
      <c r="I212" s="94">
        <v>32537</v>
      </c>
      <c r="J212" s="18">
        <f>[13]Sheet1!$M$46</f>
        <v>4060.64</v>
      </c>
      <c r="K212" s="18">
        <f>[13]Sheet1!$M$47</f>
        <v>906.46999999999991</v>
      </c>
      <c r="L212" s="19">
        <f t="shared" si="81"/>
        <v>0.2232332834233027</v>
      </c>
      <c r="M212" s="131"/>
      <c r="N212" s="42"/>
      <c r="O212" s="3">
        <f t="shared" si="112"/>
        <v>18475.305449789023</v>
      </c>
    </row>
    <row r="213" spans="1:15">
      <c r="A213" s="101" t="str">
        <f>'[1]EDB Database'!A543</f>
        <v>Unison</v>
      </c>
      <c r="B213" s="101">
        <v>2003</v>
      </c>
      <c r="C213" s="102">
        <f>'[1]EDB Database'!B543</f>
        <v>2006</v>
      </c>
      <c r="D213" s="101">
        <v>2</v>
      </c>
      <c r="E213" s="17">
        <f t="shared" ref="E213:E218" si="115">E214*M213/M214</f>
        <v>20433.178345924665</v>
      </c>
      <c r="F213">
        <f t="shared" ref="F213:F227" si="116">F198</f>
        <v>1</v>
      </c>
      <c r="G213" s="18">
        <f>'NZ MaxDemand Calcs'!N214</f>
        <v>307.04470327985712</v>
      </c>
      <c r="H213" s="3">
        <f>G213</f>
        <v>307.04470327985712</v>
      </c>
      <c r="I213" s="18">
        <f>AVERAGE(N210,'[2]EDB Database'!$F$542)</f>
        <v>103347</v>
      </c>
      <c r="J213" s="18">
        <f>'[2]EDB Database'!$N543</f>
        <v>9318</v>
      </c>
      <c r="K213" s="18">
        <f>'[2]EDB Database'!$P543</f>
        <v>3461</v>
      </c>
      <c r="L213" s="19">
        <f t="shared" si="81"/>
        <v>0.37143163769049153</v>
      </c>
      <c r="M213" s="18">
        <f>'[2]EDB Database'!$G543/1000</f>
        <v>20433.078000000001</v>
      </c>
      <c r="N213" s="18">
        <f>'[2]EDB Database'!$F543</f>
        <v>104578</v>
      </c>
      <c r="O213" s="3">
        <f t="shared" ref="O213:O219" si="117">M213</f>
        <v>20433.078000000001</v>
      </c>
    </row>
    <row r="214" spans="1:15">
      <c r="A214" s="101" t="str">
        <f>'[1]EDB Database'!A544</f>
        <v>Unison</v>
      </c>
      <c r="B214" s="101">
        <v>2003</v>
      </c>
      <c r="C214" s="102">
        <f>'[1]EDB Database'!B544</f>
        <v>2007</v>
      </c>
      <c r="D214" s="101">
        <v>2</v>
      </c>
      <c r="E214" s="17">
        <f t="shared" si="115"/>
        <v>20268.618537782837</v>
      </c>
      <c r="F214">
        <f t="shared" si="116"/>
        <v>1.0438528231223547</v>
      </c>
      <c r="G214" s="18">
        <f>'NZ MaxDemand Calcs'!N215</f>
        <v>318.17807214025362</v>
      </c>
      <c r="H214" s="3">
        <f t="shared" ref="H214:H226" si="118">IF(G214&gt;H213,G214,H213)</f>
        <v>318.17807214025362</v>
      </c>
      <c r="I214" s="18">
        <f t="shared" ref="I214:I218" si="119">AVERAGE(N213:N214)</f>
        <v>105198.5</v>
      </c>
      <c r="J214" s="18">
        <f>'[2]EDB Database'!$N544</f>
        <v>9376</v>
      </c>
      <c r="K214" s="18">
        <f>'[2]EDB Database'!$P544</f>
        <v>3535</v>
      </c>
      <c r="L214" s="19">
        <f t="shared" si="81"/>
        <v>0.37702645051194539</v>
      </c>
      <c r="M214" s="18">
        <f>'[2]EDB Database'!$G544/1000</f>
        <v>20268.519</v>
      </c>
      <c r="N214" s="18">
        <f>'[2]EDB Database'!$F544</f>
        <v>105819</v>
      </c>
      <c r="O214" s="3">
        <f t="shared" si="117"/>
        <v>20268.519</v>
      </c>
    </row>
    <row r="215" spans="1:15">
      <c r="A215" s="103" t="str">
        <f>'[1]EDB Database'!A545</f>
        <v>Unison</v>
      </c>
      <c r="B215" s="101">
        <v>2003</v>
      </c>
      <c r="C215" s="102">
        <f>'[1]EDB Database'!B545</f>
        <v>2008</v>
      </c>
      <c r="D215" s="101">
        <v>2</v>
      </c>
      <c r="E215" s="17">
        <f t="shared" si="115"/>
        <v>21860.43275</v>
      </c>
      <c r="F215">
        <f t="shared" si="116"/>
        <v>1.0903851002750273</v>
      </c>
      <c r="G215" s="18">
        <f>'NZ MaxDemand Calcs'!N216</f>
        <v>331.82400000000001</v>
      </c>
      <c r="H215" s="3">
        <f t="shared" si="118"/>
        <v>331.82400000000001</v>
      </c>
      <c r="I215" s="18">
        <f t="shared" si="119"/>
        <v>106979.5</v>
      </c>
      <c r="J215" s="18">
        <f>'[2]EDB Database'!$N545</f>
        <v>8938.9259999999995</v>
      </c>
      <c r="K215" s="18">
        <f>'[2]EDB Database'!$P545</f>
        <v>3380.643</v>
      </c>
      <c r="L215" s="19">
        <f t="shared" si="81"/>
        <v>0.378193420551865</v>
      </c>
      <c r="M215" s="18">
        <f>'[2]EDB Database'!$G545/1000</f>
        <v>21860.325394927739</v>
      </c>
      <c r="N215" s="18">
        <f>'[2]EDB Database'!$F545</f>
        <v>108140</v>
      </c>
      <c r="O215" s="3">
        <f t="shared" si="117"/>
        <v>21860.325394927739</v>
      </c>
    </row>
    <row r="216" spans="1:15">
      <c r="A216" s="101" t="str">
        <f>'[1]EDB Database'!A546</f>
        <v>Unison</v>
      </c>
      <c r="B216" s="101">
        <v>2003</v>
      </c>
      <c r="C216" s="102">
        <f>'[1]EDB Database'!B546</f>
        <v>2009</v>
      </c>
      <c r="D216" s="101">
        <v>2</v>
      </c>
      <c r="E216" s="17">
        <f t="shared" si="115"/>
        <v>21457.578760000004</v>
      </c>
      <c r="F216">
        <f t="shared" si="116"/>
        <v>1.1562469092885455</v>
      </c>
      <c r="G216" s="18">
        <f>'NZ MaxDemand Calcs'!N217</f>
        <v>323.54500000000002</v>
      </c>
      <c r="H216" s="3">
        <f t="shared" si="118"/>
        <v>331.82400000000001</v>
      </c>
      <c r="I216" s="18">
        <f t="shared" si="119"/>
        <v>107812</v>
      </c>
      <c r="J216" s="18">
        <f>'[2]EDB Database'!$N546</f>
        <v>9510.3349999999991</v>
      </c>
      <c r="K216" s="18">
        <f>'[2]EDB Database'!$P546</f>
        <v>3663.942</v>
      </c>
      <c r="L216" s="19">
        <f t="shared" si="81"/>
        <v>0.38525898404209741</v>
      </c>
      <c r="M216" s="18">
        <f>'[2]EDB Database'!$G546/1000</f>
        <v>21457.473383315806</v>
      </c>
      <c r="N216" s="18">
        <f>'[2]EDB Database'!$F546</f>
        <v>107484</v>
      </c>
      <c r="O216" s="3">
        <f t="shared" si="117"/>
        <v>21457.473383315806</v>
      </c>
    </row>
    <row r="217" spans="1:15">
      <c r="A217" s="101" t="str">
        <f>'[1]EDB Database'!A547</f>
        <v>Unison</v>
      </c>
      <c r="B217" s="101">
        <v>2003</v>
      </c>
      <c r="C217" s="102">
        <f>'[1]EDB Database'!B547</f>
        <v>2010</v>
      </c>
      <c r="D217" s="101">
        <v>2</v>
      </c>
      <c r="E217" s="17">
        <f t="shared" si="115"/>
        <v>25773.486999999997</v>
      </c>
      <c r="F217">
        <f t="shared" si="116"/>
        <v>1.1601923412470114</v>
      </c>
      <c r="G217" s="18">
        <f>'NZ MaxDemand Calcs'!N218</f>
        <v>323.60000000000002</v>
      </c>
      <c r="H217" s="3">
        <f t="shared" si="118"/>
        <v>331.82400000000001</v>
      </c>
      <c r="I217" s="18">
        <f t="shared" si="119"/>
        <v>107848</v>
      </c>
      <c r="J217" s="18">
        <f>'[2]EDB Database'!$N547</f>
        <v>9571.09</v>
      </c>
      <c r="K217" s="18">
        <f>'[2]EDB Database'!$P547</f>
        <v>3700.46</v>
      </c>
      <c r="L217" s="19">
        <f t="shared" si="81"/>
        <v>0.38662890015661749</v>
      </c>
      <c r="M217" s="18">
        <f>'[2]EDB Database'!$G547/1000</f>
        <v>25773.360428189142</v>
      </c>
      <c r="N217" s="18">
        <f>'[2]EDB Database'!$F547</f>
        <v>108212</v>
      </c>
      <c r="O217" s="3">
        <f t="shared" si="117"/>
        <v>25773.360428189142</v>
      </c>
    </row>
    <row r="218" spans="1:15">
      <c r="A218" s="101" t="str">
        <f>'[1]EDB Database'!A548</f>
        <v>Unison</v>
      </c>
      <c r="B218" s="101">
        <v>2003</v>
      </c>
      <c r="C218" s="102">
        <f>'[1]EDB Database'!B548</f>
        <v>2011</v>
      </c>
      <c r="D218" s="101">
        <v>2</v>
      </c>
      <c r="E218" s="17">
        <f t="shared" si="115"/>
        <v>29511.938159999998</v>
      </c>
      <c r="F218">
        <f t="shared" si="116"/>
        <v>1.1900846681215445</v>
      </c>
      <c r="G218" s="18">
        <f>'NZ MaxDemand Calcs'!N219</f>
        <v>318</v>
      </c>
      <c r="H218" s="3">
        <f t="shared" si="118"/>
        <v>331.82400000000001</v>
      </c>
      <c r="I218" s="18">
        <f t="shared" si="119"/>
        <v>108595</v>
      </c>
      <c r="J218" s="18">
        <f>'[2]EDB Database'!$N548</f>
        <v>7981.866</v>
      </c>
      <c r="K218" s="18">
        <f>'[2]EDB Database'!$P548</f>
        <v>2489.2750000000001</v>
      </c>
      <c r="L218" s="19">
        <f t="shared" si="81"/>
        <v>0.31186629793083476</v>
      </c>
      <c r="M218" s="18">
        <f>'[2]EDB Database'!$G548/1000</f>
        <v>29511.793228914237</v>
      </c>
      <c r="N218" s="18">
        <f>'[2]EDB Database'!$F548</f>
        <v>108978</v>
      </c>
      <c r="O218" s="3">
        <f t="shared" si="117"/>
        <v>29511.793228914237</v>
      </c>
    </row>
    <row r="219" spans="1:15">
      <c r="A219" s="101" t="str">
        <f>'[1]EDB Database'!A549</f>
        <v>Unison</v>
      </c>
      <c r="B219" s="101">
        <v>2003</v>
      </c>
      <c r="C219" s="102">
        <f>'[1]EDB Database'!B549</f>
        <v>2012</v>
      </c>
      <c r="D219" s="101">
        <v>2</v>
      </c>
      <c r="E219" s="17">
        <f>E220*M219/M220</f>
        <v>29981.341179999999</v>
      </c>
      <c r="F219">
        <f t="shared" si="116"/>
        <v>1.2216652483575092</v>
      </c>
      <c r="G219" s="18">
        <f>'NZ MaxDemand Calcs'!N220</f>
        <v>324</v>
      </c>
      <c r="H219" s="3">
        <f t="shared" si="118"/>
        <v>331.82400000000001</v>
      </c>
      <c r="I219" s="18">
        <f>AVERAGE(N218:N219)</f>
        <v>109074.5</v>
      </c>
      <c r="J219" s="18">
        <f>'[2]EDB Database'!$N549</f>
        <v>8007.09</v>
      </c>
      <c r="K219" s="18">
        <f>'[2]EDB Database'!$P549</f>
        <v>2510.9479999999999</v>
      </c>
      <c r="L219" s="19">
        <f t="shared" si="81"/>
        <v>0.31359058034816639</v>
      </c>
      <c r="M219" s="18">
        <f>'[2]EDB Database'!$G549/1000</f>
        <v>29981.193943708495</v>
      </c>
      <c r="N219" s="18">
        <f>'[2]EDB Database'!$F549</f>
        <v>109171</v>
      </c>
      <c r="O219" s="3">
        <f t="shared" si="117"/>
        <v>29981.193943708495</v>
      </c>
    </row>
    <row r="220" spans="1:15">
      <c r="A220" s="101" t="str">
        <f>'[1]EDB Database'!A550</f>
        <v>Unison</v>
      </c>
      <c r="B220" s="101">
        <v>2003</v>
      </c>
      <c r="C220" s="102">
        <f>'[1]EDB Database'!B550</f>
        <v>2013</v>
      </c>
      <c r="D220" s="101">
        <v>2</v>
      </c>
      <c r="E220" s="17">
        <f>[3]Sheet1!$M86</f>
        <v>32224.174999999999</v>
      </c>
      <c r="F220">
        <f t="shared" si="116"/>
        <v>1.2421813017565195</v>
      </c>
      <c r="G220" s="18">
        <f>'NZ MaxDemand Calcs'!N221</f>
        <v>324</v>
      </c>
      <c r="H220" s="3">
        <f t="shared" si="118"/>
        <v>331.82400000000001</v>
      </c>
      <c r="I220" s="18">
        <f>[4]Sheet1!$M84</f>
        <v>109315.5833333333</v>
      </c>
      <c r="J220" s="18">
        <f>[5]Sheet1!$M170</f>
        <v>8035.9585540003454</v>
      </c>
      <c r="K220" s="18">
        <f>[5]Sheet1!$M176</f>
        <v>2536.2446869999721</v>
      </c>
      <c r="L220" s="19">
        <f t="shared" si="81"/>
        <v>0.31561196712959838</v>
      </c>
      <c r="M220" s="18">
        <f>'[2]EDB Database'!$G550/1000</f>
        <v>32224.016749306833</v>
      </c>
      <c r="O220" s="3">
        <f>M220</f>
        <v>32224.016749306833</v>
      </c>
    </row>
    <row r="221" spans="1:15" s="9" customFormat="1">
      <c r="A221" s="104" t="str">
        <f>'[1]EDB Database'!A551</f>
        <v>Unison Networks</v>
      </c>
      <c r="B221" s="104">
        <v>2003</v>
      </c>
      <c r="C221" s="105">
        <f>'[1]EDB Database'!B551</f>
        <v>2014</v>
      </c>
      <c r="D221" s="104">
        <v>2</v>
      </c>
      <c r="E221" s="17">
        <f>[3]Sheet1!$M87</f>
        <v>34853.785604490076</v>
      </c>
      <c r="F221">
        <f t="shared" si="116"/>
        <v>1.27237461042106</v>
      </c>
      <c r="G221" s="18">
        <f>'NZ MaxDemand Calcs'!N222</f>
        <v>360.96644295302013</v>
      </c>
      <c r="H221" s="3">
        <f t="shared" si="118"/>
        <v>360.96644295302013</v>
      </c>
      <c r="I221" s="18">
        <f>[4]Sheet1!$M85</f>
        <v>110029</v>
      </c>
      <c r="J221" s="18">
        <f>[5]Sheet1!$M171</f>
        <v>8897.0341670002636</v>
      </c>
      <c r="K221" s="18">
        <f>[5]Sheet1!$M177</f>
        <v>3341.6851839999549</v>
      </c>
      <c r="L221" s="19">
        <f t="shared" si="81"/>
        <v>0.3755954086806258</v>
      </c>
      <c r="M221" s="18">
        <f>'[2]EDB Database'!$G551/1000</f>
        <v>34853.614439961231</v>
      </c>
      <c r="N221" s="42"/>
      <c r="O221" s="3">
        <f>O220*E221/E220</f>
        <v>34853.614439961231</v>
      </c>
    </row>
    <row r="222" spans="1:15" s="9" customFormat="1">
      <c r="A222" s="104" t="str">
        <f>'[7]2015 data'!P$38</f>
        <v>Unison Networks</v>
      </c>
      <c r="B222" s="104">
        <f>'[7]2015 data'!Q$38</f>
        <v>2003</v>
      </c>
      <c r="C222" s="104">
        <f>'[7]2015 data'!R$38</f>
        <v>2015</v>
      </c>
      <c r="D222" s="104">
        <f>'[7]2015 data'!S$38</f>
        <v>2</v>
      </c>
      <c r="E222" s="17">
        <f>[3]Sheet1!$M88</f>
        <v>35142.829238561593</v>
      </c>
      <c r="F222">
        <f t="shared" si="116"/>
        <v>1.2816685951411126</v>
      </c>
      <c r="G222" s="18">
        <f>'NZ MaxDemand Calcs'!N223</f>
        <v>339.76510067114094</v>
      </c>
      <c r="H222" s="3">
        <f t="shared" si="118"/>
        <v>360.96644295302013</v>
      </c>
      <c r="I222" s="18">
        <f>[4]Sheet1!$M86</f>
        <v>110575.8333333333</v>
      </c>
      <c r="J222" s="18">
        <f>[5]Sheet1!$M172</f>
        <v>9083.1209169999347</v>
      </c>
      <c r="K222" s="18">
        <f>[5]Sheet1!$M178</f>
        <v>3391.737288000003</v>
      </c>
      <c r="L222" s="19">
        <f t="shared" si="81"/>
        <v>0.37341100256102949</v>
      </c>
      <c r="M222" s="131"/>
      <c r="N222" s="42"/>
      <c r="O222" s="3">
        <f t="shared" ref="O222:O227" si="120">O221*E222/E221</f>
        <v>35142.656654559469</v>
      </c>
    </row>
    <row r="223" spans="1:15" s="9" customFormat="1">
      <c r="A223" s="104" t="str">
        <f t="shared" ref="A223:B227" si="121">A222</f>
        <v>Unison Networks</v>
      </c>
      <c r="B223" s="104">
        <f t="shared" si="121"/>
        <v>2003</v>
      </c>
      <c r="C223" s="104">
        <f>C222+1</f>
        <v>2016</v>
      </c>
      <c r="D223" s="104">
        <v>2</v>
      </c>
      <c r="E223" s="17">
        <f>[3]Sheet1!$M89</f>
        <v>35565.284</v>
      </c>
      <c r="F223">
        <f t="shared" si="116"/>
        <v>1.2867539916420168</v>
      </c>
      <c r="G223" s="18">
        <f>'NZ MaxDemand Calcs'!N224</f>
        <v>384.540878657718</v>
      </c>
      <c r="H223" s="3">
        <f t="shared" si="118"/>
        <v>384.540878657718</v>
      </c>
      <c r="I223" s="18">
        <f>[4]Sheet1!$M87</f>
        <v>111045.3333333333</v>
      </c>
      <c r="J223" s="18">
        <f>[5]Sheet1!$M173</f>
        <v>9002.4532099999888</v>
      </c>
      <c r="K223" s="18">
        <f>[5]Sheet1!$M179</f>
        <v>3488.0615940000039</v>
      </c>
      <c r="L223" s="19">
        <f t="shared" si="81"/>
        <v>0.3874567867928978</v>
      </c>
      <c r="M223" s="131"/>
      <c r="N223" s="42"/>
      <c r="O223" s="3">
        <f t="shared" si="120"/>
        <v>35565.109341351781</v>
      </c>
    </row>
    <row r="224" spans="1:15" s="9" customFormat="1">
      <c r="A224" s="104" t="str">
        <f t="shared" si="121"/>
        <v>Unison Networks</v>
      </c>
      <c r="B224" s="104">
        <f t="shared" si="121"/>
        <v>2003</v>
      </c>
      <c r="C224" s="104">
        <f>C223+1</f>
        <v>2017</v>
      </c>
      <c r="D224" s="104">
        <v>2</v>
      </c>
      <c r="E224" s="17">
        <f>[3]Sheet1!$M90</f>
        <v>35386.228560000003</v>
      </c>
      <c r="F224">
        <f t="shared" si="116"/>
        <v>1.3063682360796467</v>
      </c>
      <c r="G224" s="18">
        <f>'NZ MaxDemand Calcs'!N225</f>
        <v>351.18120805369125</v>
      </c>
      <c r="H224" s="3">
        <f t="shared" si="118"/>
        <v>384.540878657718</v>
      </c>
      <c r="I224" s="18">
        <f>[4]Sheet1!$M88</f>
        <v>111842</v>
      </c>
      <c r="J224" s="18">
        <f>[5]Sheet1!$M174</f>
        <v>9181.8665469999578</v>
      </c>
      <c r="K224" s="18">
        <f>[5]Sheet1!$M180</f>
        <v>3612.719898000003</v>
      </c>
      <c r="L224" s="19">
        <f t="shared" ref="L224:L287" si="122">K224/J224</f>
        <v>0.39346247078491975</v>
      </c>
      <c r="M224" s="131"/>
      <c r="N224" s="42"/>
      <c r="O224" s="3">
        <f t="shared" si="120"/>
        <v>35386.054780680657</v>
      </c>
    </row>
    <row r="225" spans="1:15" s="9" customFormat="1">
      <c r="A225" s="104" t="str">
        <f t="shared" si="121"/>
        <v>Unison Networks</v>
      </c>
      <c r="B225" s="104">
        <f t="shared" si="121"/>
        <v>2003</v>
      </c>
      <c r="C225" s="104">
        <f>C224+1</f>
        <v>2018</v>
      </c>
      <c r="D225" s="104">
        <v>2</v>
      </c>
      <c r="E225" s="17">
        <f>[3]Sheet1!$M91</f>
        <v>38485.987999999998</v>
      </c>
      <c r="F225">
        <f t="shared" si="116"/>
        <v>1.3404204496621166</v>
      </c>
      <c r="G225" s="18">
        <f>'NZ MaxDemand Calcs'!N226</f>
        <v>357.70469798657717</v>
      </c>
      <c r="H225" s="3">
        <f t="shared" si="118"/>
        <v>384.540878657718</v>
      </c>
      <c r="I225" s="18">
        <f>[4]Sheet1!$M89</f>
        <v>112781</v>
      </c>
      <c r="J225" s="18">
        <f>[5]Sheet1!$M175</f>
        <v>9244.7115889999932</v>
      </c>
      <c r="K225" s="18">
        <f>[5]Sheet1!$M181</f>
        <v>3675.5578249999999</v>
      </c>
      <c r="L225" s="19">
        <f t="shared" si="122"/>
        <v>0.39758490999042484</v>
      </c>
      <c r="M225" s="131"/>
      <c r="N225" s="42"/>
      <c r="O225" s="3">
        <f t="shared" si="120"/>
        <v>38485.798997976577</v>
      </c>
    </row>
    <row r="226" spans="1:15" s="9" customFormat="1">
      <c r="A226" s="104" t="str">
        <f t="shared" si="121"/>
        <v>Unison Networks</v>
      </c>
      <c r="B226" s="104">
        <f t="shared" si="121"/>
        <v>2003</v>
      </c>
      <c r="C226" s="104">
        <f>C225+1</f>
        <v>2019</v>
      </c>
      <c r="D226" s="104">
        <v>2</v>
      </c>
      <c r="E226" s="17">
        <f>[8]Sheet1!$M$25</f>
        <v>39408.432999999997</v>
      </c>
      <c r="F226">
        <f t="shared" si="116"/>
        <v>1.3740587734764929</v>
      </c>
      <c r="G226" s="18">
        <f>'NZ MaxDemand Calcs'!N227</f>
        <v>378.36241610738256</v>
      </c>
      <c r="H226" s="3">
        <f t="shared" si="118"/>
        <v>384.540878657718</v>
      </c>
      <c r="I226" s="18">
        <f>[9]Sheet1!$M$23</f>
        <v>113676</v>
      </c>
      <c r="J226" s="18">
        <f>[10]Sheet1!$M$49</f>
        <v>9290.3517289999872</v>
      </c>
      <c r="K226" s="18">
        <f>[10]Sheet1!$M$48</f>
        <v>3717.8904619999998</v>
      </c>
      <c r="L226" s="19">
        <f t="shared" si="122"/>
        <v>0.4001883427507425</v>
      </c>
      <c r="M226" s="131"/>
      <c r="N226" s="42"/>
      <c r="O226" s="3">
        <f t="shared" si="120"/>
        <v>39408.239467913023</v>
      </c>
    </row>
    <row r="227" spans="1:15" s="9" customFormat="1">
      <c r="A227" s="104" t="str">
        <f t="shared" si="121"/>
        <v>Unison Networks</v>
      </c>
      <c r="B227" s="104">
        <f t="shared" si="121"/>
        <v>2003</v>
      </c>
      <c r="C227" s="104">
        <f>C226+1</f>
        <v>2020</v>
      </c>
      <c r="D227" s="104">
        <v>2</v>
      </c>
      <c r="E227" s="17">
        <f>[11]Sheet1!$M$25</f>
        <v>43157.792000000001</v>
      </c>
      <c r="F227" s="142">
        <f t="shared" si="116"/>
        <v>1.4000516345247649</v>
      </c>
      <c r="G227" s="18">
        <f>'NZ MaxDemand Calcs'!N228</f>
        <v>357.70469798657717</v>
      </c>
      <c r="H227" s="3">
        <f t="shared" ref="H227" si="123">IF(G227&gt;H226,G227,H226)</f>
        <v>384.540878657718</v>
      </c>
      <c r="I227" s="18">
        <f>[12]Sheet1!$M$19</f>
        <v>114599</v>
      </c>
      <c r="J227" s="18">
        <f>[13]Sheet1!$M$48</f>
        <v>9312.795652999981</v>
      </c>
      <c r="K227" s="18">
        <f>[13]Sheet1!$M$49</f>
        <v>3750.4252400000169</v>
      </c>
      <c r="L227" s="19">
        <f t="shared" si="122"/>
        <v>0.40271744165157025</v>
      </c>
      <c r="M227" s="131"/>
      <c r="N227" s="42"/>
      <c r="O227" s="3">
        <f t="shared" si="120"/>
        <v>43157.580055070473</v>
      </c>
    </row>
    <row r="228" spans="1:15">
      <c r="A228" s="101" t="str">
        <f>'[1]EDB Database'!A589</f>
        <v>Vector</v>
      </c>
      <c r="B228" s="101">
        <v>2001</v>
      </c>
      <c r="C228" s="102">
        <f>'[1]EDB Database'!B589</f>
        <v>2006</v>
      </c>
      <c r="D228" s="101">
        <v>2</v>
      </c>
      <c r="E228" s="17">
        <f t="shared" ref="E228:E233" si="124">E229*M228/M229</f>
        <v>98627.769370856913</v>
      </c>
      <c r="F228">
        <f t="shared" ref="F228:F242" si="125">F213</f>
        <v>1</v>
      </c>
      <c r="G228" s="18">
        <f>'NZ MaxDemand Calcs'!N229</f>
        <v>2187.8069071366845</v>
      </c>
      <c r="H228" s="3">
        <f>G228</f>
        <v>2187.8069071366845</v>
      </c>
      <c r="I228" s="18">
        <f>AVERAGE(N225,'[2]EDB Database'!$F$588)</f>
        <v>651000</v>
      </c>
      <c r="J228" s="18">
        <f>'[2]EDB Database'!$N589</f>
        <v>21606.42</v>
      </c>
      <c r="K228" s="18">
        <f>'[2]EDB Database'!$P589</f>
        <v>11253.43</v>
      </c>
      <c r="L228" s="19">
        <f t="shared" si="122"/>
        <v>0.52083732520241677</v>
      </c>
      <c r="M228" s="18">
        <f>'[2]EDB Database'!$G589/1000</f>
        <v>116075.49231819999</v>
      </c>
      <c r="N228" s="18">
        <f>'[2]EDB Database'!$F589</f>
        <v>660347</v>
      </c>
      <c r="O228" s="3">
        <f t="shared" ref="O228:O234" si="126">M228</f>
        <v>116075.49231819999</v>
      </c>
    </row>
    <row r="229" spans="1:15">
      <c r="A229" s="101" t="str">
        <f>'[1]EDB Database'!A590</f>
        <v>Vector</v>
      </c>
      <c r="B229" s="101">
        <v>2001</v>
      </c>
      <c r="C229" s="102">
        <f>'[1]EDB Database'!B590</f>
        <v>2007</v>
      </c>
      <c r="D229" s="101">
        <v>2</v>
      </c>
      <c r="E229" s="17">
        <f t="shared" si="124"/>
        <v>106694.0972202571</v>
      </c>
      <c r="F229">
        <f t="shared" si="125"/>
        <v>1.0438528231223547</v>
      </c>
      <c r="G229" s="18">
        <f>'NZ MaxDemand Calcs'!N230</f>
        <v>2347.9892517643671</v>
      </c>
      <c r="H229" s="3">
        <f t="shared" ref="H229:H241" si="127">IF(G229&gt;H228,G229,H228)</f>
        <v>2347.9892517643671</v>
      </c>
      <c r="I229" s="18">
        <f t="shared" ref="I229:I233" si="128">AVERAGE(N228:N229)</f>
        <v>666012.5</v>
      </c>
      <c r="J229" s="18">
        <f>'[2]EDB Database'!$N590</f>
        <v>21743.96</v>
      </c>
      <c r="K229" s="18">
        <f>'[2]EDB Database'!$P590</f>
        <v>11376.49</v>
      </c>
      <c r="L229" s="19">
        <f t="shared" si="122"/>
        <v>0.52320230537583767</v>
      </c>
      <c r="M229" s="18">
        <f>'[2]EDB Database'!$G590/1000</f>
        <v>125568.792048</v>
      </c>
      <c r="N229" s="18">
        <f>'[2]EDB Database'!$F590</f>
        <v>671678</v>
      </c>
      <c r="O229" s="3">
        <f t="shared" si="126"/>
        <v>125568.792048</v>
      </c>
    </row>
    <row r="230" spans="1:15">
      <c r="A230" s="103" t="str">
        <f>'[1]EDB Database'!A591</f>
        <v>Vector</v>
      </c>
      <c r="B230" s="101">
        <v>2001</v>
      </c>
      <c r="C230" s="102">
        <f>'[1]EDB Database'!B591</f>
        <v>2008</v>
      </c>
      <c r="D230" s="101">
        <v>2</v>
      </c>
      <c r="E230" s="17">
        <f t="shared" si="124"/>
        <v>115421.195773221</v>
      </c>
      <c r="F230">
        <f t="shared" si="125"/>
        <v>1.0903851002750273</v>
      </c>
      <c r="G230" s="18">
        <f>'NZ MaxDemand Calcs'!N231</f>
        <v>2327</v>
      </c>
      <c r="H230" s="3">
        <f t="shared" si="127"/>
        <v>2347.9892517643671</v>
      </c>
      <c r="I230" s="18">
        <f t="shared" si="128"/>
        <v>675644.99983104703</v>
      </c>
      <c r="J230" s="18">
        <f>'[2]EDB Database'!$N591</f>
        <v>22010.28</v>
      </c>
      <c r="K230" s="18">
        <f>'[2]EDB Database'!$P591</f>
        <v>11669.14</v>
      </c>
      <c r="L230" s="19">
        <f t="shared" si="122"/>
        <v>0.53016772162825732</v>
      </c>
      <c r="M230" s="18">
        <f>'[2]EDB Database'!$G591/1000</f>
        <v>135839.75597131127</v>
      </c>
      <c r="N230" s="18">
        <f>'[2]EDB Database'!$F591</f>
        <v>679611.99966209405</v>
      </c>
      <c r="O230" s="3">
        <f t="shared" si="126"/>
        <v>135839.75597131127</v>
      </c>
    </row>
    <row r="231" spans="1:15">
      <c r="A231" s="101" t="str">
        <f>'[1]EDB Database'!A592</f>
        <v>Vector</v>
      </c>
      <c r="B231" s="101">
        <v>2001</v>
      </c>
      <c r="C231" s="102">
        <f>'[1]EDB Database'!B592</f>
        <v>2009</v>
      </c>
      <c r="D231" s="101">
        <v>2</v>
      </c>
      <c r="E231" s="17">
        <f t="shared" si="124"/>
        <v>93540</v>
      </c>
      <c r="F231">
        <f t="shared" si="125"/>
        <v>1.1562469092885455</v>
      </c>
      <c r="G231" s="18">
        <f>'NZ MaxDemand Calcs'!N232</f>
        <v>2324</v>
      </c>
      <c r="H231" s="3">
        <f t="shared" si="127"/>
        <v>2347.9892517643671</v>
      </c>
      <c r="I231" s="18">
        <f>I232*N231/N232</f>
        <v>519695.7335295658</v>
      </c>
      <c r="J231" s="18">
        <f>'[2]EDB Database'!$N592</f>
        <v>17537</v>
      </c>
      <c r="K231" s="18">
        <f>'[2]EDB Database'!$P592</f>
        <v>9005</v>
      </c>
      <c r="L231" s="19">
        <f t="shared" si="122"/>
        <v>0.51348577293721842</v>
      </c>
      <c r="M231" s="18">
        <f>'[2]EDB Database'!$G592/1000</f>
        <v>110087.67227227509</v>
      </c>
      <c r="N231" s="18">
        <f>'[2]EDB Database'!$F592</f>
        <v>522147</v>
      </c>
      <c r="O231" s="3">
        <f t="shared" si="126"/>
        <v>110087.67227227509</v>
      </c>
    </row>
    <row r="232" spans="1:15">
      <c r="A232" s="101" t="str">
        <f>'[1]EDB Database'!A593</f>
        <v>Vector</v>
      </c>
      <c r="B232" s="101">
        <v>2001</v>
      </c>
      <c r="C232" s="102">
        <f>'[1]EDB Database'!B593</f>
        <v>2010</v>
      </c>
      <c r="D232" s="101">
        <v>2</v>
      </c>
      <c r="E232" s="17">
        <f t="shared" si="124"/>
        <v>90122.364683198117</v>
      </c>
      <c r="F232">
        <f t="shared" si="125"/>
        <v>1.1601923412470114</v>
      </c>
      <c r="G232" s="18">
        <f>'NZ MaxDemand Calcs'!N233</f>
        <v>1854</v>
      </c>
      <c r="H232" s="3">
        <f t="shared" si="127"/>
        <v>2347.9892517643671</v>
      </c>
      <c r="I232" s="18">
        <f t="shared" si="128"/>
        <v>524621.5</v>
      </c>
      <c r="J232" s="18">
        <f>'[2]EDB Database'!$N593</f>
        <v>17631.06914099996</v>
      </c>
      <c r="K232" s="18">
        <f>'[2]EDB Database'!$P593</f>
        <v>9126.0691409999599</v>
      </c>
      <c r="L232" s="19">
        <f t="shared" si="122"/>
        <v>0.51761291774290941</v>
      </c>
      <c r="M232" s="18">
        <f>'[2]EDB Database'!$G593/1000</f>
        <v>106065.44096265097</v>
      </c>
      <c r="N232" s="18">
        <f>'[2]EDB Database'!$F593</f>
        <v>527096</v>
      </c>
      <c r="O232" s="3">
        <f t="shared" si="126"/>
        <v>106065.44096265097</v>
      </c>
    </row>
    <row r="233" spans="1:15">
      <c r="A233" s="101" t="str">
        <f>'[1]EDB Database'!A594</f>
        <v>Vector</v>
      </c>
      <c r="B233" s="101">
        <v>2001</v>
      </c>
      <c r="C233" s="102">
        <f>'[1]EDB Database'!B594</f>
        <v>2011</v>
      </c>
      <c r="D233" s="101">
        <v>2</v>
      </c>
      <c r="E233" s="17">
        <f t="shared" si="124"/>
        <v>92140</v>
      </c>
      <c r="F233">
        <f t="shared" si="125"/>
        <v>1.1900846681215445</v>
      </c>
      <c r="G233" s="18">
        <f>'NZ MaxDemand Calcs'!N234</f>
        <v>1896</v>
      </c>
      <c r="H233" s="3">
        <f t="shared" si="127"/>
        <v>2347.9892517643671</v>
      </c>
      <c r="I233" s="18">
        <f t="shared" si="128"/>
        <v>529140.5</v>
      </c>
      <c r="J233" s="18">
        <f>'[2]EDB Database'!$N594</f>
        <v>17719.783825999999</v>
      </c>
      <c r="K233" s="18">
        <f>'[2]EDB Database'!$P594</f>
        <v>9258.7838260000008</v>
      </c>
      <c r="L233" s="19">
        <f t="shared" si="122"/>
        <v>0.52251110492751685</v>
      </c>
      <c r="M233" s="18">
        <f>'[2]EDB Database'!$G594/1000</f>
        <v>108440.00559298081</v>
      </c>
      <c r="N233" s="18">
        <f>'[2]EDB Database'!$F594</f>
        <v>531185</v>
      </c>
      <c r="O233" s="3">
        <f t="shared" si="126"/>
        <v>108440.00559298081</v>
      </c>
    </row>
    <row r="234" spans="1:15">
      <c r="A234" s="101" t="str">
        <f>'[1]EDB Database'!A595</f>
        <v>Vector</v>
      </c>
      <c r="B234" s="101">
        <v>2001</v>
      </c>
      <c r="C234" s="102">
        <f>'[1]EDB Database'!B595</f>
        <v>2012</v>
      </c>
      <c r="D234" s="101">
        <v>2</v>
      </c>
      <c r="E234" s="17">
        <f>E235*M234/M235</f>
        <v>99575</v>
      </c>
      <c r="F234">
        <f t="shared" si="125"/>
        <v>1.2216652483575092</v>
      </c>
      <c r="G234" s="18">
        <f>'NZ MaxDemand Calcs'!N235</f>
        <v>2073</v>
      </c>
      <c r="H234" s="3">
        <f t="shared" si="127"/>
        <v>2347.9892517643671</v>
      </c>
      <c r="I234" s="18">
        <f>AVERAGE(N233:N234)</f>
        <v>532949</v>
      </c>
      <c r="J234" s="18">
        <f>'[2]EDB Database'!$N595</f>
        <v>17757.131076999882</v>
      </c>
      <c r="K234" s="18">
        <f>'[2]EDB Database'!$P595</f>
        <v>9312.2591299999604</v>
      </c>
      <c r="L234" s="19">
        <f t="shared" si="122"/>
        <v>0.52442362956152111</v>
      </c>
      <c r="M234" s="18">
        <f>'[2]EDB Database'!$G595/1000</f>
        <v>117190.29256480426</v>
      </c>
      <c r="N234" s="18">
        <f>'[2]EDB Database'!$F595</f>
        <v>534713</v>
      </c>
      <c r="O234" s="3">
        <f t="shared" si="126"/>
        <v>117190.29256480426</v>
      </c>
    </row>
    <row r="235" spans="1:15">
      <c r="A235" s="101" t="str">
        <f>'[1]EDB Database'!A596</f>
        <v>Vector</v>
      </c>
      <c r="B235" s="101">
        <v>2001</v>
      </c>
      <c r="C235" s="102">
        <f>'[1]EDB Database'!B596</f>
        <v>2013</v>
      </c>
      <c r="D235" s="101">
        <v>2</v>
      </c>
      <c r="E235" s="17">
        <f>[3]Sheet1!$M92</f>
        <v>95112</v>
      </c>
      <c r="F235">
        <f t="shared" si="125"/>
        <v>1.2421813017565195</v>
      </c>
      <c r="G235" s="18">
        <f>'NZ MaxDemand Calcs'!N236</f>
        <v>1827.401885876739</v>
      </c>
      <c r="H235" s="3">
        <f t="shared" si="127"/>
        <v>2347.9892517643671</v>
      </c>
      <c r="I235" s="18">
        <f>[4]Sheet1!$M90</f>
        <v>536085.83333333349</v>
      </c>
      <c r="J235" s="18">
        <f>[5]Sheet1!$M182</f>
        <v>17848.91422799998</v>
      </c>
      <c r="K235" s="18">
        <f>[5]Sheet1!$M188</f>
        <v>9416.5806809999503</v>
      </c>
      <c r="L235" s="19">
        <f t="shared" si="122"/>
        <v>0.52757162484583831</v>
      </c>
      <c r="M235" s="18">
        <f>'[2]EDB Database'!$G596/1000</f>
        <v>111937.76657216833</v>
      </c>
      <c r="O235" s="3">
        <f>M235</f>
        <v>111937.76657216833</v>
      </c>
    </row>
    <row r="236" spans="1:15" s="9" customFormat="1">
      <c r="A236" s="104" t="str">
        <f>'[1]EDB Database'!A597</f>
        <v>Vector Lines</v>
      </c>
      <c r="B236" s="104">
        <v>2001</v>
      </c>
      <c r="C236" s="105">
        <f>'[1]EDB Database'!B597</f>
        <v>2014</v>
      </c>
      <c r="D236" s="104">
        <v>2</v>
      </c>
      <c r="E236" s="17">
        <f>[3]Sheet1!$M93</f>
        <v>106706</v>
      </c>
      <c r="F236">
        <f t="shared" si="125"/>
        <v>1.27237461042106</v>
      </c>
      <c r="G236" s="18">
        <f>'NZ MaxDemand Calcs'!N237</f>
        <v>1864.7829881594309</v>
      </c>
      <c r="H236" s="3">
        <f t="shared" si="127"/>
        <v>2347.9892517643671</v>
      </c>
      <c r="I236" s="18">
        <v>540125</v>
      </c>
      <c r="J236" s="18">
        <f>[5]Sheet1!$M183</f>
        <v>17961</v>
      </c>
      <c r="K236" s="18">
        <f>[5]Sheet1!$M189</f>
        <v>9567</v>
      </c>
      <c r="L236" s="19">
        <f t="shared" si="122"/>
        <v>0.53265408384833801</v>
      </c>
      <c r="M236" s="18">
        <f>'[2]EDB Database'!$G597/1000</f>
        <v>125582.80048626663</v>
      </c>
      <c r="N236" s="42"/>
      <c r="O236" s="3">
        <f>O235*E236/E235</f>
        <v>125582.80048626666</v>
      </c>
    </row>
    <row r="237" spans="1:15" s="9" customFormat="1">
      <c r="A237" s="104" t="str">
        <f>'[7]2015 data'!P$39</f>
        <v>Vector Lines</v>
      </c>
      <c r="B237" s="104">
        <f>'[7]2015 data'!Q$39</f>
        <v>2001</v>
      </c>
      <c r="C237" s="104">
        <f>'[7]2015 data'!R$39</f>
        <v>2015</v>
      </c>
      <c r="D237" s="104">
        <f>'[7]2015 data'!S$39</f>
        <v>2</v>
      </c>
      <c r="E237" s="17">
        <f>[3]Sheet1!$M94</f>
        <v>112188</v>
      </c>
      <c r="F237">
        <f t="shared" si="125"/>
        <v>1.2816685951411126</v>
      </c>
      <c r="G237" s="18">
        <f>'NZ MaxDemand Calcs'!N238</f>
        <v>1849.5101377982169</v>
      </c>
      <c r="H237" s="3">
        <f t="shared" si="127"/>
        <v>2347.9892517643671</v>
      </c>
      <c r="I237" s="18">
        <f>[4]Sheet1!$M$91</f>
        <v>540539</v>
      </c>
      <c r="J237" s="18">
        <f>[5]Sheet1!$M184</f>
        <v>18116.144</v>
      </c>
      <c r="K237" s="18">
        <f>[5]Sheet1!$M190</f>
        <v>9741.5499999999993</v>
      </c>
      <c r="L237" s="19">
        <f t="shared" si="122"/>
        <v>0.53772756498292351</v>
      </c>
      <c r="M237" s="131"/>
      <c r="N237" s="42"/>
      <c r="O237" s="3">
        <f t="shared" ref="O237:O242" si="129">O236*E237/E236</f>
        <v>132034.5924404746</v>
      </c>
    </row>
    <row r="238" spans="1:15" s="9" customFormat="1">
      <c r="A238" s="104" t="str">
        <f t="shared" ref="A238:B242" si="130">A237</f>
        <v>Vector Lines</v>
      </c>
      <c r="B238" s="104">
        <f t="shared" si="130"/>
        <v>2001</v>
      </c>
      <c r="C238" s="104">
        <f>C237+1</f>
        <v>2016</v>
      </c>
      <c r="D238" s="104">
        <v>2</v>
      </c>
      <c r="E238" s="17">
        <f>[3]Sheet1!$M95</f>
        <v>108873</v>
      </c>
      <c r="F238">
        <f t="shared" si="125"/>
        <v>1.2867539916420168</v>
      </c>
      <c r="G238" s="18">
        <f>'NZ MaxDemand Calcs'!N239</f>
        <v>1874.1410801080294</v>
      </c>
      <c r="H238" s="3">
        <f t="shared" si="127"/>
        <v>2347.9892517643671</v>
      </c>
      <c r="I238" s="18">
        <v>545968</v>
      </c>
      <c r="J238" s="18">
        <f>[5]Sheet1!$M185</f>
        <v>18265.681</v>
      </c>
      <c r="K238" s="18">
        <f>[5]Sheet1!$M191</f>
        <v>9921.2890000000007</v>
      </c>
      <c r="L238" s="19">
        <f t="shared" si="122"/>
        <v>0.54316556825885665</v>
      </c>
      <c r="M238" s="131"/>
      <c r="N238" s="42"/>
      <c r="O238" s="3">
        <f t="shared" si="129"/>
        <v>128133.15312485998</v>
      </c>
    </row>
    <row r="239" spans="1:15" s="9" customFormat="1">
      <c r="A239" s="104" t="str">
        <f t="shared" si="130"/>
        <v>Vector Lines</v>
      </c>
      <c r="B239" s="104">
        <f t="shared" si="130"/>
        <v>2001</v>
      </c>
      <c r="C239" s="104">
        <f>C238+1</f>
        <v>2017</v>
      </c>
      <c r="D239" s="104">
        <v>2</v>
      </c>
      <c r="E239" s="17">
        <f>[3]Sheet1!$M96</f>
        <v>107863</v>
      </c>
      <c r="F239">
        <f t="shared" si="125"/>
        <v>1.3063682360796467</v>
      </c>
      <c r="G239" s="18">
        <f>'NZ MaxDemand Calcs'!N240</f>
        <v>1813.0689032300611</v>
      </c>
      <c r="H239" s="3">
        <f t="shared" si="127"/>
        <v>2347.9892517643671</v>
      </c>
      <c r="I239" s="18">
        <v>551728</v>
      </c>
      <c r="J239" s="18">
        <f>[5]Sheet1!$M186</f>
        <v>18455.371760096899</v>
      </c>
      <c r="K239" s="18">
        <f>[5]Sheet1!$M192</f>
        <v>10100.897760096899</v>
      </c>
      <c r="L239" s="19">
        <f t="shared" si="122"/>
        <v>0.54731478137636091</v>
      </c>
      <c r="M239" s="131"/>
      <c r="N239" s="42"/>
      <c r="O239" s="3">
        <f t="shared" si="129"/>
        <v>126944.47930622626</v>
      </c>
    </row>
    <row r="240" spans="1:15" s="9" customFormat="1">
      <c r="A240" s="104" t="str">
        <f t="shared" si="130"/>
        <v>Vector Lines</v>
      </c>
      <c r="B240" s="104">
        <f t="shared" si="130"/>
        <v>2001</v>
      </c>
      <c r="C240" s="104">
        <f>C239+1</f>
        <v>2018</v>
      </c>
      <c r="D240" s="104">
        <v>2</v>
      </c>
      <c r="E240" s="17">
        <f>[3]Sheet1!$M97</f>
        <v>113414.8866205727</v>
      </c>
      <c r="F240">
        <f t="shared" si="125"/>
        <v>1.3404204496621166</v>
      </c>
      <c r="G240" s="18">
        <f>'NZ MaxDemand Calcs'!N241</f>
        <v>1888.4356136209308</v>
      </c>
      <c r="H240" s="3">
        <f t="shared" si="127"/>
        <v>2347.9892517643671</v>
      </c>
      <c r="I240" s="18">
        <f>[4]Sheet1!$M$92</f>
        <v>557490</v>
      </c>
      <c r="J240" s="18">
        <f>[5]Sheet1!$M187</f>
        <v>18658.018</v>
      </c>
      <c r="K240" s="18">
        <f>[5]Sheet1!$M193</f>
        <v>10314.826999999999</v>
      </c>
      <c r="L240" s="19">
        <f t="shared" si="122"/>
        <v>0.55283615869595581</v>
      </c>
      <c r="M240" s="131"/>
      <c r="N240" s="42"/>
      <c r="O240" s="3">
        <f t="shared" si="129"/>
        <v>133478.52115761003</v>
      </c>
    </row>
    <row r="241" spans="1:15" s="9" customFormat="1">
      <c r="A241" s="104" t="str">
        <f t="shared" si="130"/>
        <v>Vector Lines</v>
      </c>
      <c r="B241" s="104">
        <f t="shared" si="130"/>
        <v>2001</v>
      </c>
      <c r="C241" s="104">
        <f>C240+1</f>
        <v>2019</v>
      </c>
      <c r="D241" s="104">
        <v>2</v>
      </c>
      <c r="E241" s="17">
        <f>[8]Sheet1!$M$26</f>
        <v>121961</v>
      </c>
      <c r="F241">
        <f t="shared" si="125"/>
        <v>1.3740587734764929</v>
      </c>
      <c r="G241" s="18">
        <f>'NZ MaxDemand Calcs'!N242</f>
        <v>1944.5435801157575</v>
      </c>
      <c r="H241" s="3">
        <f t="shared" si="127"/>
        <v>2347.9892517643671</v>
      </c>
      <c r="I241" s="94">
        <v>565200</v>
      </c>
      <c r="J241" s="18">
        <f>[10]Sheet1!$M$51</f>
        <v>18707.657999999999</v>
      </c>
      <c r="K241" s="18">
        <f>[10]Sheet1!$M$50</f>
        <v>10525.802</v>
      </c>
      <c r="L241" s="19">
        <f t="shared" si="122"/>
        <v>0.56264669794583588</v>
      </c>
      <c r="M241" s="131"/>
      <c r="N241" s="42"/>
      <c r="O241" s="3">
        <f t="shared" si="129"/>
        <v>143536.48276671948</v>
      </c>
    </row>
    <row r="242" spans="1:15" s="9" customFormat="1">
      <c r="A242" s="104" t="str">
        <f t="shared" si="130"/>
        <v>Vector Lines</v>
      </c>
      <c r="B242" s="104">
        <f t="shared" si="130"/>
        <v>2001</v>
      </c>
      <c r="C242" s="104">
        <f>C241+1</f>
        <v>2020</v>
      </c>
      <c r="D242" s="104">
        <v>2</v>
      </c>
      <c r="E242" s="17">
        <f>[11]Sheet1!$M$26</f>
        <v>129235</v>
      </c>
      <c r="F242" s="142">
        <f t="shared" si="125"/>
        <v>1.4000516345247649</v>
      </c>
      <c r="G242" s="18">
        <f>'NZ MaxDemand Calcs'!N243</f>
        <v>1863.7149566656396</v>
      </c>
      <c r="H242" s="3">
        <f t="shared" ref="H242" si="131">IF(G242&gt;H241,G242,H241)</f>
        <v>2347.9892517643671</v>
      </c>
      <c r="I242" s="94">
        <v>573860</v>
      </c>
      <c r="J242" s="18">
        <f>[13]Sheet1!$M$51</f>
        <v>18949.526000000002</v>
      </c>
      <c r="K242" s="18">
        <f>[13]Sheet1!$M$50</f>
        <v>10654.742</v>
      </c>
      <c r="L242" s="19">
        <f t="shared" si="122"/>
        <v>0.56226957866914451</v>
      </c>
      <c r="M242" s="131"/>
      <c r="N242" s="42"/>
      <c r="O242" s="3">
        <f t="shared" si="129"/>
        <v>152097.28807042408</v>
      </c>
    </row>
    <row r="243" spans="1:15">
      <c r="A243" s="101" t="str">
        <f>'[1]EDB Database'!A612</f>
        <v>Waipa Networks</v>
      </c>
      <c r="B243" s="101">
        <v>2018</v>
      </c>
      <c r="C243" s="102">
        <f>'[1]EDB Database'!B612</f>
        <v>2006</v>
      </c>
      <c r="D243" s="101">
        <v>2</v>
      </c>
      <c r="E243" s="17">
        <f t="shared" ref="E243:E248" si="132">E244*M243/M244</f>
        <v>4078.3200000000011</v>
      </c>
      <c r="F243">
        <f t="shared" ref="F243:F257" si="133">F228</f>
        <v>1</v>
      </c>
      <c r="G243" s="18">
        <f>'NZ MaxDemand Calcs'!N244</f>
        <v>59.484828891544481</v>
      </c>
      <c r="H243" s="3">
        <f>G243</f>
        <v>59.484828891544481</v>
      </c>
      <c r="I243" s="18">
        <f>AVERAGE(N240,'[2]EDB Database'!$F$611)</f>
        <v>21107</v>
      </c>
      <c r="J243" s="18">
        <f>'[2]EDB Database'!$N612</f>
        <v>1955</v>
      </c>
      <c r="K243" s="18">
        <f>'[2]EDB Database'!$P612</f>
        <v>232</v>
      </c>
      <c r="L243" s="19">
        <f t="shared" si="122"/>
        <v>0.11867007672634271</v>
      </c>
      <c r="M243" s="18">
        <f>'[2]EDB Database'!$G612/1000</f>
        <v>4078.32</v>
      </c>
      <c r="N243" s="18">
        <f>'[2]EDB Database'!$F612</f>
        <v>21538</v>
      </c>
      <c r="O243" s="3">
        <f t="shared" ref="O243:O249" si="134">M243</f>
        <v>4078.32</v>
      </c>
    </row>
    <row r="244" spans="1:15">
      <c r="A244" s="101" t="str">
        <f>'[1]EDB Database'!A613</f>
        <v>Waipa Networks</v>
      </c>
      <c r="B244" s="101">
        <v>2018</v>
      </c>
      <c r="C244" s="102">
        <f>'[1]EDB Database'!B613</f>
        <v>2007</v>
      </c>
      <c r="D244" s="101">
        <v>2</v>
      </c>
      <c r="E244" s="17">
        <f t="shared" si="132"/>
        <v>4121.9240000000009</v>
      </c>
      <c r="F244">
        <f t="shared" si="133"/>
        <v>1.0438528231223547</v>
      </c>
      <c r="G244" s="18">
        <f>'NZ MaxDemand Calcs'!N245</f>
        <v>58.887266250292505</v>
      </c>
      <c r="H244" s="3">
        <f t="shared" ref="H244:H256" si="135">IF(G244&gt;H243,G244,H243)</f>
        <v>59.484828891544481</v>
      </c>
      <c r="I244" s="18">
        <f t="shared" ref="I244:I248" si="136">AVERAGE(N243:N244)</f>
        <v>21772</v>
      </c>
      <c r="J244" s="18">
        <f>'[2]EDB Database'!$N613</f>
        <v>1981</v>
      </c>
      <c r="K244" s="18">
        <f>'[2]EDB Database'!$P613</f>
        <v>254</v>
      </c>
      <c r="L244" s="19">
        <f t="shared" si="122"/>
        <v>0.12821807168096921</v>
      </c>
      <c r="M244" s="18">
        <f>'[2]EDB Database'!$G613/1000</f>
        <v>4121.924</v>
      </c>
      <c r="N244" s="18">
        <f>'[2]EDB Database'!$F613</f>
        <v>22006</v>
      </c>
      <c r="O244" s="3">
        <f t="shared" si="134"/>
        <v>4121.924</v>
      </c>
    </row>
    <row r="245" spans="1:15">
      <c r="A245" s="103" t="str">
        <f>'[1]EDB Database'!A614</f>
        <v>Waipa Networks</v>
      </c>
      <c r="B245" s="101">
        <v>2018</v>
      </c>
      <c r="C245" s="102">
        <f>'[1]EDB Database'!B614</f>
        <v>2008</v>
      </c>
      <c r="D245" s="101">
        <v>2</v>
      </c>
      <c r="E245" s="17">
        <f t="shared" si="132"/>
        <v>3946.5791000000004</v>
      </c>
      <c r="F245">
        <f t="shared" si="133"/>
        <v>1.0903851002750273</v>
      </c>
      <c r="G245" s="18">
        <f>'NZ MaxDemand Calcs'!N246</f>
        <v>61.548000000000002</v>
      </c>
      <c r="H245" s="3">
        <f t="shared" si="135"/>
        <v>61.548000000000002</v>
      </c>
      <c r="I245" s="18">
        <f t="shared" si="136"/>
        <v>22354</v>
      </c>
      <c r="J245" s="18">
        <f>'[2]EDB Database'!$N614</f>
        <v>2009.37941</v>
      </c>
      <c r="K245" s="18">
        <f>'[2]EDB Database'!$P614</f>
        <v>285.28136000000001</v>
      </c>
      <c r="L245" s="19">
        <f t="shared" si="122"/>
        <v>0.14197485979016775</v>
      </c>
      <c r="M245" s="18">
        <f>'[2]EDB Database'!$G614/1000</f>
        <v>3946.5790999999999</v>
      </c>
      <c r="N245" s="18">
        <f>'[2]EDB Database'!$F614</f>
        <v>22702</v>
      </c>
      <c r="O245" s="3">
        <f t="shared" si="134"/>
        <v>3946.5790999999999</v>
      </c>
    </row>
    <row r="246" spans="1:15">
      <c r="A246" s="101" t="str">
        <f>'[1]EDB Database'!A615</f>
        <v>Waipa Networks</v>
      </c>
      <c r="B246" s="101">
        <v>2018</v>
      </c>
      <c r="C246" s="102">
        <f>'[1]EDB Database'!B615</f>
        <v>2009</v>
      </c>
      <c r="D246" s="101">
        <v>2</v>
      </c>
      <c r="E246" s="17">
        <f t="shared" si="132"/>
        <v>4650.2636299999995</v>
      </c>
      <c r="F246">
        <f t="shared" si="133"/>
        <v>1.1562469092885455</v>
      </c>
      <c r="G246" s="18">
        <f>'NZ MaxDemand Calcs'!N247</f>
        <v>62.595999999999997</v>
      </c>
      <c r="H246" s="3">
        <f t="shared" si="135"/>
        <v>62.595999999999997</v>
      </c>
      <c r="I246" s="18">
        <f t="shared" si="136"/>
        <v>22799.5</v>
      </c>
      <c r="J246" s="18">
        <f>'[2]EDB Database'!$N615</f>
        <v>2057.8510099999999</v>
      </c>
      <c r="K246" s="18">
        <f>'[2]EDB Database'!$P615</f>
        <v>322.75601999999998</v>
      </c>
      <c r="L246" s="19">
        <f t="shared" si="122"/>
        <v>0.15684129629967722</v>
      </c>
      <c r="M246" s="18">
        <f>'[2]EDB Database'!$G615/1000</f>
        <v>4650.2636299999995</v>
      </c>
      <c r="N246" s="18">
        <f>'[2]EDB Database'!$F615</f>
        <v>22897</v>
      </c>
      <c r="O246" s="3">
        <f t="shared" si="134"/>
        <v>4650.2636299999995</v>
      </c>
    </row>
    <row r="247" spans="1:15">
      <c r="A247" s="101" t="str">
        <f>'[1]EDB Database'!A616</f>
        <v>Waipa Networks</v>
      </c>
      <c r="B247" s="101">
        <v>2018</v>
      </c>
      <c r="C247" s="102">
        <f>'[1]EDB Database'!B616</f>
        <v>2010</v>
      </c>
      <c r="D247" s="101">
        <v>2</v>
      </c>
      <c r="E247" s="17">
        <f t="shared" si="132"/>
        <v>5054.5727300000008</v>
      </c>
      <c r="F247">
        <f t="shared" si="133"/>
        <v>1.1601923412470114</v>
      </c>
      <c r="G247" s="18">
        <f>'NZ MaxDemand Calcs'!N248</f>
        <v>76.284000000000006</v>
      </c>
      <c r="H247" s="3">
        <f t="shared" si="135"/>
        <v>76.284000000000006</v>
      </c>
      <c r="I247" s="18">
        <f t="shared" si="136"/>
        <v>23036.5</v>
      </c>
      <c r="J247" s="18">
        <f>'[2]EDB Database'!$N616</f>
        <v>2072.49575</v>
      </c>
      <c r="K247" s="18">
        <f>'[2]EDB Database'!$P616</f>
        <v>340.08667000000003</v>
      </c>
      <c r="L247" s="19">
        <f t="shared" si="122"/>
        <v>0.16409523155837594</v>
      </c>
      <c r="M247" s="18">
        <f>'[2]EDB Database'!$G616/1000</f>
        <v>5054.5727300000008</v>
      </c>
      <c r="N247" s="18">
        <f>'[2]EDB Database'!$F616</f>
        <v>23176</v>
      </c>
      <c r="O247" s="3">
        <f t="shared" si="134"/>
        <v>5054.5727300000008</v>
      </c>
    </row>
    <row r="248" spans="1:15">
      <c r="A248" s="101" t="str">
        <f>'[1]EDB Database'!A617</f>
        <v>Waipa Networks</v>
      </c>
      <c r="B248" s="101">
        <v>2018</v>
      </c>
      <c r="C248" s="102">
        <f>'[1]EDB Database'!B617</f>
        <v>2011</v>
      </c>
      <c r="D248" s="101">
        <v>2</v>
      </c>
      <c r="E248" s="17">
        <f t="shared" si="132"/>
        <v>5418.0295599999999</v>
      </c>
      <c r="F248">
        <f t="shared" si="133"/>
        <v>1.1900846681215445</v>
      </c>
      <c r="G248" s="18">
        <f>'NZ MaxDemand Calcs'!N249</f>
        <v>72.451999999999998</v>
      </c>
      <c r="H248" s="3">
        <f t="shared" si="135"/>
        <v>76.284000000000006</v>
      </c>
      <c r="I248" s="18">
        <f t="shared" si="136"/>
        <v>23343</v>
      </c>
      <c r="J248" s="18">
        <f>'[2]EDB Database'!$N617</f>
        <v>2084.11267</v>
      </c>
      <c r="K248" s="18">
        <f>'[2]EDB Database'!$P617</f>
        <v>348.74381</v>
      </c>
      <c r="L248" s="19">
        <f t="shared" si="122"/>
        <v>0.16733443206791696</v>
      </c>
      <c r="M248" s="18">
        <f>'[2]EDB Database'!$G617/1000</f>
        <v>5418.0295599999999</v>
      </c>
      <c r="N248" s="18">
        <f>'[2]EDB Database'!$F617</f>
        <v>23510</v>
      </c>
      <c r="O248" s="3">
        <f t="shared" si="134"/>
        <v>5418.0295599999999</v>
      </c>
    </row>
    <row r="249" spans="1:15">
      <c r="A249" s="101" t="str">
        <f>'[1]EDB Database'!A618</f>
        <v>Waipa Networks</v>
      </c>
      <c r="B249" s="101">
        <v>2018</v>
      </c>
      <c r="C249" s="102">
        <f>'[1]EDB Database'!B618</f>
        <v>2012</v>
      </c>
      <c r="D249" s="101">
        <v>2</v>
      </c>
      <c r="E249" s="17">
        <f>E250*M249/M250</f>
        <v>4677.3650099999995</v>
      </c>
      <c r="F249">
        <f t="shared" si="133"/>
        <v>1.2216652483575092</v>
      </c>
      <c r="G249" s="18">
        <f>'NZ MaxDemand Calcs'!N250</f>
        <v>70.16</v>
      </c>
      <c r="H249" s="3">
        <f t="shared" si="135"/>
        <v>76.284000000000006</v>
      </c>
      <c r="I249" s="18">
        <f>AVERAGE(N248:N249)</f>
        <v>23634.5</v>
      </c>
      <c r="J249" s="18">
        <f>'[2]EDB Database'!$N618</f>
        <v>2087.49197</v>
      </c>
      <c r="K249" s="18">
        <f>'[2]EDB Database'!$P618</f>
        <v>352.35500000000002</v>
      </c>
      <c r="L249" s="19">
        <f t="shared" si="122"/>
        <v>0.16879346367018599</v>
      </c>
      <c r="M249" s="18">
        <f>'[2]EDB Database'!$G618/1000</f>
        <v>4677.3650099999995</v>
      </c>
      <c r="N249" s="18">
        <f>'[2]EDB Database'!$F618</f>
        <v>23759</v>
      </c>
      <c r="O249" s="3">
        <f t="shared" si="134"/>
        <v>4677.3650099999995</v>
      </c>
    </row>
    <row r="250" spans="1:15">
      <c r="A250" s="101" t="str">
        <f>'[1]EDB Database'!A619</f>
        <v>Waipa Networks</v>
      </c>
      <c r="B250" s="101">
        <v>2018</v>
      </c>
      <c r="C250" s="102">
        <f>'[1]EDB Database'!B619</f>
        <v>2013</v>
      </c>
      <c r="D250" s="101">
        <v>2</v>
      </c>
      <c r="E250" s="17">
        <f>[3]Sheet1!$M98</f>
        <v>4753</v>
      </c>
      <c r="F250">
        <f t="shared" si="133"/>
        <v>1.2421813017565195</v>
      </c>
      <c r="G250" s="18">
        <f>'NZ MaxDemand Calcs'!N251</f>
        <v>68.405799290536663</v>
      </c>
      <c r="H250" s="3">
        <f t="shared" si="135"/>
        <v>76.284000000000006</v>
      </c>
      <c r="I250" s="18">
        <f>[4]Sheet1!$M93</f>
        <v>23832</v>
      </c>
      <c r="J250" s="18">
        <f>[5]Sheet1!$M194</f>
        <v>2076.4400399999981</v>
      </c>
      <c r="K250" s="18">
        <f>[5]Sheet1!$M200</f>
        <v>351.67791000000011</v>
      </c>
      <c r="L250" s="19">
        <f t="shared" si="122"/>
        <v>0.16936579107769489</v>
      </c>
      <c r="M250" s="18">
        <f>'[2]EDB Database'!$G619/1000</f>
        <v>4753</v>
      </c>
      <c r="O250" s="3">
        <f>M250</f>
        <v>4753</v>
      </c>
    </row>
    <row r="251" spans="1:15" s="9" customFormat="1">
      <c r="A251" s="104" t="str">
        <f>'[1]EDB Database'!A620</f>
        <v>Waipa Networks</v>
      </c>
      <c r="B251" s="104">
        <v>2018</v>
      </c>
      <c r="C251" s="105">
        <f>'[1]EDB Database'!B620</f>
        <v>2014</v>
      </c>
      <c r="D251" s="104">
        <v>2</v>
      </c>
      <c r="E251" s="17">
        <f>[3]Sheet1!$M99</f>
        <v>4548</v>
      </c>
      <c r="F251">
        <f t="shared" si="133"/>
        <v>1.27237461042106</v>
      </c>
      <c r="G251" s="18">
        <f>'NZ MaxDemand Calcs'!N252</f>
        <v>68.425890307815521</v>
      </c>
      <c r="H251" s="3">
        <f t="shared" si="135"/>
        <v>76.284000000000006</v>
      </c>
      <c r="I251" s="18">
        <f>[4]Sheet1!$M94</f>
        <v>24203</v>
      </c>
      <c r="J251" s="18">
        <f>[5]Sheet1!$M195</f>
        <v>2099.591619999997</v>
      </c>
      <c r="K251" s="18">
        <f>[5]Sheet1!$M201</f>
        <v>370.8433500000001</v>
      </c>
      <c r="L251" s="19">
        <f t="shared" si="122"/>
        <v>0.17662641937959375</v>
      </c>
      <c r="M251" s="18">
        <f>'[2]EDB Database'!$G620/1000</f>
        <v>4548</v>
      </c>
      <c r="N251" s="42"/>
      <c r="O251" s="3">
        <f>O250*E251/E250</f>
        <v>4548</v>
      </c>
    </row>
    <row r="252" spans="1:15" s="9" customFormat="1">
      <c r="A252" s="104" t="str">
        <f>'[7]2015 data'!P$41</f>
        <v>Waipa Networks</v>
      </c>
      <c r="B252" s="104">
        <f>'[7]2015 data'!Q$41</f>
        <v>2018</v>
      </c>
      <c r="C252" s="104">
        <f>'[7]2015 data'!R$41</f>
        <v>2015</v>
      </c>
      <c r="D252" s="104">
        <f>'[7]2015 data'!S$41</f>
        <v>2</v>
      </c>
      <c r="E252" s="17">
        <f>[3]Sheet1!$M100</f>
        <v>5242</v>
      </c>
      <c r="F252">
        <f t="shared" si="133"/>
        <v>1.2816685951411126</v>
      </c>
      <c r="G252" s="18">
        <f>'NZ MaxDemand Calcs'!N253</f>
        <v>69.246109600640779</v>
      </c>
      <c r="H252" s="3">
        <f t="shared" si="135"/>
        <v>76.284000000000006</v>
      </c>
      <c r="I252" s="18">
        <f>[4]Sheet1!$M95</f>
        <v>24598</v>
      </c>
      <c r="J252" s="18">
        <f>[5]Sheet1!$M196</f>
        <v>2116.7104899999981</v>
      </c>
      <c r="K252" s="18">
        <f>[5]Sheet1!$M202</f>
        <v>389.1166300000001</v>
      </c>
      <c r="L252" s="19">
        <f t="shared" si="122"/>
        <v>0.18383082232469139</v>
      </c>
      <c r="M252" s="131"/>
      <c r="N252" s="42"/>
      <c r="O252" s="3">
        <f t="shared" ref="O252:O257" si="137">O251*E252/E251</f>
        <v>5242</v>
      </c>
    </row>
    <row r="253" spans="1:15" s="9" customFormat="1">
      <c r="A253" s="104" t="str">
        <f t="shared" ref="A253:B257" si="138">A252</f>
        <v>Waipa Networks</v>
      </c>
      <c r="B253" s="104">
        <f t="shared" si="138"/>
        <v>2018</v>
      </c>
      <c r="C253" s="104">
        <f>C252+1</f>
        <v>2016</v>
      </c>
      <c r="D253" s="104">
        <v>2</v>
      </c>
      <c r="E253" s="17">
        <f>[3]Sheet1!$M101</f>
        <v>5736</v>
      </c>
      <c r="F253">
        <f t="shared" si="133"/>
        <v>1.2867539916420168</v>
      </c>
      <c r="G253" s="18">
        <f>'NZ MaxDemand Calcs'!N254</f>
        <v>73.100152786359956</v>
      </c>
      <c r="H253" s="3">
        <f t="shared" si="135"/>
        <v>76.284000000000006</v>
      </c>
      <c r="I253" s="18">
        <f>[4]Sheet1!$M96</f>
        <v>25099</v>
      </c>
      <c r="J253" s="18">
        <f>[5]Sheet1!$M197</f>
        <v>2135.9465699999978</v>
      </c>
      <c r="K253" s="18">
        <f>[5]Sheet1!$M203</f>
        <v>401.26453000000009</v>
      </c>
      <c r="L253" s="19">
        <f t="shared" si="122"/>
        <v>0.18786262523411365</v>
      </c>
      <c r="M253" s="131"/>
      <c r="N253" s="42"/>
      <c r="O253" s="3">
        <f t="shared" si="137"/>
        <v>5736</v>
      </c>
    </row>
    <row r="254" spans="1:15" s="9" customFormat="1">
      <c r="A254" s="104" t="str">
        <f t="shared" si="138"/>
        <v>Waipa Networks</v>
      </c>
      <c r="B254" s="104">
        <f t="shared" si="138"/>
        <v>2018</v>
      </c>
      <c r="C254" s="104">
        <f>C253+1</f>
        <v>2017</v>
      </c>
      <c r="D254" s="104">
        <v>2</v>
      </c>
      <c r="E254" s="17">
        <f>[3]Sheet1!$M102</f>
        <v>6263</v>
      </c>
      <c r="F254">
        <f t="shared" si="133"/>
        <v>1.3063682360796467</v>
      </c>
      <c r="G254" s="18">
        <f>'NZ MaxDemand Calcs'!N255</f>
        <v>73.574067971163714</v>
      </c>
      <c r="H254" s="3">
        <f t="shared" si="135"/>
        <v>76.284000000000006</v>
      </c>
      <c r="I254" s="18">
        <f>[4]Sheet1!$M97</f>
        <v>25614</v>
      </c>
      <c r="J254" s="18">
        <f>[5]Sheet1!$M198</f>
        <v>2187.1608499999979</v>
      </c>
      <c r="K254" s="18">
        <f>[5]Sheet1!$M204</f>
        <v>418.11674000000022</v>
      </c>
      <c r="L254" s="19">
        <f t="shared" si="122"/>
        <v>0.19116871994119711</v>
      </c>
      <c r="M254" s="131"/>
      <c r="N254" s="42"/>
      <c r="O254" s="3">
        <f t="shared" si="137"/>
        <v>6263</v>
      </c>
    </row>
    <row r="255" spans="1:15" s="9" customFormat="1">
      <c r="A255" s="104" t="str">
        <f t="shared" si="138"/>
        <v>Waipa Networks</v>
      </c>
      <c r="B255" s="104">
        <f t="shared" si="138"/>
        <v>2018</v>
      </c>
      <c r="C255" s="104">
        <f>C254+1</f>
        <v>2018</v>
      </c>
      <c r="D255" s="104">
        <v>2</v>
      </c>
      <c r="E255" s="17">
        <f>[3]Sheet1!$M103</f>
        <v>6550</v>
      </c>
      <c r="F255">
        <f t="shared" si="133"/>
        <v>1.3404204496621166</v>
      </c>
      <c r="G255" s="18">
        <f>'NZ MaxDemand Calcs'!N256</f>
        <v>74.313040073234902</v>
      </c>
      <c r="H255" s="3">
        <f t="shared" si="135"/>
        <v>76.284000000000006</v>
      </c>
      <c r="I255" s="18">
        <f>[4]Sheet1!$M98</f>
        <v>26077</v>
      </c>
      <c r="J255" s="18">
        <f>[5]Sheet1!$M199</f>
        <v>2211.7859399999979</v>
      </c>
      <c r="K255" s="18">
        <f>[5]Sheet1!$M205</f>
        <v>441.93091000000021</v>
      </c>
      <c r="L255" s="19">
        <f t="shared" si="122"/>
        <v>0.19980726977584487</v>
      </c>
      <c r="M255" s="131"/>
      <c r="N255" s="42"/>
      <c r="O255" s="3">
        <f t="shared" si="137"/>
        <v>6550</v>
      </c>
    </row>
    <row r="256" spans="1:15" s="9" customFormat="1">
      <c r="A256" s="104" t="str">
        <f t="shared" si="138"/>
        <v>Waipa Networks</v>
      </c>
      <c r="B256" s="104">
        <f t="shared" si="138"/>
        <v>2018</v>
      </c>
      <c r="C256" s="104">
        <f>C255+1</f>
        <v>2019</v>
      </c>
      <c r="D256" s="104">
        <v>2</v>
      </c>
      <c r="E256" s="17">
        <f>[8]Sheet1!$M$28</f>
        <v>8007</v>
      </c>
      <c r="F256">
        <f t="shared" si="133"/>
        <v>1.3740587734764929</v>
      </c>
      <c r="G256" s="18">
        <f>'NZ MaxDemand Calcs'!N257</f>
        <v>74.256480146469826</v>
      </c>
      <c r="H256" s="3">
        <f t="shared" si="135"/>
        <v>76.284000000000006</v>
      </c>
      <c r="I256" s="18">
        <f>[9]Sheet1!$M$25</f>
        <v>26672</v>
      </c>
      <c r="J256" s="18">
        <f>[10]Sheet1!$M$55</f>
        <v>2230.6557299999981</v>
      </c>
      <c r="K256" s="18">
        <f>[10]Sheet1!$M$54</f>
        <v>458.68133000000017</v>
      </c>
      <c r="L256" s="19">
        <f t="shared" si="122"/>
        <v>0.20562623081240805</v>
      </c>
      <c r="M256" s="131"/>
      <c r="N256" s="42"/>
      <c r="O256" s="3">
        <f t="shared" si="137"/>
        <v>8007</v>
      </c>
    </row>
    <row r="257" spans="1:15" s="9" customFormat="1">
      <c r="A257" s="104" t="str">
        <f t="shared" si="138"/>
        <v>Waipa Networks</v>
      </c>
      <c r="B257" s="104">
        <f t="shared" si="138"/>
        <v>2018</v>
      </c>
      <c r="C257" s="104">
        <f>C256+1</f>
        <v>2020</v>
      </c>
      <c r="D257" s="104">
        <v>2</v>
      </c>
      <c r="E257" s="17">
        <f>[11]Sheet1!$M$28</f>
        <v>8321</v>
      </c>
      <c r="F257" s="142">
        <f t="shared" si="133"/>
        <v>1.4000516345247649</v>
      </c>
      <c r="G257" s="18">
        <f>'NZ MaxDemand Calcs'!N258</f>
        <v>72.078782469390063</v>
      </c>
      <c r="H257" s="3">
        <f t="shared" ref="H257" si="139">IF(G257&gt;H256,G257,H256)</f>
        <v>76.284000000000006</v>
      </c>
      <c r="I257" s="18">
        <f>[12]Sheet1!$M$21</f>
        <v>27217</v>
      </c>
      <c r="J257" s="18">
        <f>[13]Sheet1!$M$54</f>
        <v>2268.1144199999972</v>
      </c>
      <c r="K257" s="18">
        <f>[13]Sheet1!$M$55</f>
        <v>491.81110000000012</v>
      </c>
      <c r="L257" s="19">
        <f t="shared" si="122"/>
        <v>0.21683698832089818</v>
      </c>
      <c r="M257" s="131"/>
      <c r="N257" s="42"/>
      <c r="O257" s="3">
        <f t="shared" si="137"/>
        <v>8321</v>
      </c>
    </row>
    <row r="258" spans="1:15">
      <c r="A258" s="101" t="str">
        <f>'[1]EDB Database'!A635</f>
        <v>WEL Networks</v>
      </c>
      <c r="B258" s="101">
        <v>2004</v>
      </c>
      <c r="C258" s="102">
        <f>'[1]EDB Database'!B635</f>
        <v>2006</v>
      </c>
      <c r="D258" s="101">
        <v>2</v>
      </c>
      <c r="E258" s="17">
        <f t="shared" ref="E258:E263" si="140">E259*M258/M259</f>
        <v>11301.985420000021</v>
      </c>
      <c r="F258">
        <f t="shared" ref="F258:F272" si="141">F243</f>
        <v>1</v>
      </c>
      <c r="G258" s="18">
        <f>'NZ MaxDemand Calcs'!N259</f>
        <v>221.21619578189527</v>
      </c>
      <c r="H258" s="3">
        <f>G258</f>
        <v>221.21619578189527</v>
      </c>
      <c r="I258" s="18">
        <f>AVERAGE(N255,'[2]EDB Database'!$F$634)</f>
        <v>77480</v>
      </c>
      <c r="J258" s="18">
        <f>'[2]EDB Database'!$N635</f>
        <v>4970.96</v>
      </c>
      <c r="K258" s="18">
        <f>'[2]EDB Database'!$P635</f>
        <v>1567.4</v>
      </c>
      <c r="L258" s="19">
        <f t="shared" si="122"/>
        <v>0.31531132819415164</v>
      </c>
      <c r="M258" s="18">
        <f>'[2]EDB Database'!$G635/1000</f>
        <v>11301.985420000001</v>
      </c>
      <c r="N258" s="18">
        <f>'[2]EDB Database'!$F635</f>
        <v>79195</v>
      </c>
      <c r="O258" s="3">
        <f t="shared" ref="O258:O264" si="142">M258</f>
        <v>11301.985420000001</v>
      </c>
    </row>
    <row r="259" spans="1:15">
      <c r="A259" s="101" t="str">
        <f>'[1]EDB Database'!A636</f>
        <v>WEL Networks</v>
      </c>
      <c r="B259" s="101">
        <v>2004</v>
      </c>
      <c r="C259" s="102">
        <f>'[1]EDB Database'!B636</f>
        <v>2007</v>
      </c>
      <c r="D259" s="101">
        <v>2</v>
      </c>
      <c r="E259" s="17">
        <f t="shared" si="140"/>
        <v>13363.869760000023</v>
      </c>
      <c r="F259">
        <f t="shared" si="141"/>
        <v>1.0438528231223547</v>
      </c>
      <c r="G259" s="18">
        <f>'NZ MaxDemand Calcs'!N260</f>
        <v>229.152202805461</v>
      </c>
      <c r="H259" s="3">
        <f t="shared" ref="H259:H271" si="143">IF(G259&gt;H258,G259,H258)</f>
        <v>229.152202805461</v>
      </c>
      <c r="I259" s="18">
        <f t="shared" ref="I259:I263" si="144">AVERAGE(N258:N259)</f>
        <v>80328</v>
      </c>
      <c r="J259" s="18">
        <f>'[2]EDB Database'!$N636</f>
        <v>4995.82</v>
      </c>
      <c r="K259" s="18">
        <f>'[2]EDB Database'!$P636</f>
        <v>1607.22</v>
      </c>
      <c r="L259" s="19">
        <f t="shared" si="122"/>
        <v>0.32171295202789535</v>
      </c>
      <c r="M259" s="18">
        <f>'[2]EDB Database'!$G636/1000</f>
        <v>13363.86976</v>
      </c>
      <c r="N259" s="18">
        <f>'[2]EDB Database'!$F636</f>
        <v>81461</v>
      </c>
      <c r="O259" s="3">
        <f t="shared" si="142"/>
        <v>13363.86976</v>
      </c>
    </row>
    <row r="260" spans="1:15">
      <c r="A260" s="103" t="str">
        <f>'[1]EDB Database'!A637</f>
        <v>WEL Networks</v>
      </c>
      <c r="B260" s="101">
        <v>2004</v>
      </c>
      <c r="C260" s="102">
        <f>'[1]EDB Database'!B637</f>
        <v>2008</v>
      </c>
      <c r="D260" s="101">
        <v>2</v>
      </c>
      <c r="E260" s="17">
        <f t="shared" si="140"/>
        <v>14966.064173081806</v>
      </c>
      <c r="F260">
        <f t="shared" si="141"/>
        <v>1.0903851002750273</v>
      </c>
      <c r="G260" s="18">
        <f>'NZ MaxDemand Calcs'!N261</f>
        <v>234.66</v>
      </c>
      <c r="H260" s="3">
        <f t="shared" si="143"/>
        <v>234.66</v>
      </c>
      <c r="I260" s="18">
        <f t="shared" si="144"/>
        <v>81386.5</v>
      </c>
      <c r="J260" s="18">
        <f>'[2]EDB Database'!$N637</f>
        <v>5052.45</v>
      </c>
      <c r="K260" s="18">
        <f>'[2]EDB Database'!$P637</f>
        <v>1680.93</v>
      </c>
      <c r="L260" s="19">
        <f t="shared" si="122"/>
        <v>0.33269601876317434</v>
      </c>
      <c r="M260" s="18">
        <f>'[2]EDB Database'!$G637/1000</f>
        <v>14966.064173081779</v>
      </c>
      <c r="N260" s="18">
        <f>'[2]EDB Database'!$F637</f>
        <v>81312</v>
      </c>
      <c r="O260" s="3">
        <f t="shared" si="142"/>
        <v>14966.064173081779</v>
      </c>
    </row>
    <row r="261" spans="1:15">
      <c r="A261" s="101" t="str">
        <f>'[1]EDB Database'!A638</f>
        <v>WEL Networks</v>
      </c>
      <c r="B261" s="101">
        <v>2004</v>
      </c>
      <c r="C261" s="102">
        <f>'[1]EDB Database'!B638</f>
        <v>2009</v>
      </c>
      <c r="D261" s="101">
        <v>2</v>
      </c>
      <c r="E261" s="17">
        <f t="shared" si="140"/>
        <v>16096.287542936203</v>
      </c>
      <c r="F261">
        <f t="shared" si="141"/>
        <v>1.1562469092885455</v>
      </c>
      <c r="G261" s="18">
        <f>'NZ MaxDemand Calcs'!N262</f>
        <v>252.91800000000001</v>
      </c>
      <c r="H261" s="3">
        <f t="shared" si="143"/>
        <v>252.91800000000001</v>
      </c>
      <c r="I261" s="18">
        <f t="shared" si="144"/>
        <v>82513.5</v>
      </c>
      <c r="J261" s="18">
        <f>'[2]EDB Database'!$N638</f>
        <v>5168.3</v>
      </c>
      <c r="K261" s="18">
        <f>'[2]EDB Database'!$P638</f>
        <v>1799.43</v>
      </c>
      <c r="L261" s="19">
        <f t="shared" si="122"/>
        <v>0.3481667085888977</v>
      </c>
      <c r="M261" s="18">
        <f>'[2]EDB Database'!$G638/1000</f>
        <v>16096.287542936174</v>
      </c>
      <c r="N261" s="18">
        <f>'[2]EDB Database'!$F638</f>
        <v>83715</v>
      </c>
      <c r="O261" s="3">
        <f t="shared" si="142"/>
        <v>16096.287542936174</v>
      </c>
    </row>
    <row r="262" spans="1:15">
      <c r="A262" s="101" t="str">
        <f>'[1]EDB Database'!A639</f>
        <v>WEL Networks</v>
      </c>
      <c r="B262" s="101">
        <v>2004</v>
      </c>
      <c r="C262" s="102">
        <f>'[1]EDB Database'!B639</f>
        <v>2010</v>
      </c>
      <c r="D262" s="101">
        <v>2</v>
      </c>
      <c r="E262" s="17">
        <f t="shared" si="140"/>
        <v>16929.634370029304</v>
      </c>
      <c r="F262">
        <f t="shared" si="141"/>
        <v>1.1601923412470114</v>
      </c>
      <c r="G262" s="18">
        <f>'NZ MaxDemand Calcs'!N263</f>
        <v>284.89</v>
      </c>
      <c r="H262" s="3">
        <f t="shared" si="143"/>
        <v>284.89</v>
      </c>
      <c r="I262" s="18">
        <f t="shared" si="144"/>
        <v>83995.5</v>
      </c>
      <c r="J262" s="18">
        <f>'[2]EDB Database'!$N639</f>
        <v>5043</v>
      </c>
      <c r="K262" s="18">
        <f>'[2]EDB Database'!$P639</f>
        <v>1802</v>
      </c>
      <c r="L262" s="19">
        <f t="shared" si="122"/>
        <v>0.35732698790402539</v>
      </c>
      <c r="M262" s="18">
        <f>'[2]EDB Database'!$G639/1000</f>
        <v>16929.634370029275</v>
      </c>
      <c r="N262" s="18">
        <f>'[2]EDB Database'!$F639</f>
        <v>84276</v>
      </c>
      <c r="O262" s="3">
        <f t="shared" si="142"/>
        <v>16929.634370029275</v>
      </c>
    </row>
    <row r="263" spans="1:15">
      <c r="A263" s="101" t="str">
        <f>'[1]EDB Database'!A640</f>
        <v>WEL Networks</v>
      </c>
      <c r="B263" s="101">
        <v>2004</v>
      </c>
      <c r="C263" s="102">
        <f>'[1]EDB Database'!B640</f>
        <v>2011</v>
      </c>
      <c r="D263" s="101">
        <v>2</v>
      </c>
      <c r="E263" s="17">
        <f t="shared" si="140"/>
        <v>17772.211296816298</v>
      </c>
      <c r="F263">
        <f t="shared" si="141"/>
        <v>1.1900846681215445</v>
      </c>
      <c r="G263" s="18">
        <f>'NZ MaxDemand Calcs'!N264</f>
        <v>261.66399999999999</v>
      </c>
      <c r="H263" s="3">
        <f t="shared" si="143"/>
        <v>284.89</v>
      </c>
      <c r="I263" s="18">
        <f t="shared" si="144"/>
        <v>83945</v>
      </c>
      <c r="J263" s="18">
        <f>'[2]EDB Database'!$N640</f>
        <v>5053.31538</v>
      </c>
      <c r="K263" s="18">
        <f>'[2]EDB Database'!$P640</f>
        <v>1891.8894299999999</v>
      </c>
      <c r="L263" s="19">
        <f t="shared" si="122"/>
        <v>0.3743857819537082</v>
      </c>
      <c r="M263" s="18">
        <f>'[2]EDB Database'!$G640/1000</f>
        <v>17772.211296816269</v>
      </c>
      <c r="N263" s="18">
        <f>'[2]EDB Database'!$F640</f>
        <v>83614</v>
      </c>
      <c r="O263" s="3">
        <f t="shared" si="142"/>
        <v>17772.211296816269</v>
      </c>
    </row>
    <row r="264" spans="1:15">
      <c r="A264" s="101" t="str">
        <f>'[1]EDB Database'!A641</f>
        <v>WEL Networks</v>
      </c>
      <c r="B264" s="101">
        <v>2004</v>
      </c>
      <c r="C264" s="102">
        <f>'[1]EDB Database'!B641</f>
        <v>2012</v>
      </c>
      <c r="D264" s="101">
        <v>2</v>
      </c>
      <c r="E264" s="17">
        <f>E265*M264/M265</f>
        <v>18520.744166246299</v>
      </c>
      <c r="F264">
        <f t="shared" si="141"/>
        <v>1.2216652483575092</v>
      </c>
      <c r="G264" s="18">
        <f>'NZ MaxDemand Calcs'!N265</f>
        <v>272.53426000000002</v>
      </c>
      <c r="H264" s="3">
        <f t="shared" si="143"/>
        <v>284.89</v>
      </c>
      <c r="I264" s="18">
        <f>AVERAGE(N263:N264)</f>
        <v>83952.5</v>
      </c>
      <c r="J264" s="18">
        <f>'[2]EDB Database'!$N641</f>
        <v>5226</v>
      </c>
      <c r="K264" s="18">
        <f>'[2]EDB Database'!$P641</f>
        <v>1986</v>
      </c>
      <c r="L264" s="19">
        <f t="shared" si="122"/>
        <v>0.38002296211251435</v>
      </c>
      <c r="M264" s="18">
        <f>'[2]EDB Database'!$G641/1000</f>
        <v>18520.74416624627</v>
      </c>
      <c r="N264" s="18">
        <f>'[2]EDB Database'!$F641</f>
        <v>84291</v>
      </c>
      <c r="O264" s="3">
        <f t="shared" si="142"/>
        <v>18520.74416624627</v>
      </c>
    </row>
    <row r="265" spans="1:15">
      <c r="A265" s="101" t="str">
        <f>'[1]EDB Database'!A642</f>
        <v>WEL Networks</v>
      </c>
      <c r="B265" s="101">
        <v>2004</v>
      </c>
      <c r="C265" s="102">
        <f>'[1]EDB Database'!B642</f>
        <v>2013</v>
      </c>
      <c r="D265" s="101">
        <v>2</v>
      </c>
      <c r="E265" s="17">
        <f>[3]Sheet1!$M104</f>
        <v>18419.232619999999</v>
      </c>
      <c r="F265">
        <f t="shared" si="141"/>
        <v>1.2421813017565195</v>
      </c>
      <c r="G265" s="18">
        <f>'NZ MaxDemand Calcs'!N266</f>
        <v>260.83332867239642</v>
      </c>
      <c r="H265" s="3">
        <f t="shared" si="143"/>
        <v>284.89</v>
      </c>
      <c r="I265" s="18">
        <f>[4]Sheet1!$M99</f>
        <v>84710.5</v>
      </c>
      <c r="J265" s="18">
        <f>[5]Sheet1!$M206</f>
        <v>5199.2606590290006</v>
      </c>
      <c r="K265" s="18">
        <f>[5]Sheet1!$M212</f>
        <v>1990.158469128</v>
      </c>
      <c r="L265" s="19">
        <f t="shared" si="122"/>
        <v>0.38277720615370653</v>
      </c>
      <c r="M265" s="18">
        <f>'[2]EDB Database'!$G642/1000</f>
        <v>18419.23261999997</v>
      </c>
      <c r="O265" s="3">
        <f>M265</f>
        <v>18419.23261999997</v>
      </c>
    </row>
    <row r="266" spans="1:15" s="9" customFormat="1">
      <c r="A266" s="104" t="str">
        <f>'[1]EDB Database'!A643</f>
        <v>WEL Networks</v>
      </c>
      <c r="B266" s="104">
        <v>2004</v>
      </c>
      <c r="C266" s="105">
        <f>'[1]EDB Database'!B643</f>
        <v>2014</v>
      </c>
      <c r="D266" s="104">
        <v>2</v>
      </c>
      <c r="E266" s="17">
        <f>[3]Sheet1!$M105</f>
        <v>18919.191740000009</v>
      </c>
      <c r="F266">
        <f t="shared" si="141"/>
        <v>1.27237461042106</v>
      </c>
      <c r="G266" s="18">
        <f>'NZ MaxDemand Calcs'!N267</f>
        <v>311.28875484545313</v>
      </c>
      <c r="H266" s="3">
        <f t="shared" si="143"/>
        <v>311.28875484545313</v>
      </c>
      <c r="I266" s="18">
        <f>[4]Sheet1!$M100</f>
        <v>85809.5</v>
      </c>
      <c r="J266" s="18">
        <f>[5]Sheet1!$M207</f>
        <v>5241.1620953919992</v>
      </c>
      <c r="K266" s="18">
        <f>[5]Sheet1!$M213</f>
        <v>2005.490525123</v>
      </c>
      <c r="L266" s="19">
        <f t="shared" si="122"/>
        <v>0.38264233935565861</v>
      </c>
      <c r="M266" s="18">
        <f>'[2]EDB Database'!$G643/1000</f>
        <v>18919.19173999998</v>
      </c>
      <c r="N266" s="42"/>
      <c r="O266" s="3">
        <f>O265*E266/E265</f>
        <v>18919.19173999998</v>
      </c>
    </row>
    <row r="267" spans="1:15" s="9" customFormat="1">
      <c r="A267" s="104" t="str">
        <f>'[7]2015 data'!P$40</f>
        <v>WEL Networks</v>
      </c>
      <c r="B267" s="104">
        <f>'[7]2015 data'!Q$40</f>
        <v>2004</v>
      </c>
      <c r="C267" s="104">
        <f>'[7]2015 data'!R$40</f>
        <v>2015</v>
      </c>
      <c r="D267" s="104">
        <f>'[7]2015 data'!S$40</f>
        <v>2</v>
      </c>
      <c r="E267" s="17">
        <f>[3]Sheet1!$M106</f>
        <v>17857.74745000001</v>
      </c>
      <c r="F267">
        <f t="shared" si="141"/>
        <v>1.2816685951411126</v>
      </c>
      <c r="G267" s="18">
        <f>'NZ MaxDemand Calcs'!N268</f>
        <v>267.41901112853452</v>
      </c>
      <c r="H267" s="3">
        <f t="shared" si="143"/>
        <v>311.28875484545313</v>
      </c>
      <c r="I267" s="18">
        <f>[4]Sheet1!$M101</f>
        <v>86738</v>
      </c>
      <c r="J267" s="18">
        <f>[5]Sheet1!$M208</f>
        <v>5297.614156099</v>
      </c>
      <c r="K267" s="18">
        <f>[5]Sheet1!$M214</f>
        <v>2068.8413612939999</v>
      </c>
      <c r="L267" s="19">
        <f t="shared" si="122"/>
        <v>0.39052322429186331</v>
      </c>
      <c r="M267" s="131"/>
      <c r="N267" s="42"/>
      <c r="O267" s="3">
        <f t="shared" ref="O267:O272" si="145">O266*E267/E266</f>
        <v>17857.747449999981</v>
      </c>
    </row>
    <row r="268" spans="1:15" s="9" customFormat="1">
      <c r="A268" s="104" t="str">
        <f t="shared" ref="A268:B272" si="146">A267</f>
        <v>WEL Networks</v>
      </c>
      <c r="B268" s="104">
        <f t="shared" si="146"/>
        <v>2004</v>
      </c>
      <c r="C268" s="104">
        <f>C267+1</f>
        <v>2016</v>
      </c>
      <c r="D268" s="104">
        <v>2</v>
      </c>
      <c r="E268" s="17">
        <f>[3]Sheet1!$M107</f>
        <v>21313.74795999999</v>
      </c>
      <c r="F268">
        <f t="shared" si="141"/>
        <v>1.2867539916420168</v>
      </c>
      <c r="G268" s="18">
        <f>'NZ MaxDemand Calcs'!N269</f>
        <v>281.83033957016352</v>
      </c>
      <c r="H268" s="3">
        <f t="shared" si="143"/>
        <v>311.28875484545313</v>
      </c>
      <c r="I268" s="18">
        <f>[4]Sheet1!$M102</f>
        <v>87703.333333333343</v>
      </c>
      <c r="J268" s="18">
        <f>[5]Sheet1!$M209</f>
        <v>5338.2946160000001</v>
      </c>
      <c r="K268" s="18">
        <f>[5]Sheet1!$M215</f>
        <v>2139.5358550000001</v>
      </c>
      <c r="L268" s="19">
        <f t="shared" si="122"/>
        <v>0.40079014159079152</v>
      </c>
      <c r="M268" s="131"/>
      <c r="N268" s="42"/>
      <c r="O268" s="3">
        <f t="shared" si="145"/>
        <v>21313.747959999957</v>
      </c>
    </row>
    <row r="269" spans="1:15" s="9" customFormat="1">
      <c r="A269" s="104" t="str">
        <f t="shared" si="146"/>
        <v>WEL Networks</v>
      </c>
      <c r="B269" s="104">
        <f t="shared" si="146"/>
        <v>2004</v>
      </c>
      <c r="C269" s="104">
        <f>C268+1</f>
        <v>2017</v>
      </c>
      <c r="D269" s="104">
        <v>2</v>
      </c>
      <c r="E269" s="17">
        <f>[3]Sheet1!$M108</f>
        <v>25539.472930000011</v>
      </c>
      <c r="F269">
        <f t="shared" si="141"/>
        <v>1.3063682360796467</v>
      </c>
      <c r="G269" s="18">
        <f>'NZ MaxDemand Calcs'!N270</f>
        <v>296.36799853677473</v>
      </c>
      <c r="H269" s="3">
        <f t="shared" si="143"/>
        <v>311.28875484545313</v>
      </c>
      <c r="I269" s="18">
        <f>[4]Sheet1!$M103</f>
        <v>89079.666666666701</v>
      </c>
      <c r="J269" s="18">
        <f>[5]Sheet1!$M210</f>
        <v>5366.9447929999997</v>
      </c>
      <c r="K269" s="18">
        <f>[5]Sheet1!$M216</f>
        <v>2186.3457910000002</v>
      </c>
      <c r="L269" s="19">
        <f t="shared" si="122"/>
        <v>0.40737251366021276</v>
      </c>
      <c r="M269" s="131"/>
      <c r="N269" s="42"/>
      <c r="O269" s="3">
        <f t="shared" si="145"/>
        <v>25539.472929999974</v>
      </c>
    </row>
    <row r="270" spans="1:15" s="9" customFormat="1">
      <c r="A270" s="104" t="str">
        <f t="shared" si="146"/>
        <v>WEL Networks</v>
      </c>
      <c r="B270" s="104">
        <f t="shared" si="146"/>
        <v>2004</v>
      </c>
      <c r="C270" s="104">
        <f>C269+1</f>
        <v>2018</v>
      </c>
      <c r="D270" s="104">
        <v>2</v>
      </c>
      <c r="E270" s="17">
        <f>[3]Sheet1!$M109</f>
        <v>24955.718981000002</v>
      </c>
      <c r="F270">
        <f t="shared" si="141"/>
        <v>1.3404204496621166</v>
      </c>
      <c r="G270" s="18">
        <f>'NZ MaxDemand Calcs'!N271</f>
        <v>294.10177407715685</v>
      </c>
      <c r="H270" s="3">
        <f t="shared" si="143"/>
        <v>311.28875484545313</v>
      </c>
      <c r="I270" s="18">
        <f>[4]Sheet1!$M104</f>
        <v>90601</v>
      </c>
      <c r="J270" s="18">
        <f>[5]Sheet1!$M211</f>
        <v>5397.5290889999997</v>
      </c>
      <c r="K270" s="18">
        <f>[5]Sheet1!$M217</f>
        <v>2236.3548150000001</v>
      </c>
      <c r="L270" s="19">
        <f t="shared" si="122"/>
        <v>0.41432936777638185</v>
      </c>
      <c r="M270" s="131"/>
      <c r="N270" s="42"/>
      <c r="O270" s="3">
        <f t="shared" si="145"/>
        <v>24955.718980999965</v>
      </c>
    </row>
    <row r="271" spans="1:15" s="9" customFormat="1">
      <c r="A271" s="104" t="str">
        <f t="shared" si="146"/>
        <v>WEL Networks</v>
      </c>
      <c r="B271" s="104">
        <f t="shared" si="146"/>
        <v>2004</v>
      </c>
      <c r="C271" s="104">
        <f>C270+1</f>
        <v>2019</v>
      </c>
      <c r="D271" s="104">
        <v>2</v>
      </c>
      <c r="E271" s="17">
        <f>[8]Sheet1!$M$27</f>
        <v>22926.515536873801</v>
      </c>
      <c r="F271">
        <f t="shared" si="141"/>
        <v>1.3740587734764929</v>
      </c>
      <c r="G271" s="18">
        <f>'NZ MaxDemand Calcs'!N272</f>
        <v>301.69849886881769</v>
      </c>
      <c r="H271" s="3">
        <f t="shared" si="143"/>
        <v>311.28875484545313</v>
      </c>
      <c r="I271" s="18">
        <f>[9]Sheet1!$M$24</f>
        <v>91970.5</v>
      </c>
      <c r="J271" s="18">
        <f>[10]Sheet1!$M$52</f>
        <v>5456.8046929999991</v>
      </c>
      <c r="K271" s="18">
        <f>[10]Sheet1!$M$53</f>
        <v>2307.8018529999999</v>
      </c>
      <c r="L271" s="19">
        <f t="shared" si="122"/>
        <v>0.4229218348167112</v>
      </c>
      <c r="M271" s="131"/>
      <c r="N271" s="42"/>
      <c r="O271" s="3">
        <f t="shared" si="145"/>
        <v>22926.515536873769</v>
      </c>
    </row>
    <row r="272" spans="1:15" s="9" customFormat="1">
      <c r="A272" s="104" t="str">
        <f t="shared" si="146"/>
        <v>WEL Networks</v>
      </c>
      <c r="B272" s="104">
        <f t="shared" si="146"/>
        <v>2004</v>
      </c>
      <c r="C272" s="104">
        <f>C271+1</f>
        <v>2020</v>
      </c>
      <c r="D272" s="104">
        <v>2</v>
      </c>
      <c r="E272" s="17">
        <f>[11]Sheet1!$M$27</f>
        <v>25400.55825265294</v>
      </c>
      <c r="F272" s="142">
        <f t="shared" si="141"/>
        <v>1.4000516345247649</v>
      </c>
      <c r="G272" s="18">
        <f>'NZ MaxDemand Calcs'!N273</f>
        <v>294.54129886867429</v>
      </c>
      <c r="H272" s="3">
        <f t="shared" ref="H272" si="147">IF(G272&gt;H271,G272,H271)</f>
        <v>311.28875484545313</v>
      </c>
      <c r="I272" s="18">
        <f>[12]Sheet1!$M$20</f>
        <v>93502</v>
      </c>
      <c r="J272" s="18">
        <f>[13]Sheet1!$M$52</f>
        <v>5515.2000000000007</v>
      </c>
      <c r="K272" s="18">
        <f>[13]Sheet1!$M$53</f>
        <v>2381.1999999999998</v>
      </c>
      <c r="L272" s="19">
        <f t="shared" si="122"/>
        <v>0.43175224833188269</v>
      </c>
      <c r="M272" s="131"/>
      <c r="N272" s="42"/>
      <c r="O272" s="3">
        <f t="shared" si="145"/>
        <v>25400.5582526529</v>
      </c>
    </row>
    <row r="273" spans="1:15">
      <c r="A273" s="101" t="s">
        <v>367</v>
      </c>
      <c r="C273" s="102">
        <v>2006</v>
      </c>
      <c r="D273" s="101">
        <v>2</v>
      </c>
      <c r="F273">
        <f t="shared" ref="F273:F287" si="148">F258</f>
        <v>1</v>
      </c>
      <c r="G273" s="18">
        <f>'NZ MaxDemand Calcs'!N274</f>
        <v>0</v>
      </c>
      <c r="O273" s="3"/>
    </row>
    <row r="274" spans="1:15">
      <c r="A274" s="101" t="s">
        <v>367</v>
      </c>
      <c r="C274" s="102">
        <v>2007</v>
      </c>
      <c r="D274" s="101">
        <v>2</v>
      </c>
      <c r="F274">
        <f t="shared" si="148"/>
        <v>1.0438528231223547</v>
      </c>
      <c r="G274" s="18">
        <f>'NZ MaxDemand Calcs'!N275</f>
        <v>0</v>
      </c>
      <c r="O274" s="3"/>
    </row>
    <row r="275" spans="1:15">
      <c r="A275" s="101" t="s">
        <v>367</v>
      </c>
      <c r="C275" s="102">
        <v>2008</v>
      </c>
      <c r="D275" s="101">
        <v>2</v>
      </c>
      <c r="F275">
        <f t="shared" si="148"/>
        <v>1.0903851002750273</v>
      </c>
      <c r="G275" s="18">
        <f>'NZ MaxDemand Calcs'!N276</f>
        <v>0</v>
      </c>
      <c r="O275" s="3"/>
    </row>
    <row r="276" spans="1:15">
      <c r="A276" s="101" t="s">
        <v>367</v>
      </c>
      <c r="C276" s="102">
        <v>2009</v>
      </c>
      <c r="D276" s="101">
        <v>2</v>
      </c>
      <c r="E276" s="17">
        <f t="shared" ref="E276:E278" si="149">E277*M276/M277</f>
        <v>18444.78384</v>
      </c>
      <c r="F276">
        <f t="shared" si="148"/>
        <v>1.1562469092885455</v>
      </c>
      <c r="G276" s="18">
        <f>'NZ MaxDemand Calcs'!N277</f>
        <v>0</v>
      </c>
      <c r="I276" s="18">
        <f>I277*N276/N277</f>
        <v>162325.0868595253</v>
      </c>
      <c r="J276" s="18">
        <f>'[2]EDB Database'!$N661</f>
        <v>4589.7</v>
      </c>
      <c r="K276" s="18">
        <f>'[2]EDB Database'!$P661</f>
        <v>2818.2</v>
      </c>
      <c r="L276" s="19">
        <f t="shared" si="122"/>
        <v>0.61402706059219558</v>
      </c>
      <c r="M276" s="18">
        <f>'[2]EDB Database'!$G661/1000</f>
        <v>18444.78384</v>
      </c>
      <c r="N276" s="18">
        <f>'[2]EDB Database'!$F661</f>
        <v>162900</v>
      </c>
      <c r="O276" s="3">
        <f t="shared" ref="O276:O279" si="150">M276</f>
        <v>18444.78384</v>
      </c>
    </row>
    <row r="277" spans="1:15">
      <c r="A277" s="101" t="s">
        <v>367</v>
      </c>
      <c r="C277" s="102">
        <v>2010</v>
      </c>
      <c r="D277" s="101">
        <v>2</v>
      </c>
      <c r="E277" s="17">
        <f t="shared" si="149"/>
        <v>31183.654699999999</v>
      </c>
      <c r="F277">
        <f t="shared" si="148"/>
        <v>1.1601923412470114</v>
      </c>
      <c r="G277" s="18">
        <f>'NZ MaxDemand Calcs'!N278</f>
        <v>606.06882205611055</v>
      </c>
      <c r="H277" s="3">
        <f>G277</f>
        <v>606.06882205611055</v>
      </c>
      <c r="I277" s="18">
        <f t="shared" ref="I277:I278" si="151">AVERAGE(N276:N277)</f>
        <v>163479</v>
      </c>
      <c r="J277" s="18">
        <f>'[2]EDB Database'!$N662</f>
        <v>4609.8999999999996</v>
      </c>
      <c r="K277" s="18">
        <f>'[2]EDB Database'!$P662</f>
        <v>2837.9</v>
      </c>
      <c r="L277" s="19">
        <f t="shared" si="122"/>
        <v>0.61560988307772413</v>
      </c>
      <c r="M277" s="18">
        <f>'[2]EDB Database'!$G662/1000</f>
        <v>31183.654699999999</v>
      </c>
      <c r="N277" s="18">
        <f>'[2]EDB Database'!$F662</f>
        <v>164058</v>
      </c>
      <c r="O277" s="3">
        <f t="shared" si="150"/>
        <v>31183.654699999999</v>
      </c>
    </row>
    <row r="278" spans="1:15">
      <c r="A278" s="101" t="s">
        <v>367</v>
      </c>
      <c r="C278" s="102">
        <v>2011</v>
      </c>
      <c r="D278" s="101">
        <v>2</v>
      </c>
      <c r="E278" s="17">
        <f t="shared" si="149"/>
        <v>31607.715759999999</v>
      </c>
      <c r="F278">
        <f t="shared" si="148"/>
        <v>1.1900846681215445</v>
      </c>
      <c r="G278" s="18">
        <f>'NZ MaxDemand Calcs'!N279</f>
        <v>580</v>
      </c>
      <c r="H278" s="3">
        <f>MAX(G278,H277)</f>
        <v>606.06882205611055</v>
      </c>
      <c r="I278" s="18">
        <f t="shared" si="151"/>
        <v>164154</v>
      </c>
      <c r="J278" s="18">
        <f>'[2]EDB Database'!$N663</f>
        <v>4604.4217264244699</v>
      </c>
      <c r="K278" s="18">
        <f>'[2]EDB Database'!$P663</f>
        <v>2845.4896540426698</v>
      </c>
      <c r="L278" s="19">
        <f t="shared" si="122"/>
        <v>0.61799066703916239</v>
      </c>
      <c r="M278" s="18">
        <f>'[2]EDB Database'!$G663/1000</f>
        <v>31607.715759999999</v>
      </c>
      <c r="N278" s="18">
        <f>'[2]EDB Database'!$F663</f>
        <v>164250</v>
      </c>
      <c r="O278" s="3">
        <f t="shared" si="150"/>
        <v>31607.715759999999</v>
      </c>
    </row>
    <row r="279" spans="1:15">
      <c r="A279" s="101" t="s">
        <v>367</v>
      </c>
      <c r="C279" s="102">
        <v>2012</v>
      </c>
      <c r="D279" s="101">
        <v>2</v>
      </c>
      <c r="E279" s="17">
        <f>E280*M279/M280</f>
        <v>31114.921340000001</v>
      </c>
      <c r="F279">
        <f t="shared" si="148"/>
        <v>1.2216652483575092</v>
      </c>
      <c r="G279" s="18">
        <f>'NZ MaxDemand Calcs'!N280</f>
        <v>622.15712731687063</v>
      </c>
      <c r="H279" s="3">
        <f t="shared" ref="H279:H286" si="152">MAX(G279,H278)</f>
        <v>622.15712731687063</v>
      </c>
      <c r="I279" s="18">
        <f>AVERAGE(N278:N279)</f>
        <v>164351.5</v>
      </c>
      <c r="J279" s="18">
        <f>'[2]EDB Database'!$N664</f>
        <v>4625.0382088342703</v>
      </c>
      <c r="K279" s="18">
        <f>'[2]EDB Database'!$P664</f>
        <v>2873.0382088342699</v>
      </c>
      <c r="L279" s="19">
        <f t="shared" si="122"/>
        <v>0.62119231865944136</v>
      </c>
      <c r="M279" s="18">
        <f>'[2]EDB Database'!$G664/1000</f>
        <v>31114.921340000001</v>
      </c>
      <c r="N279" s="18">
        <f>'[2]EDB Database'!$F664</f>
        <v>164453</v>
      </c>
      <c r="O279" s="3">
        <f t="shared" si="150"/>
        <v>31114.921340000001</v>
      </c>
    </row>
    <row r="280" spans="1:15">
      <c r="A280" s="101" t="s">
        <v>367</v>
      </c>
      <c r="C280" s="102">
        <v>2013</v>
      </c>
      <c r="D280" s="101">
        <v>2</v>
      </c>
      <c r="E280" s="17">
        <f>[3]Sheet1!$M110</f>
        <v>28298.361239999998</v>
      </c>
      <c r="F280">
        <f t="shared" si="148"/>
        <v>1.2421813017565195</v>
      </c>
      <c r="G280" s="18">
        <f>'NZ MaxDemand Calcs'!N281</f>
        <v>558.74109521543926</v>
      </c>
      <c r="H280" s="3">
        <f t="shared" si="152"/>
        <v>622.15712731687063</v>
      </c>
      <c r="I280" s="18">
        <f>[4]Sheet1!$M105</f>
        <v>164804.16666666669</v>
      </c>
      <c r="J280" s="18">
        <f>[5]Sheet1!$M218</f>
        <v>4628.6880571315642</v>
      </c>
      <c r="K280" s="18">
        <f>[5]Sheet1!$M224</f>
        <v>2877.7600163049592</v>
      </c>
      <c r="L280" s="19">
        <f t="shared" si="122"/>
        <v>0.62172260925449585</v>
      </c>
      <c r="M280" s="18">
        <f>'[2]EDB Database'!$G665/1000</f>
        <v>28298.361239999998</v>
      </c>
      <c r="O280" s="3">
        <f>M280</f>
        <v>28298.361239999998</v>
      </c>
    </row>
    <row r="281" spans="1:15">
      <c r="A281" s="101" t="s">
        <v>367</v>
      </c>
      <c r="C281" s="102">
        <v>2014</v>
      </c>
      <c r="D281" s="101">
        <v>2</v>
      </c>
      <c r="E281" s="17">
        <f>[3]Sheet1!$M111</f>
        <v>29611.046129999999</v>
      </c>
      <c r="F281">
        <f t="shared" si="148"/>
        <v>1.27237461042106</v>
      </c>
      <c r="G281" s="18">
        <f>'NZ MaxDemand Calcs'!N282</f>
        <v>565.5230510825063</v>
      </c>
      <c r="H281" s="3">
        <f t="shared" si="152"/>
        <v>622.15712731687063</v>
      </c>
      <c r="I281" s="18">
        <f>[4]Sheet1!$M106</f>
        <v>164797.3315068493</v>
      </c>
      <c r="J281" s="18">
        <f>[5]Sheet1!$M219</f>
        <v>4638.7299271932034</v>
      </c>
      <c r="K281" s="18">
        <f>[5]Sheet1!$M225</f>
        <v>2891.525412870913</v>
      </c>
      <c r="L281" s="19">
        <f t="shared" si="122"/>
        <v>0.6233442037485708</v>
      </c>
      <c r="M281" s="18">
        <f>'[2]EDB Database'!$G666/1000</f>
        <v>29611.046129999999</v>
      </c>
      <c r="O281" s="3">
        <f>O280*E281/E280</f>
        <v>29611.046129999999</v>
      </c>
    </row>
    <row r="282" spans="1:15">
      <c r="A282" s="101" t="s">
        <v>367</v>
      </c>
      <c r="C282" s="101">
        <v>2015</v>
      </c>
      <c r="D282" s="101">
        <v>2</v>
      </c>
      <c r="E282" s="17">
        <f>[3]Sheet1!$M112</f>
        <v>25555.800360000001</v>
      </c>
      <c r="F282">
        <f t="shared" si="148"/>
        <v>1.2816685951411126</v>
      </c>
      <c r="G282" s="18">
        <f>'NZ MaxDemand Calcs'!N283</f>
        <v>549.81641279776693</v>
      </c>
      <c r="H282" s="3">
        <f t="shared" si="152"/>
        <v>622.15712731687063</v>
      </c>
      <c r="I282" s="18">
        <f>[4]Sheet1!$M107</f>
        <v>165689.90934065939</v>
      </c>
      <c r="J282" s="18">
        <f>[5]Sheet1!$M220</f>
        <v>4683.5934141183134</v>
      </c>
      <c r="K282" s="18">
        <f>[5]Sheet1!$M226</f>
        <v>2938.778366964099</v>
      </c>
      <c r="L282" s="19">
        <f t="shared" si="122"/>
        <v>0.62746231517564899</v>
      </c>
      <c r="O282" s="3">
        <f t="shared" ref="O282:O287" si="153">O281*E282/E281</f>
        <v>25555.800360000001</v>
      </c>
    </row>
    <row r="283" spans="1:15">
      <c r="A283" s="101" t="s">
        <v>367</v>
      </c>
      <c r="C283" s="101">
        <v>2016</v>
      </c>
      <c r="D283" s="101">
        <v>2</v>
      </c>
      <c r="E283" s="17">
        <f>[3]Sheet1!$M113</f>
        <v>29622.250530000001</v>
      </c>
      <c r="F283">
        <f t="shared" si="148"/>
        <v>1.2867539916420168</v>
      </c>
      <c r="G283" s="18">
        <f>'NZ MaxDemand Calcs'!N284</f>
        <v>562.05549095604692</v>
      </c>
      <c r="H283" s="3">
        <f t="shared" si="152"/>
        <v>622.15712731687063</v>
      </c>
      <c r="I283" s="18">
        <f>[4]Sheet1!$M108</f>
        <v>166590.52602739731</v>
      </c>
      <c r="J283" s="18">
        <f>[5]Sheet1!$M221</f>
        <v>4697.4754011353334</v>
      </c>
      <c r="K283" s="18">
        <f>[5]Sheet1!$M227</f>
        <v>2959.3984479170308</v>
      </c>
      <c r="L283" s="19">
        <f t="shared" si="122"/>
        <v>0.62999764665117208</v>
      </c>
      <c r="O283" s="3">
        <f t="shared" si="153"/>
        <v>29622.250530000001</v>
      </c>
    </row>
    <row r="284" spans="1:15">
      <c r="A284" s="101" t="s">
        <v>367</v>
      </c>
      <c r="C284" s="101">
        <v>2017</v>
      </c>
      <c r="D284" s="101">
        <v>2</v>
      </c>
      <c r="E284" s="17">
        <f>[3]Sheet1!$M114</f>
        <v>30075.05891</v>
      </c>
      <c r="F284">
        <f t="shared" si="148"/>
        <v>1.3063682360796467</v>
      </c>
      <c r="G284" s="18">
        <f>'NZ MaxDemand Calcs'!N285</f>
        <v>526.94525091815683</v>
      </c>
      <c r="H284" s="3">
        <f t="shared" si="152"/>
        <v>622.15712731687063</v>
      </c>
      <c r="I284" s="18">
        <f>[4]Sheet1!$M109</f>
        <v>166344</v>
      </c>
      <c r="J284" s="18">
        <f>[5]Sheet1!$M222</f>
        <v>4700.9699995854571</v>
      </c>
      <c r="K284" s="18">
        <f>[5]Sheet1!$M228</f>
        <v>2966.3415086559048</v>
      </c>
      <c r="L284" s="19">
        <f t="shared" si="122"/>
        <v>0.63100626230703105</v>
      </c>
      <c r="O284" s="3">
        <f t="shared" si="153"/>
        <v>30075.05891</v>
      </c>
    </row>
    <row r="285" spans="1:15">
      <c r="A285" s="101" t="s">
        <v>367</v>
      </c>
      <c r="C285" s="101">
        <v>2018</v>
      </c>
      <c r="D285" s="101">
        <v>2</v>
      </c>
      <c r="E285" s="17">
        <f>[3]Sheet1!$M115</f>
        <v>33310.525000000001</v>
      </c>
      <c r="F285">
        <f t="shared" si="148"/>
        <v>1.3404204496621166</v>
      </c>
      <c r="G285" s="18">
        <f>'NZ MaxDemand Calcs'!N286</f>
        <v>526.96947939996835</v>
      </c>
      <c r="H285" s="3">
        <f t="shared" si="152"/>
        <v>622.15712731687063</v>
      </c>
      <c r="I285" s="18">
        <f>[4]Sheet1!$M110</f>
        <v>166909.58333333331</v>
      </c>
      <c r="J285" s="18">
        <f>[5]Sheet1!$M223</f>
        <v>4724.5552152841228</v>
      </c>
      <c r="K285" s="18">
        <f>[5]Sheet1!$M229</f>
        <v>2992.2755982133358</v>
      </c>
      <c r="L285" s="19">
        <f t="shared" si="122"/>
        <v>0.63334546044317697</v>
      </c>
      <c r="O285" s="3">
        <f t="shared" si="153"/>
        <v>33310.525000000001</v>
      </c>
    </row>
    <row r="286" spans="1:15">
      <c r="A286" s="101" t="s">
        <v>367</v>
      </c>
      <c r="C286" s="101">
        <v>2019</v>
      </c>
      <c r="D286" s="101">
        <v>2</v>
      </c>
      <c r="E286" s="17">
        <f>[8]Sheet1!$M$29</f>
        <v>34017.113664792967</v>
      </c>
      <c r="F286">
        <f t="shared" si="148"/>
        <v>1.3740587734764929</v>
      </c>
      <c r="G286" s="18">
        <f>'NZ MaxDemand Calcs'!N287</f>
        <v>550.46101155636154</v>
      </c>
      <c r="H286" s="3">
        <f t="shared" si="152"/>
        <v>622.15712731687063</v>
      </c>
      <c r="I286" s="18">
        <f>[9]Sheet1!$M$26</f>
        <v>167924.77777777781</v>
      </c>
      <c r="J286" s="18">
        <f>[10]Sheet1!$M$56</f>
        <v>4745.5310250958164</v>
      </c>
      <c r="K286" s="18">
        <f>[10]Sheet1!$M$57</f>
        <v>3019.1777694738839</v>
      </c>
      <c r="L286" s="19">
        <f t="shared" si="122"/>
        <v>0.63621494696959102</v>
      </c>
      <c r="O286" s="3">
        <f t="shared" si="153"/>
        <v>34017.113664792967</v>
      </c>
    </row>
    <row r="287" spans="1:15">
      <c r="A287" s="101" t="s">
        <v>367</v>
      </c>
      <c r="C287" s="101">
        <v>2020</v>
      </c>
      <c r="D287" s="101">
        <v>2</v>
      </c>
      <c r="E287" s="17">
        <f>[11]Sheet1!$M$29</f>
        <v>32190.232476399429</v>
      </c>
      <c r="F287" s="142">
        <f t="shared" si="148"/>
        <v>1.4000516345247649</v>
      </c>
      <c r="G287" s="94">
        <f>'NZ MaxDemand Calcs'!N288</f>
        <v>525.95995932448943</v>
      </c>
      <c r="H287" s="3">
        <f t="shared" ref="H287" si="154">MAX(G287,H286)</f>
        <v>622.15712731687063</v>
      </c>
      <c r="I287" s="18">
        <f>[12]Sheet1!$M$22</f>
        <v>169045.16666666669</v>
      </c>
      <c r="J287" s="18">
        <f>[13]Sheet1!$M$57</f>
        <v>4764.9287489763756</v>
      </c>
      <c r="K287" s="18">
        <f>[13]Sheet1!$M$56</f>
        <v>3041.9264267147951</v>
      </c>
      <c r="L287" s="19">
        <f t="shared" si="122"/>
        <v>0.63839914235197659</v>
      </c>
      <c r="O287" s="3">
        <f t="shared" si="153"/>
        <v>32190.232476399433</v>
      </c>
    </row>
  </sheetData>
  <autoFilter ref="A2:AE285" xr:uid="{00000000-0009-0000-0000-000001000000}"/>
  <phoneticPr fontId="0" type="noConversion"/>
  <pageMargins left="0.70866141732283472" right="0.70866141732283472" top="0.74803149606299213" bottom="0.74803149606299213" header="0.31496062992125984" footer="0.31496062992125984"/>
  <pageSetup paperSize="9" scale="1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3B130-5453-4009-ADF9-D9E686A83534}">
  <sheetPr>
    <tabColor rgb="FF7030A0"/>
  </sheetPr>
  <dimension ref="A1:L286"/>
  <sheetViews>
    <sheetView tabSelected="1" workbookViewId="0">
      <pane xSplit="2" ySplit="1" topLeftCell="C2" activePane="bottomRight" state="frozen"/>
      <selection pane="topRight" activeCell="C1" sqref="C1"/>
      <selection pane="bottomLeft" activeCell="A2" sqref="A2"/>
      <selection pane="bottomRight" activeCell="B286" sqref="B286"/>
    </sheetView>
  </sheetViews>
  <sheetFormatPr baseColWidth="10" defaultColWidth="8.83203125" defaultRowHeight="15"/>
  <cols>
    <col min="1" max="1" width="12.1640625" style="124" customWidth="1"/>
    <col min="2" max="2" width="12.1640625" style="125" customWidth="1"/>
    <col min="3" max="3" width="12.1640625" style="124" customWidth="1"/>
    <col min="4" max="4" width="12.1640625" style="103" customWidth="1"/>
    <col min="5" max="5" width="12.1640625" style="118" customWidth="1"/>
    <col min="6" max="6" width="12.1640625" style="101" customWidth="1"/>
    <col min="7" max="9" width="12.1640625" style="103" customWidth="1"/>
    <col min="10" max="10" width="12.1640625" style="118" customWidth="1"/>
    <col min="11" max="11" width="8.83203125" style="119"/>
    <col min="12" max="12" width="8.83203125" style="120"/>
    <col min="13" max="16384" width="8.83203125" style="6"/>
  </cols>
  <sheetData>
    <row r="1" spans="1:12" s="8" customFormat="1" ht="16">
      <c r="A1" s="123" t="s">
        <v>16</v>
      </c>
      <c r="B1" s="123" t="s">
        <v>17</v>
      </c>
      <c r="C1" s="123" t="s">
        <v>18</v>
      </c>
      <c r="D1" s="129" t="s">
        <v>2</v>
      </c>
      <c r="E1" s="130" t="s">
        <v>19</v>
      </c>
      <c r="F1" s="101" t="s">
        <v>20</v>
      </c>
      <c r="G1" s="129" t="s">
        <v>21</v>
      </c>
      <c r="H1" s="114" t="s">
        <v>22</v>
      </c>
      <c r="I1" s="114" t="s">
        <v>23</v>
      </c>
      <c r="J1" s="114" t="s">
        <v>24</v>
      </c>
      <c r="K1" s="115" t="s">
        <v>15</v>
      </c>
      <c r="L1" s="116"/>
    </row>
    <row r="2" spans="1:12">
      <c r="A2" s="124">
        <f>DNSPNZSourceData!B228</f>
        <v>2001</v>
      </c>
      <c r="B2" s="125">
        <f>DNSPNZSourceData!C228</f>
        <v>2006</v>
      </c>
      <c r="C2" s="124">
        <f>DNSPNZSourceData!D228</f>
        <v>2</v>
      </c>
      <c r="D2" s="103">
        <f>DNSPNZSourceData!E228*DNSPNZSourceData!E$232/(DNSPNZSourceData!E$232+DNSPNZSourceData!E$277)</f>
        <v>73273.921972926139</v>
      </c>
      <c r="E2" s="118">
        <f>DNSPNZSourceData!F228</f>
        <v>1</v>
      </c>
      <c r="F2" s="103">
        <f>DNSPNZSourceData!G228*DNSPNZSourceData!G$232/(DNSPNZSourceData!G$232+DNSPNZSourceData!G$277)</f>
        <v>1648.8132240305663</v>
      </c>
      <c r="G2" s="103">
        <f>F2</f>
        <v>1648.8132240305663</v>
      </c>
      <c r="H2" s="103">
        <f>DNSPNZSourceData!I228*DNSPNZSourceData!I$231/(DNSPNZSourceData!I$231+DNSPNZSourceData!I$276)</f>
        <v>496058.05631378759</v>
      </c>
      <c r="I2" s="103">
        <f>DNSPNZSourceData!J228*DNSPNZSourceData!J$231/(DNSPNZSourceData!J$231+DNSPNZSourceData!J$276)</f>
        <v>17124.640707380673</v>
      </c>
      <c r="J2" s="118">
        <f>DNSPNZSourceData!K228*DNSPNZSourceData!K$231/(DNSPNZSourceData!K$231+DNSPNZSourceData!K$276)/I2</f>
        <v>0.50050927118241129</v>
      </c>
      <c r="K2" s="119" t="s">
        <v>381</v>
      </c>
    </row>
    <row r="3" spans="1:12">
      <c r="A3" s="124">
        <f>DNSPNZSourceData!B229</f>
        <v>2001</v>
      </c>
      <c r="B3" s="125">
        <f>DNSPNZSourceData!C229</f>
        <v>2007</v>
      </c>
      <c r="C3" s="124">
        <f>DNSPNZSourceData!D229</f>
        <v>2</v>
      </c>
      <c r="D3" s="103">
        <f>DNSPNZSourceData!E229*DNSPNZSourceData!E$232/(DNSPNZSourceData!E$232+DNSPNZSourceData!E$277)</f>
        <v>79266.671086236587</v>
      </c>
      <c r="E3" s="118">
        <f>DNSPNZSourceData!F229</f>
        <v>1.0438528231223547</v>
      </c>
      <c r="F3" s="103">
        <f>DNSPNZSourceData!G229*DNSPNZSourceData!G$232/(DNSPNZSourceData!G$232+DNSPNZSourceData!G$277)</f>
        <v>1769.532638169359</v>
      </c>
      <c r="G3" s="103">
        <f>MAX(F3,G2)</f>
        <v>1769.532638169359</v>
      </c>
      <c r="H3" s="103">
        <f>DNSPNZSourceData!I229*DNSPNZSourceData!I$231/(DNSPNZSourceData!I$231+DNSPNZSourceData!I$276)</f>
        <v>507497.49036971806</v>
      </c>
      <c r="I3" s="103">
        <f>DNSPNZSourceData!J229*DNSPNZSourceData!J$231/(DNSPNZSourceData!J$231+DNSPNZSourceData!J$276)</f>
        <v>17233.651042405781</v>
      </c>
      <c r="J3" s="118">
        <f>DNSPNZSourceData!K229*DNSPNZSourceData!K$231/(DNSPNZSourceData!K$231+DNSPNZSourceData!K$276)/I3</f>
        <v>0.50278194720942171</v>
      </c>
      <c r="K3" s="119" t="s">
        <v>381</v>
      </c>
    </row>
    <row r="4" spans="1:12">
      <c r="A4" s="124">
        <f>DNSPNZSourceData!B230</f>
        <v>2001</v>
      </c>
      <c r="B4" s="125">
        <f>DNSPNZSourceData!C230</f>
        <v>2008</v>
      </c>
      <c r="C4" s="124">
        <f>DNSPNZSourceData!D230</f>
        <v>2</v>
      </c>
      <c r="D4" s="103">
        <f>DNSPNZSourceData!E230*DNSPNZSourceData!E$232/(DNSPNZSourceData!E$232+DNSPNZSourceData!E$277)</f>
        <v>85750.329213142031</v>
      </c>
      <c r="E4" s="118">
        <f>DNSPNZSourceData!F230</f>
        <v>1.0903851002750273</v>
      </c>
      <c r="F4" s="103">
        <f>DNSPNZSourceData!G230*DNSPNZSourceData!G$232/(DNSPNZSourceData!G$232+DNSPNZSourceData!G$277)</f>
        <v>1753.7143519400281</v>
      </c>
      <c r="G4" s="103">
        <f t="shared" ref="G4:G14" si="0">MAX(F4,G3)</f>
        <v>1769.532638169359</v>
      </c>
      <c r="H4" s="103">
        <f>DNSPNZSourceData!I230*DNSPNZSourceData!I$231/(DNSPNZSourceData!I$231+DNSPNZSourceData!I$276)</f>
        <v>514837.39688835415</v>
      </c>
      <c r="I4" s="103">
        <f>DNSPNZSourceData!J230*DNSPNZSourceData!J$231/(DNSPNZSourceData!J$231+DNSPNZSourceData!J$276)</f>
        <v>17444.728782873179</v>
      </c>
      <c r="J4" s="118">
        <f>DNSPNZSourceData!K230*DNSPNZSourceData!K$231/(DNSPNZSourceData!K$231+DNSPNZSourceData!K$276)/I4</f>
        <v>0.50947550629838634</v>
      </c>
      <c r="K4" s="119" t="s">
        <v>381</v>
      </c>
    </row>
    <row r="5" spans="1:12">
      <c r="A5" s="124">
        <f>DNSPNZSourceData!B231</f>
        <v>2001</v>
      </c>
      <c r="B5" s="125">
        <f>DNSPNZSourceData!C231</f>
        <v>2009</v>
      </c>
      <c r="C5" s="124">
        <f>DNSPNZSourceData!D231</f>
        <v>2</v>
      </c>
      <c r="D5" s="103">
        <f>DNSPNZSourceData!E231</f>
        <v>93540</v>
      </c>
      <c r="E5" s="118">
        <f>DNSPNZSourceData!F231</f>
        <v>1.1562469092885455</v>
      </c>
      <c r="F5" s="103">
        <f>DNSPNZSourceData!G231*DNSPNZSourceData!G$232/(DNSPNZSourceData!G$232+DNSPNZSourceData!G$277)</f>
        <v>1751.4534395825635</v>
      </c>
      <c r="G5" s="103">
        <f t="shared" si="0"/>
        <v>1769.532638169359</v>
      </c>
      <c r="H5" s="103">
        <f>DNSPNZSourceData!I231</f>
        <v>519695.7335295658</v>
      </c>
      <c r="I5" s="103">
        <f>DNSPNZSourceData!J231</f>
        <v>17537</v>
      </c>
      <c r="J5" s="118">
        <f>DNSPNZSourceData!L231</f>
        <v>0.51348577293721842</v>
      </c>
      <c r="K5" s="119" t="s">
        <v>381</v>
      </c>
    </row>
    <row r="6" spans="1:12">
      <c r="A6" s="124">
        <f>DNSPNZSourceData!B232</f>
        <v>2001</v>
      </c>
      <c r="B6" s="125">
        <f>DNSPNZSourceData!C232</f>
        <v>2010</v>
      </c>
      <c r="C6" s="124">
        <f>DNSPNZSourceData!D232</f>
        <v>2</v>
      </c>
      <c r="D6" s="103">
        <f>DNSPNZSourceData!E232</f>
        <v>90122.364683198117</v>
      </c>
      <c r="E6" s="118">
        <f>DNSPNZSourceData!F232</f>
        <v>1.1601923412470114</v>
      </c>
      <c r="F6" s="103">
        <f>DNSPNZSourceData!G232</f>
        <v>1854</v>
      </c>
      <c r="G6" s="103">
        <f t="shared" si="0"/>
        <v>1854</v>
      </c>
      <c r="H6" s="103">
        <f>DNSPNZSourceData!I232</f>
        <v>524621.5</v>
      </c>
      <c r="I6" s="103">
        <f>DNSPNZSourceData!J232</f>
        <v>17631.06914099996</v>
      </c>
      <c r="J6" s="118">
        <f>DNSPNZSourceData!L232</f>
        <v>0.51761291774290941</v>
      </c>
      <c r="K6" s="119" t="s">
        <v>381</v>
      </c>
    </row>
    <row r="7" spans="1:12">
      <c r="A7" s="124">
        <f>DNSPNZSourceData!B233</f>
        <v>2001</v>
      </c>
      <c r="B7" s="125">
        <f>DNSPNZSourceData!C233</f>
        <v>2011</v>
      </c>
      <c r="C7" s="124">
        <f>DNSPNZSourceData!D233</f>
        <v>2</v>
      </c>
      <c r="D7" s="103">
        <f>DNSPNZSourceData!E233</f>
        <v>92140</v>
      </c>
      <c r="E7" s="118">
        <f>DNSPNZSourceData!F233</f>
        <v>1.1900846681215445</v>
      </c>
      <c r="F7" s="103">
        <f>DNSPNZSourceData!G233</f>
        <v>1896</v>
      </c>
      <c r="G7" s="103">
        <f t="shared" si="0"/>
        <v>1896</v>
      </c>
      <c r="H7" s="103">
        <f>DNSPNZSourceData!I233</f>
        <v>529140.5</v>
      </c>
      <c r="I7" s="103">
        <f>DNSPNZSourceData!J233</f>
        <v>17719.783825999999</v>
      </c>
      <c r="J7" s="118">
        <f>DNSPNZSourceData!L233</f>
        <v>0.52251110492751685</v>
      </c>
      <c r="K7" s="119" t="s">
        <v>381</v>
      </c>
    </row>
    <row r="8" spans="1:12">
      <c r="A8" s="124">
        <f>DNSPNZSourceData!B234</f>
        <v>2001</v>
      </c>
      <c r="B8" s="125">
        <f>DNSPNZSourceData!C234</f>
        <v>2012</v>
      </c>
      <c r="C8" s="124">
        <f>DNSPNZSourceData!D234</f>
        <v>2</v>
      </c>
      <c r="D8" s="103">
        <f>DNSPNZSourceData!E234</f>
        <v>99575</v>
      </c>
      <c r="E8" s="118">
        <f>DNSPNZSourceData!F234</f>
        <v>1.2216652483575092</v>
      </c>
      <c r="F8" s="103">
        <f>DNSPNZSourceData!G234</f>
        <v>2073</v>
      </c>
      <c r="G8" s="103">
        <f t="shared" si="0"/>
        <v>2073</v>
      </c>
      <c r="H8" s="103">
        <f>DNSPNZSourceData!I234</f>
        <v>532949</v>
      </c>
      <c r="I8" s="103">
        <f>DNSPNZSourceData!J234</f>
        <v>17757.131076999882</v>
      </c>
      <c r="J8" s="118">
        <f>DNSPNZSourceData!L234</f>
        <v>0.52442362956152111</v>
      </c>
      <c r="K8" s="119" t="s">
        <v>381</v>
      </c>
    </row>
    <row r="9" spans="1:12">
      <c r="A9" s="124">
        <f>DNSPNZSourceData!B235</f>
        <v>2001</v>
      </c>
      <c r="B9" s="125">
        <f>DNSPNZSourceData!C235</f>
        <v>2013</v>
      </c>
      <c r="C9" s="124">
        <f>DNSPNZSourceData!D235</f>
        <v>2</v>
      </c>
      <c r="D9" s="103">
        <f>DNSPNZSourceData!E235</f>
        <v>95112</v>
      </c>
      <c r="E9" s="118">
        <f>DNSPNZSourceData!F235</f>
        <v>1.2421813017565195</v>
      </c>
      <c r="F9" s="103">
        <f>DNSPNZSourceData!G235</f>
        <v>1827.401885876739</v>
      </c>
      <c r="G9" s="103">
        <f t="shared" si="0"/>
        <v>2073</v>
      </c>
      <c r="H9" s="103">
        <f>DNSPNZSourceData!I235</f>
        <v>536085.83333333349</v>
      </c>
      <c r="I9" s="103">
        <f>DNSPNZSourceData!J235</f>
        <v>17848.91422799998</v>
      </c>
      <c r="J9" s="118">
        <f>DNSPNZSourceData!L235</f>
        <v>0.52757162484583831</v>
      </c>
      <c r="K9" s="119" t="s">
        <v>381</v>
      </c>
    </row>
    <row r="10" spans="1:12">
      <c r="A10" s="124">
        <f>DNSPNZSourceData!B236</f>
        <v>2001</v>
      </c>
      <c r="B10" s="125">
        <f>DNSPNZSourceData!C236</f>
        <v>2014</v>
      </c>
      <c r="C10" s="124">
        <f>DNSPNZSourceData!D236</f>
        <v>2</v>
      </c>
      <c r="D10" s="103">
        <f>DNSPNZSourceData!E236</f>
        <v>106706</v>
      </c>
      <c r="E10" s="118">
        <f>DNSPNZSourceData!F236</f>
        <v>1.27237461042106</v>
      </c>
      <c r="F10" s="103">
        <f>DNSPNZSourceData!G236</f>
        <v>1864.7829881594309</v>
      </c>
      <c r="G10" s="103">
        <f t="shared" si="0"/>
        <v>2073</v>
      </c>
      <c r="H10" s="103">
        <f>DNSPNZSourceData!I236</f>
        <v>540125</v>
      </c>
      <c r="I10" s="103">
        <f>DNSPNZSourceData!J236</f>
        <v>17961</v>
      </c>
      <c r="J10" s="118">
        <f>DNSPNZSourceData!L236</f>
        <v>0.53265408384833801</v>
      </c>
      <c r="K10" s="119" t="s">
        <v>381</v>
      </c>
    </row>
    <row r="11" spans="1:12">
      <c r="A11" s="124">
        <f>DNSPNZSourceData!B237</f>
        <v>2001</v>
      </c>
      <c r="B11" s="125">
        <f>DNSPNZSourceData!C237</f>
        <v>2015</v>
      </c>
      <c r="C11" s="124">
        <f>DNSPNZSourceData!D237</f>
        <v>2</v>
      </c>
      <c r="D11" s="103">
        <f>DNSPNZSourceData!E237</f>
        <v>112188</v>
      </c>
      <c r="E11" s="118">
        <f>DNSPNZSourceData!F237</f>
        <v>1.2816685951411126</v>
      </c>
      <c r="F11" s="103">
        <f>DNSPNZSourceData!G237</f>
        <v>1849.5101377982169</v>
      </c>
      <c r="G11" s="103">
        <f t="shared" si="0"/>
        <v>2073</v>
      </c>
      <c r="H11" s="103">
        <f>DNSPNZSourceData!I237</f>
        <v>540539</v>
      </c>
      <c r="I11" s="103">
        <f>DNSPNZSourceData!J237</f>
        <v>18116.144</v>
      </c>
      <c r="J11" s="118">
        <f>DNSPNZSourceData!L237</f>
        <v>0.53772756498292351</v>
      </c>
      <c r="K11" s="119" t="s">
        <v>381</v>
      </c>
    </row>
    <row r="12" spans="1:12">
      <c r="A12" s="124">
        <f>DNSPNZSourceData!B238</f>
        <v>2001</v>
      </c>
      <c r="B12" s="125">
        <f>DNSPNZSourceData!C238</f>
        <v>2016</v>
      </c>
      <c r="C12" s="124">
        <f>DNSPNZSourceData!D238</f>
        <v>2</v>
      </c>
      <c r="D12" s="103">
        <f>DNSPNZSourceData!E238</f>
        <v>108873</v>
      </c>
      <c r="E12" s="118">
        <f>DNSPNZSourceData!F238</f>
        <v>1.2867539916420168</v>
      </c>
      <c r="F12" s="103">
        <f>DNSPNZSourceData!G238</f>
        <v>1874.1410801080294</v>
      </c>
      <c r="G12" s="103">
        <f t="shared" si="0"/>
        <v>2073</v>
      </c>
      <c r="H12" s="103">
        <f>DNSPNZSourceData!I238</f>
        <v>545968</v>
      </c>
      <c r="I12" s="103">
        <f>DNSPNZSourceData!J238</f>
        <v>18265.681</v>
      </c>
      <c r="J12" s="118">
        <f>DNSPNZSourceData!L238</f>
        <v>0.54316556825885665</v>
      </c>
      <c r="K12" s="119" t="s">
        <v>381</v>
      </c>
    </row>
    <row r="13" spans="1:12">
      <c r="A13" s="124">
        <f>DNSPNZSourceData!B239</f>
        <v>2001</v>
      </c>
      <c r="B13" s="125">
        <f>DNSPNZSourceData!C239</f>
        <v>2017</v>
      </c>
      <c r="C13" s="124">
        <f>DNSPNZSourceData!D239</f>
        <v>2</v>
      </c>
      <c r="D13" s="103">
        <f>DNSPNZSourceData!E239</f>
        <v>107863</v>
      </c>
      <c r="E13" s="118">
        <f>DNSPNZSourceData!F239</f>
        <v>1.3063682360796467</v>
      </c>
      <c r="F13" s="103">
        <f>DNSPNZSourceData!G239</f>
        <v>1813.0689032300611</v>
      </c>
      <c r="G13" s="103">
        <f t="shared" si="0"/>
        <v>2073</v>
      </c>
      <c r="H13" s="103">
        <f>DNSPNZSourceData!I239</f>
        <v>551728</v>
      </c>
      <c r="I13" s="103">
        <f>DNSPNZSourceData!J239</f>
        <v>18455.371760096899</v>
      </c>
      <c r="J13" s="118">
        <f>DNSPNZSourceData!L239</f>
        <v>0.54731478137636091</v>
      </c>
      <c r="K13" s="119" t="s">
        <v>381</v>
      </c>
    </row>
    <row r="14" spans="1:12">
      <c r="A14" s="124">
        <f>DNSPNZSourceData!B240</f>
        <v>2001</v>
      </c>
      <c r="B14" s="125">
        <f>DNSPNZSourceData!C240</f>
        <v>2018</v>
      </c>
      <c r="C14" s="124">
        <f>DNSPNZSourceData!D240</f>
        <v>2</v>
      </c>
      <c r="D14" s="103">
        <f>DNSPNZSourceData!E240</f>
        <v>113414.8866205727</v>
      </c>
      <c r="E14" s="118">
        <f>DNSPNZSourceData!F240</f>
        <v>1.3404204496621166</v>
      </c>
      <c r="F14" s="103">
        <f>DNSPNZSourceData!G240</f>
        <v>1888.4356136209308</v>
      </c>
      <c r="G14" s="103">
        <f t="shared" si="0"/>
        <v>2073</v>
      </c>
      <c r="H14" s="103">
        <f>DNSPNZSourceData!I240</f>
        <v>557490</v>
      </c>
      <c r="I14" s="103">
        <f>DNSPNZSourceData!J240</f>
        <v>18658.018</v>
      </c>
      <c r="J14" s="118">
        <f>DNSPNZSourceData!L240</f>
        <v>0.55283615869595581</v>
      </c>
      <c r="K14" s="119" t="s">
        <v>381</v>
      </c>
    </row>
    <row r="15" spans="1:12">
      <c r="A15" s="124">
        <f>DNSPNZSourceData!B241</f>
        <v>2001</v>
      </c>
      <c r="B15" s="125">
        <f>DNSPNZSourceData!C241</f>
        <v>2019</v>
      </c>
      <c r="C15" s="124">
        <f>DNSPNZSourceData!D241</f>
        <v>2</v>
      </c>
      <c r="D15" s="103">
        <f>DNSPNZSourceData!E241</f>
        <v>121961</v>
      </c>
      <c r="E15" s="118">
        <f>DNSPNZSourceData!F241</f>
        <v>1.3740587734764929</v>
      </c>
      <c r="F15" s="103">
        <f>DNSPNZSourceData!G241</f>
        <v>1944.5435801157575</v>
      </c>
      <c r="G15" s="103">
        <f t="shared" ref="G15" si="1">MAX(F15,G14)</f>
        <v>2073</v>
      </c>
      <c r="H15" s="103">
        <f>DNSPNZSourceData!I241</f>
        <v>565200</v>
      </c>
      <c r="I15" s="103">
        <f>DNSPNZSourceData!J241</f>
        <v>18707.657999999999</v>
      </c>
      <c r="J15" s="118">
        <f>DNSPNZSourceData!L241</f>
        <v>0.56264669794583588</v>
      </c>
      <c r="K15" s="119" t="s">
        <v>381</v>
      </c>
    </row>
    <row r="16" spans="1:12">
      <c r="A16" s="124">
        <f>DNSPNZSourceData!B242</f>
        <v>2001</v>
      </c>
      <c r="B16" s="125">
        <f>DNSPNZSourceData!C242</f>
        <v>2020</v>
      </c>
      <c r="C16" s="124">
        <f>DNSPNZSourceData!D242</f>
        <v>2</v>
      </c>
      <c r="D16" s="103">
        <f>DNSPNZSourceData!E242</f>
        <v>129235</v>
      </c>
      <c r="E16" s="118">
        <f>DNSPNZSourceData!F242</f>
        <v>1.4000516345247649</v>
      </c>
      <c r="F16" s="103">
        <f>DNSPNZSourceData!G242</f>
        <v>1863.7149566656396</v>
      </c>
      <c r="G16" s="103">
        <f t="shared" ref="G16" si="2">MAX(F16,G15)</f>
        <v>2073</v>
      </c>
      <c r="H16" s="103">
        <f>DNSPNZSourceData!I242</f>
        <v>573860</v>
      </c>
      <c r="I16" s="103">
        <f>DNSPNZSourceData!J242</f>
        <v>18949.526000000002</v>
      </c>
      <c r="J16" s="118">
        <f>DNSPNZSourceData!L242</f>
        <v>0.56226957866914451</v>
      </c>
      <c r="K16" s="119" t="s">
        <v>381</v>
      </c>
    </row>
    <row r="17" spans="1:11">
      <c r="A17" s="124">
        <f>DNSPNZSourceData!B153</f>
        <v>2002</v>
      </c>
      <c r="B17" s="125">
        <f>DNSPNZSourceData!C153</f>
        <v>2006</v>
      </c>
      <c r="C17" s="124">
        <f>DNSPNZSourceData!D153</f>
        <v>2</v>
      </c>
      <c r="D17" s="103">
        <f>DNSPNZSourceData!E153</f>
        <v>56962.494667723186</v>
      </c>
      <c r="E17" s="118">
        <f>DNSPNZSourceData!F153</f>
        <v>1</v>
      </c>
      <c r="F17" s="117">
        <f>DNSPNZSourceData!G153</f>
        <v>730.37346736082475</v>
      </c>
      <c r="G17" s="103">
        <f>DNSPNZSourceData!H153</f>
        <v>730.37346736082475</v>
      </c>
      <c r="H17" s="103">
        <f>DNSPNZSourceData!I153</f>
        <v>298665</v>
      </c>
      <c r="I17" s="103">
        <f>DNSPNZSourceData!J153</f>
        <v>27090</v>
      </c>
      <c r="J17" s="118">
        <f>DNSPNZSourceData!L153</f>
        <v>0.19062384643779992</v>
      </c>
      <c r="K17" s="119" t="str">
        <f>DNSPNZSourceData!A153</f>
        <v>Powerco</v>
      </c>
    </row>
    <row r="18" spans="1:11">
      <c r="A18" s="124">
        <f>DNSPNZSourceData!B154</f>
        <v>2002</v>
      </c>
      <c r="B18" s="125">
        <f>DNSPNZSourceData!C154</f>
        <v>2007</v>
      </c>
      <c r="C18" s="124">
        <f>DNSPNZSourceData!D154</f>
        <v>2</v>
      </c>
      <c r="D18" s="103">
        <f>DNSPNZSourceData!E154</f>
        <v>51851.49398530271</v>
      </c>
      <c r="E18" s="118">
        <f>DNSPNZSourceData!F154</f>
        <v>1.0438528231223547</v>
      </c>
      <c r="F18" s="117">
        <f>DNSPNZSourceData!G154</f>
        <v>812.0947671494846</v>
      </c>
      <c r="G18" s="103">
        <f>DNSPNZSourceData!H154</f>
        <v>812.0947671494846</v>
      </c>
      <c r="H18" s="103">
        <f>DNSPNZSourceData!I154</f>
        <v>305298.5</v>
      </c>
      <c r="I18" s="103">
        <f>DNSPNZSourceData!J154</f>
        <v>27255</v>
      </c>
      <c r="J18" s="118">
        <f>DNSPNZSourceData!L154</f>
        <v>0.19445973215923684</v>
      </c>
      <c r="K18" s="119" t="str">
        <f>DNSPNZSourceData!A154</f>
        <v>Powerco</v>
      </c>
    </row>
    <row r="19" spans="1:11" s="120" customFormat="1">
      <c r="A19" s="124">
        <f>DNSPNZSourceData!B155</f>
        <v>2002</v>
      </c>
      <c r="B19" s="125">
        <f>DNSPNZSourceData!C155</f>
        <v>2008</v>
      </c>
      <c r="C19" s="124">
        <f>DNSPNZSourceData!D155</f>
        <v>2</v>
      </c>
      <c r="D19" s="103">
        <f>DNSPNZSourceData!E155</f>
        <v>57634</v>
      </c>
      <c r="E19" s="118">
        <f>DNSPNZSourceData!F155</f>
        <v>1.0903851002750273</v>
      </c>
      <c r="F19" s="117">
        <f>DNSPNZSourceData!G155</f>
        <v>836.86199999999997</v>
      </c>
      <c r="G19" s="103">
        <f>DNSPNZSourceData!H155</f>
        <v>836.86199999999997</v>
      </c>
      <c r="H19" s="103">
        <f>DNSPNZSourceData!I155</f>
        <v>305598.5</v>
      </c>
      <c r="I19" s="103">
        <f>DNSPNZSourceData!J155</f>
        <v>27360.5557600018</v>
      </c>
      <c r="J19" s="118">
        <f>DNSPNZSourceData!L155</f>
        <v>0.18743500588891154</v>
      </c>
      <c r="K19" s="119" t="str">
        <f>DNSPNZSourceData!A155</f>
        <v>Powerco</v>
      </c>
    </row>
    <row r="20" spans="1:11" s="120" customFormat="1">
      <c r="A20" s="124">
        <f>DNSPNZSourceData!B156</f>
        <v>2002</v>
      </c>
      <c r="B20" s="125">
        <f>DNSPNZSourceData!C156</f>
        <v>2009</v>
      </c>
      <c r="C20" s="124">
        <f>DNSPNZSourceData!D156</f>
        <v>2</v>
      </c>
      <c r="D20" s="103">
        <f>DNSPNZSourceData!E156</f>
        <v>58189.000000000007</v>
      </c>
      <c r="E20" s="118">
        <f>DNSPNZSourceData!F156</f>
        <v>1.1562469092885455</v>
      </c>
      <c r="F20" s="117">
        <f>DNSPNZSourceData!G156</f>
        <v>856</v>
      </c>
      <c r="G20" s="103">
        <f>DNSPNZSourceData!H156</f>
        <v>856</v>
      </c>
      <c r="H20" s="103">
        <f>DNSPNZSourceData!I156</f>
        <v>310225</v>
      </c>
      <c r="I20" s="103">
        <f>DNSPNZSourceData!J156</f>
        <v>29274</v>
      </c>
      <c r="J20" s="118">
        <f>DNSPNZSourceData!L156</f>
        <v>0.21127963380474141</v>
      </c>
      <c r="K20" s="119" t="str">
        <f>DNSPNZSourceData!A156</f>
        <v>Powerco</v>
      </c>
    </row>
    <row r="21" spans="1:11" s="120" customFormat="1">
      <c r="A21" s="124">
        <f>DNSPNZSourceData!B157</f>
        <v>2002</v>
      </c>
      <c r="B21" s="125">
        <f>DNSPNZSourceData!C157</f>
        <v>2010</v>
      </c>
      <c r="C21" s="124">
        <f>DNSPNZSourceData!D157</f>
        <v>2</v>
      </c>
      <c r="D21" s="103">
        <f>DNSPNZSourceData!E157</f>
        <v>57431.96325980001</v>
      </c>
      <c r="E21" s="118">
        <f>DNSPNZSourceData!F157</f>
        <v>1.1601923412470114</v>
      </c>
      <c r="F21" s="117">
        <f>DNSPNZSourceData!G157</f>
        <v>926.01199999999994</v>
      </c>
      <c r="G21" s="103">
        <f>DNSPNZSourceData!H157</f>
        <v>926.01199999999994</v>
      </c>
      <c r="H21" s="103">
        <f>DNSPNZSourceData!I157</f>
        <v>316434</v>
      </c>
      <c r="I21" s="103">
        <f>DNSPNZSourceData!J157</f>
        <v>30035.4826390128</v>
      </c>
      <c r="J21" s="118">
        <f>DNSPNZSourceData!L157</f>
        <v>0.24704308644010159</v>
      </c>
      <c r="K21" s="119" t="str">
        <f>DNSPNZSourceData!A157</f>
        <v>Powerco</v>
      </c>
    </row>
    <row r="22" spans="1:11" s="120" customFormat="1">
      <c r="A22" s="124">
        <f>DNSPNZSourceData!B158</f>
        <v>2002</v>
      </c>
      <c r="B22" s="125">
        <f>DNSPNZSourceData!C158</f>
        <v>2011</v>
      </c>
      <c r="C22" s="124">
        <f>DNSPNZSourceData!D158</f>
        <v>2</v>
      </c>
      <c r="D22" s="103">
        <f>DNSPNZSourceData!E158</f>
        <v>57267.520173115903</v>
      </c>
      <c r="E22" s="118">
        <f>DNSPNZSourceData!F158</f>
        <v>1.1900846681215445</v>
      </c>
      <c r="F22" s="117">
        <f>DNSPNZSourceData!G158</f>
        <v>919.18200000000002</v>
      </c>
      <c r="G22" s="103">
        <f>DNSPNZSourceData!H158</f>
        <v>926.01199999999994</v>
      </c>
      <c r="H22" s="103">
        <f>DNSPNZSourceData!I158</f>
        <v>318335</v>
      </c>
      <c r="I22" s="103">
        <f>DNSPNZSourceData!J158</f>
        <v>29920</v>
      </c>
      <c r="J22" s="118">
        <f>DNSPNZSourceData!L158</f>
        <v>0.2539438502673797</v>
      </c>
      <c r="K22" s="119" t="str">
        <f>DNSPNZSourceData!A158</f>
        <v>Powerco</v>
      </c>
    </row>
    <row r="23" spans="1:11" s="120" customFormat="1">
      <c r="A23" s="124">
        <f>DNSPNZSourceData!B159</f>
        <v>2002</v>
      </c>
      <c r="B23" s="125">
        <f>DNSPNZSourceData!C159</f>
        <v>2012</v>
      </c>
      <c r="C23" s="124">
        <f>DNSPNZSourceData!D159</f>
        <v>2</v>
      </c>
      <c r="D23" s="103">
        <f>DNSPNZSourceData!E159</f>
        <v>66547.535206153596</v>
      </c>
      <c r="E23" s="118">
        <f>DNSPNZSourceData!F159</f>
        <v>1.2216652483575092</v>
      </c>
      <c r="F23" s="117">
        <f>DNSPNZSourceData!G159</f>
        <v>949.29199999999969</v>
      </c>
      <c r="G23" s="103">
        <f>DNSPNZSourceData!H159</f>
        <v>949.29199999999969</v>
      </c>
      <c r="H23" s="103">
        <f>DNSPNZSourceData!I159</f>
        <v>320034</v>
      </c>
      <c r="I23" s="103">
        <f>DNSPNZSourceData!J159</f>
        <v>30841.2225764385</v>
      </c>
      <c r="J23" s="118">
        <f>DNSPNZSourceData!L159</f>
        <v>0.24828133433053659</v>
      </c>
      <c r="K23" s="119" t="str">
        <f>DNSPNZSourceData!A159</f>
        <v>Powerco</v>
      </c>
    </row>
    <row r="24" spans="1:11" s="120" customFormat="1">
      <c r="A24" s="124">
        <f>DNSPNZSourceData!B160</f>
        <v>2002</v>
      </c>
      <c r="B24" s="125">
        <f>DNSPNZSourceData!C160</f>
        <v>2013</v>
      </c>
      <c r="C24" s="124">
        <f>DNSPNZSourceData!D160</f>
        <v>2</v>
      </c>
      <c r="D24" s="103">
        <f>DNSPNZSourceData!E160</f>
        <v>65355.319773354822</v>
      </c>
      <c r="E24" s="118">
        <f>DNSPNZSourceData!F160</f>
        <v>1.2421813017565195</v>
      </c>
      <c r="F24" s="117">
        <f>DNSPNZSourceData!G160</f>
        <v>919.07115600622171</v>
      </c>
      <c r="G24" s="103">
        <f>DNSPNZSourceData!H160</f>
        <v>949.29199999999969</v>
      </c>
      <c r="H24" s="103">
        <f>DNSPNZSourceData!I160</f>
        <v>322161.5</v>
      </c>
      <c r="I24" s="103">
        <f>DNSPNZSourceData!J160</f>
        <v>28879.355304661309</v>
      </c>
      <c r="J24" s="118">
        <f>DNSPNZSourceData!L160</f>
        <v>0.22865953076848627</v>
      </c>
      <c r="K24" s="119" t="str">
        <f>DNSPNZSourceData!A160</f>
        <v>Powerco</v>
      </c>
    </row>
    <row r="25" spans="1:11" s="120" customFormat="1">
      <c r="A25" s="124">
        <f>DNSPNZSourceData!B161</f>
        <v>2002</v>
      </c>
      <c r="B25" s="125">
        <f>DNSPNZSourceData!C161</f>
        <v>2014</v>
      </c>
      <c r="C25" s="124">
        <f>DNSPNZSourceData!D161</f>
        <v>2</v>
      </c>
      <c r="D25" s="103">
        <f>DNSPNZSourceData!E161</f>
        <v>67817.648873944156</v>
      </c>
      <c r="E25" s="118">
        <f>DNSPNZSourceData!F161</f>
        <v>1.27237461042106</v>
      </c>
      <c r="F25" s="117">
        <f>DNSPNZSourceData!G161</f>
        <v>961.24710830731055</v>
      </c>
      <c r="G25" s="103">
        <f>DNSPNZSourceData!H161</f>
        <v>961.24710830731055</v>
      </c>
      <c r="H25" s="103">
        <f>DNSPNZSourceData!I161</f>
        <v>324593</v>
      </c>
      <c r="I25" s="103">
        <f>DNSPNZSourceData!J161</f>
        <v>27731.452660999999</v>
      </c>
      <c r="J25" s="118">
        <f>DNSPNZSourceData!L161</f>
        <v>0.21389244416834341</v>
      </c>
      <c r="K25" s="119" t="str">
        <f>DNSPNZSourceData!A161</f>
        <v>Powerco</v>
      </c>
    </row>
    <row r="26" spans="1:11" s="120" customFormat="1">
      <c r="A26" s="124">
        <f>DNSPNZSourceData!B162</f>
        <v>2002</v>
      </c>
      <c r="B26" s="125">
        <f>DNSPNZSourceData!C162</f>
        <v>2015</v>
      </c>
      <c r="C26" s="124">
        <f>DNSPNZSourceData!D162</f>
        <v>2</v>
      </c>
      <c r="D26" s="103">
        <f>DNSPNZSourceData!E162</f>
        <v>65510.486778504099</v>
      </c>
      <c r="E26" s="118">
        <f>DNSPNZSourceData!F162</f>
        <v>1.2816685951411126</v>
      </c>
      <c r="F26" s="117">
        <f>DNSPNZSourceData!G162</f>
        <v>955.02974143129461</v>
      </c>
      <c r="G26" s="103">
        <f>DNSPNZSourceData!H162</f>
        <v>961.24710830731055</v>
      </c>
      <c r="H26" s="103">
        <f>DNSPNZSourceData!I162</f>
        <v>327385.5</v>
      </c>
      <c r="I26" s="103">
        <f>DNSPNZSourceData!J162</f>
        <v>27832.707504999998</v>
      </c>
      <c r="J26" s="118">
        <f>DNSPNZSourceData!L162</f>
        <v>0.21691619656174016</v>
      </c>
      <c r="K26" s="119" t="str">
        <f>DNSPNZSourceData!A162</f>
        <v>Powerco</v>
      </c>
    </row>
    <row r="27" spans="1:11" s="120" customFormat="1">
      <c r="A27" s="126">
        <f>A26</f>
        <v>2002</v>
      </c>
      <c r="B27" s="127">
        <f>B26+1</f>
        <v>2016</v>
      </c>
      <c r="C27" s="126">
        <f>C26</f>
        <v>2</v>
      </c>
      <c r="D27" s="121">
        <f>DNSPNZSourceData!E163</f>
        <v>69364.66225541968</v>
      </c>
      <c r="E27" s="122">
        <f>DNSPNZSourceData!F163</f>
        <v>1.2867539916420168</v>
      </c>
      <c r="F27" s="117">
        <f>DNSPNZSourceData!G163</f>
        <v>1006.1431586166566</v>
      </c>
      <c r="G27" s="121">
        <f>DNSPNZSourceData!H163</f>
        <v>1006.1431586166566</v>
      </c>
      <c r="H27" s="121">
        <f>DNSPNZSourceData!I163</f>
        <v>330577</v>
      </c>
      <c r="I27" s="121">
        <f>DNSPNZSourceData!J163</f>
        <v>27903.905121</v>
      </c>
      <c r="J27" s="122">
        <f>DNSPNZSourceData!L163</f>
        <v>0.22040474214383346</v>
      </c>
      <c r="K27" s="119" t="str">
        <f>DNSPNZSourceData!A163</f>
        <v>Powerco</v>
      </c>
    </row>
    <row r="28" spans="1:11" s="120" customFormat="1">
      <c r="A28" s="126">
        <f>A27</f>
        <v>2002</v>
      </c>
      <c r="B28" s="127">
        <f>B27+1</f>
        <v>2017</v>
      </c>
      <c r="C28" s="126">
        <f>C27</f>
        <v>2</v>
      </c>
      <c r="D28" s="121">
        <f>DNSPNZSourceData!E164</f>
        <v>73523.621091508336</v>
      </c>
      <c r="E28" s="122">
        <f>DNSPNZSourceData!F164</f>
        <v>1.3063682360796467</v>
      </c>
      <c r="F28" s="117">
        <f>DNSPNZSourceData!G164</f>
        <v>1002.7347092756978</v>
      </c>
      <c r="G28" s="121">
        <f>DNSPNZSourceData!H164</f>
        <v>1006.1431586166566</v>
      </c>
      <c r="H28" s="121">
        <f>DNSPNZSourceData!I164</f>
        <v>334042</v>
      </c>
      <c r="I28" s="121">
        <f>DNSPNZSourceData!J164</f>
        <v>28034.445577999999</v>
      </c>
      <c r="J28" s="122">
        <f>DNSPNZSourceData!L164</f>
        <v>0.22463189341407563</v>
      </c>
      <c r="K28" s="119" t="str">
        <f>DNSPNZSourceData!A164</f>
        <v>Powerco</v>
      </c>
    </row>
    <row r="29" spans="1:11" s="120" customFormat="1">
      <c r="A29" s="126">
        <f>A28</f>
        <v>2002</v>
      </c>
      <c r="B29" s="127">
        <f>B28+1</f>
        <v>2018</v>
      </c>
      <c r="C29" s="126">
        <f>C28</f>
        <v>2</v>
      </c>
      <c r="D29" s="121">
        <f>DNSPNZSourceData!E165</f>
        <v>70422.069412066543</v>
      </c>
      <c r="E29" s="122">
        <f>DNSPNZSourceData!F165</f>
        <v>1.3404204496621166</v>
      </c>
      <c r="F29" s="117">
        <f>DNSPNZSourceData!G165</f>
        <v>995.88894424757029</v>
      </c>
      <c r="G29" s="121">
        <f>DNSPNZSourceData!H165</f>
        <v>1006.1431586166566</v>
      </c>
      <c r="H29" s="121">
        <f>DNSPNZSourceData!I165</f>
        <v>337134.5</v>
      </c>
      <c r="I29" s="121">
        <f>DNSPNZSourceData!J165</f>
        <v>28114.51109399999</v>
      </c>
      <c r="J29" s="122">
        <f>DNSPNZSourceData!L165</f>
        <v>0.22813576222454093</v>
      </c>
      <c r="K29" s="119" t="str">
        <f>DNSPNZSourceData!A165</f>
        <v>Powerco</v>
      </c>
    </row>
    <row r="30" spans="1:11" s="120" customFormat="1">
      <c r="A30" s="126">
        <f>A29</f>
        <v>2002</v>
      </c>
      <c r="B30" s="127">
        <f>B29+1</f>
        <v>2019</v>
      </c>
      <c r="C30" s="126">
        <f>C29</f>
        <v>2</v>
      </c>
      <c r="D30" s="121">
        <f>DNSPNZSourceData!E166</f>
        <v>87938.577067936509</v>
      </c>
      <c r="E30" s="122">
        <f>DNSPNZSourceData!F166</f>
        <v>1.3740587734764929</v>
      </c>
      <c r="F30" s="117">
        <f>DNSPNZSourceData!G166</f>
        <v>1016.9835818626248</v>
      </c>
      <c r="G30" s="121">
        <f>DNSPNZSourceData!H166</f>
        <v>1016.9835818626248</v>
      </c>
      <c r="H30" s="121">
        <f>DNSPNZSourceData!I166</f>
        <v>340378</v>
      </c>
      <c r="I30" s="121">
        <f>DNSPNZSourceData!J166</f>
        <v>28322.220612000001</v>
      </c>
      <c r="J30" s="122">
        <f>DNSPNZSourceData!L166</f>
        <v>0.23538787432420979</v>
      </c>
      <c r="K30" s="119" t="str">
        <f>DNSPNZSourceData!A166</f>
        <v>Powerco</v>
      </c>
    </row>
    <row r="31" spans="1:11" s="120" customFormat="1">
      <c r="A31" s="126">
        <f>A30</f>
        <v>2002</v>
      </c>
      <c r="B31" s="127">
        <f>B30+1</f>
        <v>2020</v>
      </c>
      <c r="C31" s="126">
        <f>C30</f>
        <v>2</v>
      </c>
      <c r="D31" s="121">
        <f>DNSPNZSourceData!E167</f>
        <v>89783.684829999998</v>
      </c>
      <c r="E31" s="122">
        <f>DNSPNZSourceData!F167</f>
        <v>1.4000516345247649</v>
      </c>
      <c r="F31" s="117">
        <f>DNSPNZSourceData!G167</f>
        <v>1024.7552904576448</v>
      </c>
      <c r="G31" s="121">
        <f>DNSPNZSourceData!H167</f>
        <v>1024.7552904576448</v>
      </c>
      <c r="H31" s="121">
        <f>DNSPNZSourceData!I167</f>
        <v>344184</v>
      </c>
      <c r="I31" s="121">
        <f>DNSPNZSourceData!J167</f>
        <v>28441.207031000002</v>
      </c>
      <c r="J31" s="122">
        <f>DNSPNZSourceData!L167</f>
        <v>0.23930175444317975</v>
      </c>
      <c r="K31" s="119" t="str">
        <f>DNSPNZSourceData!A167</f>
        <v>Powerco</v>
      </c>
    </row>
    <row r="32" spans="1:11" s="120" customFormat="1">
      <c r="A32" s="124">
        <f>DNSPNZSourceData!B213</f>
        <v>2003</v>
      </c>
      <c r="B32" s="125">
        <f>DNSPNZSourceData!C213</f>
        <v>2006</v>
      </c>
      <c r="C32" s="124">
        <f>DNSPNZSourceData!D213</f>
        <v>2</v>
      </c>
      <c r="D32" s="103">
        <f>DNSPNZSourceData!E213</f>
        <v>20433.178345924665</v>
      </c>
      <c r="E32" s="118">
        <f>DNSPNZSourceData!F213</f>
        <v>1</v>
      </c>
      <c r="F32" s="117">
        <f>DNSPNZSourceData!G213</f>
        <v>307.04470327985712</v>
      </c>
      <c r="G32" s="103">
        <f>DNSPNZSourceData!H213</f>
        <v>307.04470327985712</v>
      </c>
      <c r="H32" s="103">
        <f>DNSPNZSourceData!I213</f>
        <v>103347</v>
      </c>
      <c r="I32" s="103">
        <f>DNSPNZSourceData!J213</f>
        <v>9318</v>
      </c>
      <c r="J32" s="118">
        <f>DNSPNZSourceData!L213</f>
        <v>0.37143163769049153</v>
      </c>
      <c r="K32" s="119" t="str">
        <f>DNSPNZSourceData!A213</f>
        <v>Unison</v>
      </c>
    </row>
    <row r="33" spans="1:11" s="120" customFormat="1">
      <c r="A33" s="124">
        <f>DNSPNZSourceData!B214</f>
        <v>2003</v>
      </c>
      <c r="B33" s="125">
        <f>DNSPNZSourceData!C214</f>
        <v>2007</v>
      </c>
      <c r="C33" s="124">
        <f>DNSPNZSourceData!D214</f>
        <v>2</v>
      </c>
      <c r="D33" s="103">
        <f>DNSPNZSourceData!E214</f>
        <v>20268.618537782837</v>
      </c>
      <c r="E33" s="118">
        <f>DNSPNZSourceData!F214</f>
        <v>1.0438528231223547</v>
      </c>
      <c r="F33" s="117">
        <f>DNSPNZSourceData!G214</f>
        <v>318.17807214025362</v>
      </c>
      <c r="G33" s="103">
        <f>DNSPNZSourceData!H214</f>
        <v>318.17807214025362</v>
      </c>
      <c r="H33" s="103">
        <f>DNSPNZSourceData!I214</f>
        <v>105198.5</v>
      </c>
      <c r="I33" s="103">
        <f>DNSPNZSourceData!J214</f>
        <v>9376</v>
      </c>
      <c r="J33" s="118">
        <f>DNSPNZSourceData!L214</f>
        <v>0.37702645051194539</v>
      </c>
      <c r="K33" s="119" t="str">
        <f>DNSPNZSourceData!A214</f>
        <v>Unison</v>
      </c>
    </row>
    <row r="34" spans="1:11" s="120" customFormat="1">
      <c r="A34" s="124">
        <f>DNSPNZSourceData!B215</f>
        <v>2003</v>
      </c>
      <c r="B34" s="125">
        <f>DNSPNZSourceData!C215</f>
        <v>2008</v>
      </c>
      <c r="C34" s="124">
        <f>DNSPNZSourceData!D215</f>
        <v>2</v>
      </c>
      <c r="D34" s="103">
        <f>DNSPNZSourceData!E215</f>
        <v>21860.43275</v>
      </c>
      <c r="E34" s="118">
        <f>DNSPNZSourceData!F215</f>
        <v>1.0903851002750273</v>
      </c>
      <c r="F34" s="117">
        <f>DNSPNZSourceData!G215</f>
        <v>331.82400000000001</v>
      </c>
      <c r="G34" s="103">
        <f>DNSPNZSourceData!H215</f>
        <v>331.82400000000001</v>
      </c>
      <c r="H34" s="103">
        <f>DNSPNZSourceData!I215</f>
        <v>106979.5</v>
      </c>
      <c r="I34" s="103">
        <f>DNSPNZSourceData!J215</f>
        <v>8938.9259999999995</v>
      </c>
      <c r="J34" s="118">
        <f>DNSPNZSourceData!L215</f>
        <v>0.378193420551865</v>
      </c>
      <c r="K34" s="119" t="str">
        <f>DNSPNZSourceData!A215</f>
        <v>Unison</v>
      </c>
    </row>
    <row r="35" spans="1:11" s="120" customFormat="1">
      <c r="A35" s="124">
        <f>DNSPNZSourceData!B216</f>
        <v>2003</v>
      </c>
      <c r="B35" s="125">
        <f>DNSPNZSourceData!C216</f>
        <v>2009</v>
      </c>
      <c r="C35" s="124">
        <f>DNSPNZSourceData!D216</f>
        <v>2</v>
      </c>
      <c r="D35" s="103">
        <f>DNSPNZSourceData!E216</f>
        <v>21457.578760000004</v>
      </c>
      <c r="E35" s="118">
        <f>DNSPNZSourceData!F216</f>
        <v>1.1562469092885455</v>
      </c>
      <c r="F35" s="117">
        <f>DNSPNZSourceData!G216</f>
        <v>323.54500000000002</v>
      </c>
      <c r="G35" s="103">
        <f>DNSPNZSourceData!H216</f>
        <v>331.82400000000001</v>
      </c>
      <c r="H35" s="103">
        <f>DNSPNZSourceData!I216</f>
        <v>107812</v>
      </c>
      <c r="I35" s="103">
        <f>DNSPNZSourceData!J216</f>
        <v>9510.3349999999991</v>
      </c>
      <c r="J35" s="118">
        <f>DNSPNZSourceData!L216</f>
        <v>0.38525898404209741</v>
      </c>
      <c r="K35" s="119" t="str">
        <f>DNSPNZSourceData!A216</f>
        <v>Unison</v>
      </c>
    </row>
    <row r="36" spans="1:11" s="120" customFormat="1">
      <c r="A36" s="124">
        <f>DNSPNZSourceData!B217</f>
        <v>2003</v>
      </c>
      <c r="B36" s="125">
        <f>DNSPNZSourceData!C217</f>
        <v>2010</v>
      </c>
      <c r="C36" s="124">
        <f>DNSPNZSourceData!D217</f>
        <v>2</v>
      </c>
      <c r="D36" s="103">
        <f>DNSPNZSourceData!E217</f>
        <v>25773.486999999997</v>
      </c>
      <c r="E36" s="118">
        <f>DNSPNZSourceData!F217</f>
        <v>1.1601923412470114</v>
      </c>
      <c r="F36" s="117">
        <f>DNSPNZSourceData!G217</f>
        <v>323.60000000000002</v>
      </c>
      <c r="G36" s="103">
        <f>DNSPNZSourceData!H217</f>
        <v>331.82400000000001</v>
      </c>
      <c r="H36" s="103">
        <f>DNSPNZSourceData!I217</f>
        <v>107848</v>
      </c>
      <c r="I36" s="103">
        <f>DNSPNZSourceData!J217</f>
        <v>9571.09</v>
      </c>
      <c r="J36" s="118">
        <f>DNSPNZSourceData!L217</f>
        <v>0.38662890015661749</v>
      </c>
      <c r="K36" s="119" t="str">
        <f>DNSPNZSourceData!A217</f>
        <v>Unison</v>
      </c>
    </row>
    <row r="37" spans="1:11" s="120" customFormat="1">
      <c r="A37" s="124">
        <f>DNSPNZSourceData!B218</f>
        <v>2003</v>
      </c>
      <c r="B37" s="125">
        <f>DNSPNZSourceData!C218</f>
        <v>2011</v>
      </c>
      <c r="C37" s="124">
        <f>DNSPNZSourceData!D218</f>
        <v>2</v>
      </c>
      <c r="D37" s="103">
        <f>DNSPNZSourceData!E218</f>
        <v>29511.938159999998</v>
      </c>
      <c r="E37" s="118">
        <f>DNSPNZSourceData!F218</f>
        <v>1.1900846681215445</v>
      </c>
      <c r="F37" s="117">
        <f>DNSPNZSourceData!G218</f>
        <v>318</v>
      </c>
      <c r="G37" s="103">
        <f>DNSPNZSourceData!H218</f>
        <v>331.82400000000001</v>
      </c>
      <c r="H37" s="103">
        <f>DNSPNZSourceData!I218</f>
        <v>108595</v>
      </c>
      <c r="I37" s="103">
        <f>DNSPNZSourceData!J218</f>
        <v>7981.866</v>
      </c>
      <c r="J37" s="118">
        <f>DNSPNZSourceData!L218</f>
        <v>0.31186629793083476</v>
      </c>
      <c r="K37" s="119" t="str">
        <f>DNSPNZSourceData!A218</f>
        <v>Unison</v>
      </c>
    </row>
    <row r="38" spans="1:11" s="120" customFormat="1">
      <c r="A38" s="124">
        <f>DNSPNZSourceData!B219</f>
        <v>2003</v>
      </c>
      <c r="B38" s="125">
        <f>DNSPNZSourceData!C219</f>
        <v>2012</v>
      </c>
      <c r="C38" s="124">
        <f>DNSPNZSourceData!D219</f>
        <v>2</v>
      </c>
      <c r="D38" s="103">
        <f>DNSPNZSourceData!E219</f>
        <v>29981.341179999999</v>
      </c>
      <c r="E38" s="118">
        <f>DNSPNZSourceData!F219</f>
        <v>1.2216652483575092</v>
      </c>
      <c r="F38" s="117">
        <f>DNSPNZSourceData!G219</f>
        <v>324</v>
      </c>
      <c r="G38" s="103">
        <f>DNSPNZSourceData!H219</f>
        <v>331.82400000000001</v>
      </c>
      <c r="H38" s="103">
        <f>DNSPNZSourceData!I219</f>
        <v>109074.5</v>
      </c>
      <c r="I38" s="103">
        <f>DNSPNZSourceData!J219</f>
        <v>8007.09</v>
      </c>
      <c r="J38" s="118">
        <f>DNSPNZSourceData!L219</f>
        <v>0.31359058034816639</v>
      </c>
      <c r="K38" s="119" t="str">
        <f>DNSPNZSourceData!A219</f>
        <v>Unison</v>
      </c>
    </row>
    <row r="39" spans="1:11" s="120" customFormat="1">
      <c r="A39" s="124">
        <f>DNSPNZSourceData!B220</f>
        <v>2003</v>
      </c>
      <c r="B39" s="125">
        <f>DNSPNZSourceData!C220</f>
        <v>2013</v>
      </c>
      <c r="C39" s="124">
        <f>DNSPNZSourceData!D220</f>
        <v>2</v>
      </c>
      <c r="D39" s="103">
        <f>DNSPNZSourceData!E220</f>
        <v>32224.174999999999</v>
      </c>
      <c r="E39" s="118">
        <f>DNSPNZSourceData!F220</f>
        <v>1.2421813017565195</v>
      </c>
      <c r="F39" s="117">
        <f>DNSPNZSourceData!G220</f>
        <v>324</v>
      </c>
      <c r="G39" s="103">
        <f>DNSPNZSourceData!H220</f>
        <v>331.82400000000001</v>
      </c>
      <c r="H39" s="103">
        <f>DNSPNZSourceData!I220</f>
        <v>109315.5833333333</v>
      </c>
      <c r="I39" s="103">
        <f>DNSPNZSourceData!J220</f>
        <v>8035.9585540003454</v>
      </c>
      <c r="J39" s="118">
        <f>DNSPNZSourceData!L220</f>
        <v>0.31561196712959838</v>
      </c>
      <c r="K39" s="119" t="str">
        <f>DNSPNZSourceData!A220</f>
        <v>Unison</v>
      </c>
    </row>
    <row r="40" spans="1:11" s="120" customFormat="1">
      <c r="A40" s="124">
        <f>DNSPNZSourceData!B221</f>
        <v>2003</v>
      </c>
      <c r="B40" s="125">
        <f>DNSPNZSourceData!C221</f>
        <v>2014</v>
      </c>
      <c r="C40" s="124">
        <f>DNSPNZSourceData!D221</f>
        <v>2</v>
      </c>
      <c r="D40" s="103">
        <f>DNSPNZSourceData!E221</f>
        <v>34853.785604490076</v>
      </c>
      <c r="E40" s="118">
        <f>DNSPNZSourceData!F221</f>
        <v>1.27237461042106</v>
      </c>
      <c r="F40" s="117">
        <f>DNSPNZSourceData!G221</f>
        <v>360.96644295302013</v>
      </c>
      <c r="G40" s="103">
        <f>DNSPNZSourceData!H221</f>
        <v>360.96644295302013</v>
      </c>
      <c r="H40" s="103">
        <f>DNSPNZSourceData!I221</f>
        <v>110029</v>
      </c>
      <c r="I40" s="103">
        <f>DNSPNZSourceData!J221</f>
        <v>8897.0341670002636</v>
      </c>
      <c r="J40" s="118">
        <f>DNSPNZSourceData!L221</f>
        <v>0.3755954086806258</v>
      </c>
      <c r="K40" s="119" t="str">
        <f>DNSPNZSourceData!A221</f>
        <v>Unison Networks</v>
      </c>
    </row>
    <row r="41" spans="1:11" s="120" customFormat="1">
      <c r="A41" s="124">
        <f>DNSPNZSourceData!B222</f>
        <v>2003</v>
      </c>
      <c r="B41" s="125">
        <f>DNSPNZSourceData!C222</f>
        <v>2015</v>
      </c>
      <c r="C41" s="124">
        <f>DNSPNZSourceData!D222</f>
        <v>2</v>
      </c>
      <c r="D41" s="103">
        <f>DNSPNZSourceData!E222</f>
        <v>35142.829238561593</v>
      </c>
      <c r="E41" s="118">
        <f>DNSPNZSourceData!F222</f>
        <v>1.2816685951411126</v>
      </c>
      <c r="F41" s="117">
        <f>DNSPNZSourceData!G222</f>
        <v>339.76510067114094</v>
      </c>
      <c r="G41" s="103">
        <f>DNSPNZSourceData!H222</f>
        <v>360.96644295302013</v>
      </c>
      <c r="H41" s="103">
        <f>DNSPNZSourceData!I222</f>
        <v>110575.8333333333</v>
      </c>
      <c r="I41" s="103">
        <f>DNSPNZSourceData!J222</f>
        <v>9083.1209169999347</v>
      </c>
      <c r="J41" s="118">
        <f>DNSPNZSourceData!L222</f>
        <v>0.37341100256102949</v>
      </c>
      <c r="K41" s="119" t="str">
        <f>DNSPNZSourceData!A222</f>
        <v>Unison Networks</v>
      </c>
    </row>
    <row r="42" spans="1:11" s="120" customFormat="1">
      <c r="A42" s="126">
        <f>A41</f>
        <v>2003</v>
      </c>
      <c r="B42" s="127">
        <f>B41+1</f>
        <v>2016</v>
      </c>
      <c r="C42" s="126">
        <f>C41</f>
        <v>2</v>
      </c>
      <c r="D42" s="121">
        <f>DNSPNZSourceData!E223</f>
        <v>35565.284</v>
      </c>
      <c r="E42" s="122">
        <f>DNSPNZSourceData!F223</f>
        <v>1.2867539916420168</v>
      </c>
      <c r="F42" s="117">
        <f>DNSPNZSourceData!G223</f>
        <v>384.540878657718</v>
      </c>
      <c r="G42" s="121">
        <f>DNSPNZSourceData!H223</f>
        <v>384.540878657718</v>
      </c>
      <c r="H42" s="121">
        <f>DNSPNZSourceData!I223</f>
        <v>111045.3333333333</v>
      </c>
      <c r="I42" s="121">
        <f>DNSPNZSourceData!J223</f>
        <v>9002.4532099999888</v>
      </c>
      <c r="J42" s="122">
        <f>DNSPNZSourceData!L223</f>
        <v>0.3874567867928978</v>
      </c>
      <c r="K42" s="119" t="str">
        <f>DNSPNZSourceData!A223</f>
        <v>Unison Networks</v>
      </c>
    </row>
    <row r="43" spans="1:11" s="120" customFormat="1">
      <c r="A43" s="126">
        <f>A42</f>
        <v>2003</v>
      </c>
      <c r="B43" s="127">
        <f>B42+1</f>
        <v>2017</v>
      </c>
      <c r="C43" s="126">
        <f>C42</f>
        <v>2</v>
      </c>
      <c r="D43" s="121">
        <f>DNSPNZSourceData!E224</f>
        <v>35386.228560000003</v>
      </c>
      <c r="E43" s="122">
        <f>DNSPNZSourceData!F224</f>
        <v>1.3063682360796467</v>
      </c>
      <c r="F43" s="117">
        <f>DNSPNZSourceData!G224</f>
        <v>351.18120805369125</v>
      </c>
      <c r="G43" s="121">
        <f>DNSPNZSourceData!H224</f>
        <v>384.540878657718</v>
      </c>
      <c r="H43" s="121">
        <f>DNSPNZSourceData!I224</f>
        <v>111842</v>
      </c>
      <c r="I43" s="121">
        <f>DNSPNZSourceData!J224</f>
        <v>9181.8665469999578</v>
      </c>
      <c r="J43" s="122">
        <f>DNSPNZSourceData!L224</f>
        <v>0.39346247078491975</v>
      </c>
      <c r="K43" s="119" t="str">
        <f>DNSPNZSourceData!A224</f>
        <v>Unison Networks</v>
      </c>
    </row>
    <row r="44" spans="1:11" s="120" customFormat="1">
      <c r="A44" s="126">
        <f>A43</f>
        <v>2003</v>
      </c>
      <c r="B44" s="127">
        <f>B43+1</f>
        <v>2018</v>
      </c>
      <c r="C44" s="126">
        <f>C43</f>
        <v>2</v>
      </c>
      <c r="D44" s="121">
        <f>DNSPNZSourceData!E225</f>
        <v>38485.987999999998</v>
      </c>
      <c r="E44" s="122">
        <f>DNSPNZSourceData!F225</f>
        <v>1.3404204496621166</v>
      </c>
      <c r="F44" s="117">
        <f>DNSPNZSourceData!G225</f>
        <v>357.70469798657717</v>
      </c>
      <c r="G44" s="121">
        <f>DNSPNZSourceData!H225</f>
        <v>384.540878657718</v>
      </c>
      <c r="H44" s="121">
        <f>DNSPNZSourceData!I225</f>
        <v>112781</v>
      </c>
      <c r="I44" s="121">
        <f>DNSPNZSourceData!J225</f>
        <v>9244.7115889999932</v>
      </c>
      <c r="J44" s="122">
        <f>DNSPNZSourceData!L225</f>
        <v>0.39758490999042484</v>
      </c>
      <c r="K44" s="119" t="str">
        <f>DNSPNZSourceData!A225</f>
        <v>Unison Networks</v>
      </c>
    </row>
    <row r="45" spans="1:11" s="120" customFormat="1">
      <c r="A45" s="126">
        <f>A44</f>
        <v>2003</v>
      </c>
      <c r="B45" s="127">
        <f>B44+1</f>
        <v>2019</v>
      </c>
      <c r="C45" s="126">
        <f>C44</f>
        <v>2</v>
      </c>
      <c r="D45" s="121">
        <f>DNSPNZSourceData!E226</f>
        <v>39408.432999999997</v>
      </c>
      <c r="E45" s="122">
        <f>DNSPNZSourceData!F226</f>
        <v>1.3740587734764929</v>
      </c>
      <c r="F45" s="117">
        <f>DNSPNZSourceData!G226</f>
        <v>378.36241610738256</v>
      </c>
      <c r="G45" s="121">
        <f>DNSPNZSourceData!H226</f>
        <v>384.540878657718</v>
      </c>
      <c r="H45" s="121">
        <f>DNSPNZSourceData!I226</f>
        <v>113676</v>
      </c>
      <c r="I45" s="121">
        <f>DNSPNZSourceData!J226</f>
        <v>9290.3517289999872</v>
      </c>
      <c r="J45" s="122">
        <f>DNSPNZSourceData!L226</f>
        <v>0.4001883427507425</v>
      </c>
      <c r="K45" s="119" t="str">
        <f>DNSPNZSourceData!A226</f>
        <v>Unison Networks</v>
      </c>
    </row>
    <row r="46" spans="1:11" s="120" customFormat="1">
      <c r="A46" s="126">
        <f>A45</f>
        <v>2003</v>
      </c>
      <c r="B46" s="127">
        <f>B45+1</f>
        <v>2020</v>
      </c>
      <c r="C46" s="126">
        <f>C45</f>
        <v>2</v>
      </c>
      <c r="D46" s="121">
        <f>DNSPNZSourceData!E227</f>
        <v>43157.792000000001</v>
      </c>
      <c r="E46" s="122">
        <f>DNSPNZSourceData!F227</f>
        <v>1.4000516345247649</v>
      </c>
      <c r="F46" s="117">
        <f>DNSPNZSourceData!G227</f>
        <v>357.70469798657717</v>
      </c>
      <c r="G46" s="121">
        <f>DNSPNZSourceData!H227</f>
        <v>384.540878657718</v>
      </c>
      <c r="H46" s="121">
        <f>DNSPNZSourceData!I227</f>
        <v>114599</v>
      </c>
      <c r="I46" s="121">
        <f>DNSPNZSourceData!J227</f>
        <v>9312.795652999981</v>
      </c>
      <c r="J46" s="122">
        <f>DNSPNZSourceData!L227</f>
        <v>0.40271744165157025</v>
      </c>
      <c r="K46" s="119" t="str">
        <f>DNSPNZSourceData!A227</f>
        <v>Unison Networks</v>
      </c>
    </row>
    <row r="47" spans="1:11" s="120" customFormat="1">
      <c r="A47" s="124">
        <f>DNSPNZSourceData!B258</f>
        <v>2004</v>
      </c>
      <c r="B47" s="125">
        <f>DNSPNZSourceData!C258</f>
        <v>2006</v>
      </c>
      <c r="C47" s="124">
        <f>DNSPNZSourceData!D258</f>
        <v>2</v>
      </c>
      <c r="D47" s="103">
        <f>DNSPNZSourceData!E258</f>
        <v>11301.985420000021</v>
      </c>
      <c r="E47" s="118">
        <f>DNSPNZSourceData!F258</f>
        <v>1</v>
      </c>
      <c r="F47" s="117">
        <f>DNSPNZSourceData!G258</f>
        <v>221.21619578189527</v>
      </c>
      <c r="G47" s="103">
        <f>DNSPNZSourceData!H258</f>
        <v>221.21619578189527</v>
      </c>
      <c r="H47" s="103">
        <f>DNSPNZSourceData!I258</f>
        <v>77480</v>
      </c>
      <c r="I47" s="103">
        <f>DNSPNZSourceData!J258</f>
        <v>4970.96</v>
      </c>
      <c r="J47" s="118">
        <f>DNSPNZSourceData!L258</f>
        <v>0.31531132819415164</v>
      </c>
      <c r="K47" s="119" t="str">
        <f>DNSPNZSourceData!A258</f>
        <v>WEL Networks</v>
      </c>
    </row>
    <row r="48" spans="1:11" s="120" customFormat="1">
      <c r="A48" s="124">
        <f>DNSPNZSourceData!B259</f>
        <v>2004</v>
      </c>
      <c r="B48" s="125">
        <f>DNSPNZSourceData!C259</f>
        <v>2007</v>
      </c>
      <c r="C48" s="124">
        <f>DNSPNZSourceData!D259</f>
        <v>2</v>
      </c>
      <c r="D48" s="103">
        <f>DNSPNZSourceData!E259</f>
        <v>13363.869760000023</v>
      </c>
      <c r="E48" s="118">
        <f>DNSPNZSourceData!F259</f>
        <v>1.0438528231223547</v>
      </c>
      <c r="F48" s="117">
        <f>DNSPNZSourceData!G259</f>
        <v>229.152202805461</v>
      </c>
      <c r="G48" s="103">
        <f>DNSPNZSourceData!H259</f>
        <v>229.152202805461</v>
      </c>
      <c r="H48" s="103">
        <f>DNSPNZSourceData!I259</f>
        <v>80328</v>
      </c>
      <c r="I48" s="103">
        <f>DNSPNZSourceData!J259</f>
        <v>4995.82</v>
      </c>
      <c r="J48" s="118">
        <f>DNSPNZSourceData!L259</f>
        <v>0.32171295202789535</v>
      </c>
      <c r="K48" s="119" t="str">
        <f>DNSPNZSourceData!A259</f>
        <v>WEL Networks</v>
      </c>
    </row>
    <row r="49" spans="1:11" s="120" customFormat="1">
      <c r="A49" s="124">
        <f>DNSPNZSourceData!B260</f>
        <v>2004</v>
      </c>
      <c r="B49" s="125">
        <f>DNSPNZSourceData!C260</f>
        <v>2008</v>
      </c>
      <c r="C49" s="124">
        <f>DNSPNZSourceData!D260</f>
        <v>2</v>
      </c>
      <c r="D49" s="103">
        <f>DNSPNZSourceData!E260</f>
        <v>14966.064173081806</v>
      </c>
      <c r="E49" s="118">
        <f>DNSPNZSourceData!F260</f>
        <v>1.0903851002750273</v>
      </c>
      <c r="F49" s="117">
        <f>DNSPNZSourceData!G260</f>
        <v>234.66</v>
      </c>
      <c r="G49" s="103">
        <f>DNSPNZSourceData!H260</f>
        <v>234.66</v>
      </c>
      <c r="H49" s="103">
        <f>DNSPNZSourceData!I260</f>
        <v>81386.5</v>
      </c>
      <c r="I49" s="103">
        <f>DNSPNZSourceData!J260</f>
        <v>5052.45</v>
      </c>
      <c r="J49" s="118">
        <f>DNSPNZSourceData!L260</f>
        <v>0.33269601876317434</v>
      </c>
      <c r="K49" s="119" t="str">
        <f>DNSPNZSourceData!A260</f>
        <v>WEL Networks</v>
      </c>
    </row>
    <row r="50" spans="1:11" s="120" customFormat="1">
      <c r="A50" s="124">
        <f>DNSPNZSourceData!B261</f>
        <v>2004</v>
      </c>
      <c r="B50" s="125">
        <f>DNSPNZSourceData!C261</f>
        <v>2009</v>
      </c>
      <c r="C50" s="124">
        <f>DNSPNZSourceData!D261</f>
        <v>2</v>
      </c>
      <c r="D50" s="103">
        <f>DNSPNZSourceData!E261</f>
        <v>16096.287542936203</v>
      </c>
      <c r="E50" s="118">
        <f>DNSPNZSourceData!F261</f>
        <v>1.1562469092885455</v>
      </c>
      <c r="F50" s="117">
        <f>DNSPNZSourceData!G261</f>
        <v>252.91800000000001</v>
      </c>
      <c r="G50" s="103">
        <f>DNSPNZSourceData!H261</f>
        <v>252.91800000000001</v>
      </c>
      <c r="H50" s="103">
        <f>DNSPNZSourceData!I261</f>
        <v>82513.5</v>
      </c>
      <c r="I50" s="103">
        <f>DNSPNZSourceData!J261</f>
        <v>5168.3</v>
      </c>
      <c r="J50" s="118">
        <f>DNSPNZSourceData!L261</f>
        <v>0.3481667085888977</v>
      </c>
      <c r="K50" s="119" t="str">
        <f>DNSPNZSourceData!A261</f>
        <v>WEL Networks</v>
      </c>
    </row>
    <row r="51" spans="1:11" s="120" customFormat="1">
      <c r="A51" s="124">
        <f>DNSPNZSourceData!B262</f>
        <v>2004</v>
      </c>
      <c r="B51" s="125">
        <f>DNSPNZSourceData!C262</f>
        <v>2010</v>
      </c>
      <c r="C51" s="124">
        <f>DNSPNZSourceData!D262</f>
        <v>2</v>
      </c>
      <c r="D51" s="103">
        <f>DNSPNZSourceData!E262</f>
        <v>16929.634370029304</v>
      </c>
      <c r="E51" s="118">
        <f>DNSPNZSourceData!F262</f>
        <v>1.1601923412470114</v>
      </c>
      <c r="F51" s="117">
        <f>DNSPNZSourceData!G262</f>
        <v>284.89</v>
      </c>
      <c r="G51" s="103">
        <f>DNSPNZSourceData!H262</f>
        <v>284.89</v>
      </c>
      <c r="H51" s="103">
        <f>DNSPNZSourceData!I262</f>
        <v>83995.5</v>
      </c>
      <c r="I51" s="103">
        <f>DNSPNZSourceData!J262</f>
        <v>5043</v>
      </c>
      <c r="J51" s="118">
        <f>DNSPNZSourceData!L262</f>
        <v>0.35732698790402539</v>
      </c>
      <c r="K51" s="119" t="str">
        <f>DNSPNZSourceData!A262</f>
        <v>WEL Networks</v>
      </c>
    </row>
    <row r="52" spans="1:11" s="120" customFormat="1">
      <c r="A52" s="124">
        <f>DNSPNZSourceData!B263</f>
        <v>2004</v>
      </c>
      <c r="B52" s="125">
        <f>DNSPNZSourceData!C263</f>
        <v>2011</v>
      </c>
      <c r="C52" s="124">
        <f>DNSPNZSourceData!D263</f>
        <v>2</v>
      </c>
      <c r="D52" s="103">
        <f>DNSPNZSourceData!E263</f>
        <v>17772.211296816298</v>
      </c>
      <c r="E52" s="118">
        <f>DNSPNZSourceData!F263</f>
        <v>1.1900846681215445</v>
      </c>
      <c r="F52" s="117">
        <f>DNSPNZSourceData!G263</f>
        <v>261.66399999999999</v>
      </c>
      <c r="G52" s="103">
        <f>DNSPNZSourceData!H263</f>
        <v>284.89</v>
      </c>
      <c r="H52" s="103">
        <f>DNSPNZSourceData!I263</f>
        <v>83945</v>
      </c>
      <c r="I52" s="103">
        <f>DNSPNZSourceData!J263</f>
        <v>5053.31538</v>
      </c>
      <c r="J52" s="118">
        <f>DNSPNZSourceData!L263</f>
        <v>0.3743857819537082</v>
      </c>
      <c r="K52" s="119" t="str">
        <f>DNSPNZSourceData!A263</f>
        <v>WEL Networks</v>
      </c>
    </row>
    <row r="53" spans="1:11" s="120" customFormat="1">
      <c r="A53" s="124">
        <f>DNSPNZSourceData!B264</f>
        <v>2004</v>
      </c>
      <c r="B53" s="125">
        <f>DNSPNZSourceData!C264</f>
        <v>2012</v>
      </c>
      <c r="C53" s="124">
        <f>DNSPNZSourceData!D264</f>
        <v>2</v>
      </c>
      <c r="D53" s="103">
        <f>DNSPNZSourceData!E264</f>
        <v>18520.744166246299</v>
      </c>
      <c r="E53" s="118">
        <f>DNSPNZSourceData!F264</f>
        <v>1.2216652483575092</v>
      </c>
      <c r="F53" s="117">
        <f>DNSPNZSourceData!G264</f>
        <v>272.53426000000002</v>
      </c>
      <c r="G53" s="103">
        <f>DNSPNZSourceData!H264</f>
        <v>284.89</v>
      </c>
      <c r="H53" s="103">
        <f>DNSPNZSourceData!I264</f>
        <v>83952.5</v>
      </c>
      <c r="I53" s="103">
        <f>DNSPNZSourceData!J264</f>
        <v>5226</v>
      </c>
      <c r="J53" s="118">
        <f>DNSPNZSourceData!L264</f>
        <v>0.38002296211251435</v>
      </c>
      <c r="K53" s="119" t="str">
        <f>DNSPNZSourceData!A264</f>
        <v>WEL Networks</v>
      </c>
    </row>
    <row r="54" spans="1:11" s="120" customFormat="1">
      <c r="A54" s="124">
        <f>DNSPNZSourceData!B265</f>
        <v>2004</v>
      </c>
      <c r="B54" s="125">
        <f>DNSPNZSourceData!C265</f>
        <v>2013</v>
      </c>
      <c r="C54" s="124">
        <f>DNSPNZSourceData!D265</f>
        <v>2</v>
      </c>
      <c r="D54" s="103">
        <f>DNSPNZSourceData!E265</f>
        <v>18419.232619999999</v>
      </c>
      <c r="E54" s="118">
        <f>DNSPNZSourceData!F265</f>
        <v>1.2421813017565195</v>
      </c>
      <c r="F54" s="117">
        <f>DNSPNZSourceData!G265</f>
        <v>260.83332867239642</v>
      </c>
      <c r="G54" s="103">
        <f>DNSPNZSourceData!H265</f>
        <v>284.89</v>
      </c>
      <c r="H54" s="103">
        <f>DNSPNZSourceData!I265</f>
        <v>84710.5</v>
      </c>
      <c r="I54" s="103">
        <f>DNSPNZSourceData!J265</f>
        <v>5199.2606590290006</v>
      </c>
      <c r="J54" s="118">
        <f>DNSPNZSourceData!L265</f>
        <v>0.38277720615370653</v>
      </c>
      <c r="K54" s="119" t="str">
        <f>DNSPNZSourceData!A265</f>
        <v>WEL Networks</v>
      </c>
    </row>
    <row r="55" spans="1:11" s="120" customFormat="1">
      <c r="A55" s="124">
        <f>DNSPNZSourceData!B266</f>
        <v>2004</v>
      </c>
      <c r="B55" s="125">
        <f>DNSPNZSourceData!C266</f>
        <v>2014</v>
      </c>
      <c r="C55" s="124">
        <f>DNSPNZSourceData!D266</f>
        <v>2</v>
      </c>
      <c r="D55" s="103">
        <f>DNSPNZSourceData!E266</f>
        <v>18919.191740000009</v>
      </c>
      <c r="E55" s="118">
        <f>DNSPNZSourceData!F266</f>
        <v>1.27237461042106</v>
      </c>
      <c r="F55" s="117">
        <f>DNSPNZSourceData!G266</f>
        <v>311.28875484545313</v>
      </c>
      <c r="G55" s="103">
        <f>DNSPNZSourceData!H266</f>
        <v>311.28875484545313</v>
      </c>
      <c r="H55" s="103">
        <f>DNSPNZSourceData!I266</f>
        <v>85809.5</v>
      </c>
      <c r="I55" s="103">
        <f>DNSPNZSourceData!J266</f>
        <v>5241.1620953919992</v>
      </c>
      <c r="J55" s="118">
        <f>DNSPNZSourceData!L266</f>
        <v>0.38264233935565861</v>
      </c>
      <c r="K55" s="119" t="str">
        <f>DNSPNZSourceData!A266</f>
        <v>WEL Networks</v>
      </c>
    </row>
    <row r="56" spans="1:11" s="120" customFormat="1">
      <c r="A56" s="124">
        <f>DNSPNZSourceData!B267</f>
        <v>2004</v>
      </c>
      <c r="B56" s="125">
        <f>DNSPNZSourceData!C267</f>
        <v>2015</v>
      </c>
      <c r="C56" s="124">
        <f>DNSPNZSourceData!D267</f>
        <v>2</v>
      </c>
      <c r="D56" s="103">
        <f>DNSPNZSourceData!E267</f>
        <v>17857.74745000001</v>
      </c>
      <c r="E56" s="118">
        <f>DNSPNZSourceData!F267</f>
        <v>1.2816685951411126</v>
      </c>
      <c r="F56" s="117">
        <f>DNSPNZSourceData!G267</f>
        <v>267.41901112853452</v>
      </c>
      <c r="G56" s="103">
        <f>DNSPNZSourceData!H267</f>
        <v>311.28875484545313</v>
      </c>
      <c r="H56" s="103">
        <f>DNSPNZSourceData!I267</f>
        <v>86738</v>
      </c>
      <c r="I56" s="103">
        <f>DNSPNZSourceData!J267</f>
        <v>5297.614156099</v>
      </c>
      <c r="J56" s="118">
        <f>DNSPNZSourceData!L267</f>
        <v>0.39052322429186331</v>
      </c>
      <c r="K56" s="119" t="str">
        <f>DNSPNZSourceData!A267</f>
        <v>WEL Networks</v>
      </c>
    </row>
    <row r="57" spans="1:11" s="120" customFormat="1">
      <c r="A57" s="126">
        <f>A56</f>
        <v>2004</v>
      </c>
      <c r="B57" s="127">
        <f>B56+1</f>
        <v>2016</v>
      </c>
      <c r="C57" s="126">
        <f>C56</f>
        <v>2</v>
      </c>
      <c r="D57" s="121">
        <f>DNSPNZSourceData!E268</f>
        <v>21313.74795999999</v>
      </c>
      <c r="E57" s="122">
        <f>DNSPNZSourceData!F268</f>
        <v>1.2867539916420168</v>
      </c>
      <c r="F57" s="117">
        <f>DNSPNZSourceData!G268</f>
        <v>281.83033957016352</v>
      </c>
      <c r="G57" s="121">
        <f>DNSPNZSourceData!H268</f>
        <v>311.28875484545313</v>
      </c>
      <c r="H57" s="121">
        <f>DNSPNZSourceData!I268</f>
        <v>87703.333333333343</v>
      </c>
      <c r="I57" s="121">
        <f>DNSPNZSourceData!J268</f>
        <v>5338.2946160000001</v>
      </c>
      <c r="J57" s="122">
        <f>DNSPNZSourceData!L268</f>
        <v>0.40079014159079152</v>
      </c>
      <c r="K57" s="119" t="str">
        <f>DNSPNZSourceData!A268</f>
        <v>WEL Networks</v>
      </c>
    </row>
    <row r="58" spans="1:11" s="120" customFormat="1">
      <c r="A58" s="126">
        <f>A57</f>
        <v>2004</v>
      </c>
      <c r="B58" s="127">
        <f>B57+1</f>
        <v>2017</v>
      </c>
      <c r="C58" s="126">
        <f>C57</f>
        <v>2</v>
      </c>
      <c r="D58" s="121">
        <f>DNSPNZSourceData!E269</f>
        <v>25539.472930000011</v>
      </c>
      <c r="E58" s="122">
        <f>DNSPNZSourceData!F269</f>
        <v>1.3063682360796467</v>
      </c>
      <c r="F58" s="117">
        <f>DNSPNZSourceData!G269</f>
        <v>296.36799853677473</v>
      </c>
      <c r="G58" s="121">
        <f>DNSPNZSourceData!H269</f>
        <v>311.28875484545313</v>
      </c>
      <c r="H58" s="121">
        <f>DNSPNZSourceData!I269</f>
        <v>89079.666666666701</v>
      </c>
      <c r="I58" s="121">
        <f>DNSPNZSourceData!J269</f>
        <v>5366.9447929999997</v>
      </c>
      <c r="J58" s="122">
        <f>DNSPNZSourceData!L269</f>
        <v>0.40737251366021276</v>
      </c>
      <c r="K58" s="119" t="str">
        <f>DNSPNZSourceData!A269</f>
        <v>WEL Networks</v>
      </c>
    </row>
    <row r="59" spans="1:11" s="120" customFormat="1">
      <c r="A59" s="126">
        <f>A58</f>
        <v>2004</v>
      </c>
      <c r="B59" s="127">
        <f>B58+1</f>
        <v>2018</v>
      </c>
      <c r="C59" s="126">
        <f>C58</f>
        <v>2</v>
      </c>
      <c r="D59" s="121">
        <f>DNSPNZSourceData!E270</f>
        <v>24955.718981000002</v>
      </c>
      <c r="E59" s="122">
        <f>DNSPNZSourceData!F270</f>
        <v>1.3404204496621166</v>
      </c>
      <c r="F59" s="117">
        <f>DNSPNZSourceData!G270</f>
        <v>294.10177407715685</v>
      </c>
      <c r="G59" s="121">
        <f>DNSPNZSourceData!H270</f>
        <v>311.28875484545313</v>
      </c>
      <c r="H59" s="121">
        <f>DNSPNZSourceData!I270</f>
        <v>90601</v>
      </c>
      <c r="I59" s="121">
        <f>DNSPNZSourceData!J270</f>
        <v>5397.5290889999997</v>
      </c>
      <c r="J59" s="122">
        <f>DNSPNZSourceData!L270</f>
        <v>0.41432936777638185</v>
      </c>
      <c r="K59" s="119" t="str">
        <f>DNSPNZSourceData!A270</f>
        <v>WEL Networks</v>
      </c>
    </row>
    <row r="60" spans="1:11" s="120" customFormat="1">
      <c r="A60" s="126">
        <f>A59</f>
        <v>2004</v>
      </c>
      <c r="B60" s="127">
        <f>B59+1</f>
        <v>2019</v>
      </c>
      <c r="C60" s="126">
        <f>C59</f>
        <v>2</v>
      </c>
      <c r="D60" s="121">
        <f>DNSPNZSourceData!E271</f>
        <v>22926.515536873801</v>
      </c>
      <c r="E60" s="122">
        <f>DNSPNZSourceData!F271</f>
        <v>1.3740587734764929</v>
      </c>
      <c r="F60" s="117">
        <f>DNSPNZSourceData!G271</f>
        <v>301.69849886881769</v>
      </c>
      <c r="G60" s="121">
        <f>DNSPNZSourceData!H271</f>
        <v>311.28875484545313</v>
      </c>
      <c r="H60" s="121">
        <f>DNSPNZSourceData!I271</f>
        <v>91970.5</v>
      </c>
      <c r="I60" s="121">
        <f>DNSPNZSourceData!J271</f>
        <v>5456.8046929999991</v>
      </c>
      <c r="J60" s="122">
        <f>DNSPNZSourceData!L271</f>
        <v>0.4229218348167112</v>
      </c>
      <c r="K60" s="119" t="str">
        <f>DNSPNZSourceData!A271</f>
        <v>WEL Networks</v>
      </c>
    </row>
    <row r="61" spans="1:11" s="120" customFormat="1">
      <c r="A61" s="126">
        <f>A60</f>
        <v>2004</v>
      </c>
      <c r="B61" s="127">
        <f>B60+1</f>
        <v>2020</v>
      </c>
      <c r="C61" s="126">
        <f>C60</f>
        <v>2</v>
      </c>
      <c r="D61" s="121">
        <f>DNSPNZSourceData!E272</f>
        <v>25400.55825265294</v>
      </c>
      <c r="E61" s="122">
        <f>DNSPNZSourceData!F272</f>
        <v>1.4000516345247649</v>
      </c>
      <c r="F61" s="117">
        <f>DNSPNZSourceData!G272</f>
        <v>294.54129886867429</v>
      </c>
      <c r="G61" s="121">
        <f>DNSPNZSourceData!H272</f>
        <v>311.28875484545313</v>
      </c>
      <c r="H61" s="121">
        <f>DNSPNZSourceData!I272</f>
        <v>93502</v>
      </c>
      <c r="I61" s="121">
        <f>DNSPNZSourceData!J272</f>
        <v>5515.2000000000007</v>
      </c>
      <c r="J61" s="122">
        <f>DNSPNZSourceData!L272</f>
        <v>0.43175224833188269</v>
      </c>
      <c r="K61" s="119" t="str">
        <f>DNSPNZSourceData!A272</f>
        <v>WEL Networks</v>
      </c>
    </row>
    <row r="62" spans="1:11" s="120" customFormat="1">
      <c r="A62" s="124">
        <f>DNSPNZSourceData!B18</f>
        <v>2005</v>
      </c>
      <c r="B62" s="125">
        <f>DNSPNZSourceData!C18</f>
        <v>2006</v>
      </c>
      <c r="C62" s="124">
        <f>DNSPNZSourceData!D18</f>
        <v>2</v>
      </c>
      <c r="D62" s="103">
        <f>DNSPNZSourceData!E18</f>
        <v>14438.675204558256</v>
      </c>
      <c r="E62" s="118">
        <f>DNSPNZSourceData!F18</f>
        <v>1</v>
      </c>
      <c r="F62" s="117">
        <f>DNSPNZSourceData!G18</f>
        <v>252.18025655313662</v>
      </c>
      <c r="G62" s="103">
        <f>DNSPNZSourceData!H18</f>
        <v>252.18025655313662</v>
      </c>
      <c r="H62" s="103">
        <f>DNSPNZSourceData!I18</f>
        <v>75117</v>
      </c>
      <c r="I62" s="103">
        <f>DNSPNZSourceData!J18</f>
        <v>5252</v>
      </c>
      <c r="J62" s="118">
        <f>DNSPNZSourceData!L18</f>
        <v>0.25266565118050266</v>
      </c>
      <c r="K62" s="119" t="str">
        <f>DNSPNZSourceData!A18</f>
        <v>Aurora Energy</v>
      </c>
    </row>
    <row r="63" spans="1:11" s="120" customFormat="1">
      <c r="A63" s="124">
        <f>DNSPNZSourceData!B19</f>
        <v>2005</v>
      </c>
      <c r="B63" s="125">
        <f>DNSPNZSourceData!C19</f>
        <v>2007</v>
      </c>
      <c r="C63" s="124">
        <f>DNSPNZSourceData!D19</f>
        <v>2</v>
      </c>
      <c r="D63" s="103">
        <f>DNSPNZSourceData!E19</f>
        <v>15397.488887842655</v>
      </c>
      <c r="E63" s="118">
        <f>DNSPNZSourceData!F19</f>
        <v>1.0438528231223547</v>
      </c>
      <c r="F63" s="117">
        <f>DNSPNZSourceData!G19</f>
        <v>258.32031551812418</v>
      </c>
      <c r="G63" s="103">
        <f>DNSPNZSourceData!H19</f>
        <v>258.32031551812418</v>
      </c>
      <c r="H63" s="103">
        <f>DNSPNZSourceData!I19</f>
        <v>77056</v>
      </c>
      <c r="I63" s="103">
        <f>DNSPNZSourceData!J19</f>
        <v>5356</v>
      </c>
      <c r="J63" s="118">
        <f>DNSPNZSourceData!L19</f>
        <v>0.26979088872292756</v>
      </c>
      <c r="K63" s="119" t="str">
        <f>DNSPNZSourceData!A19</f>
        <v>Aurora Energy</v>
      </c>
    </row>
    <row r="64" spans="1:11" s="120" customFormat="1">
      <c r="A64" s="124">
        <f>DNSPNZSourceData!B20</f>
        <v>2005</v>
      </c>
      <c r="B64" s="125">
        <f>DNSPNZSourceData!C20</f>
        <v>2008</v>
      </c>
      <c r="C64" s="124">
        <f>DNSPNZSourceData!D20</f>
        <v>2</v>
      </c>
      <c r="D64" s="103">
        <f>DNSPNZSourceData!E20</f>
        <v>18160.000000000004</v>
      </c>
      <c r="E64" s="118">
        <f>DNSPNZSourceData!F20</f>
        <v>1.0903851002750273</v>
      </c>
      <c r="F64" s="117">
        <f>DNSPNZSourceData!G20</f>
        <v>265.50200000000001</v>
      </c>
      <c r="G64" s="103">
        <f>DNSPNZSourceData!H20</f>
        <v>265.50200000000001</v>
      </c>
      <c r="H64" s="103">
        <f>DNSPNZSourceData!I20</f>
        <v>78761.5</v>
      </c>
      <c r="I64" s="103">
        <f>DNSPNZSourceData!J20</f>
        <v>5453.3</v>
      </c>
      <c r="J64" s="118">
        <f>DNSPNZSourceData!L20</f>
        <v>0.29178662461261989</v>
      </c>
      <c r="K64" s="119" t="str">
        <f>DNSPNZSourceData!A20</f>
        <v>Aurora Energy</v>
      </c>
    </row>
    <row r="65" spans="1:11" s="120" customFormat="1">
      <c r="A65" s="124">
        <f>DNSPNZSourceData!B21</f>
        <v>2005</v>
      </c>
      <c r="B65" s="125">
        <f>DNSPNZSourceData!C21</f>
        <v>2009</v>
      </c>
      <c r="C65" s="124">
        <f>DNSPNZSourceData!D21</f>
        <v>2</v>
      </c>
      <c r="D65" s="103">
        <f>DNSPNZSourceData!E21</f>
        <v>19823.000000000004</v>
      </c>
      <c r="E65" s="118">
        <f>DNSPNZSourceData!F21</f>
        <v>1.1562469092885455</v>
      </c>
      <c r="F65" s="117">
        <f>DNSPNZSourceData!G21</f>
        <v>269.88200000000001</v>
      </c>
      <c r="G65" s="103">
        <f>DNSPNZSourceData!H21</f>
        <v>269.88200000000001</v>
      </c>
      <c r="H65" s="103">
        <f>DNSPNZSourceData!I21</f>
        <v>80248.5</v>
      </c>
      <c r="I65" s="103">
        <f>DNSPNZSourceData!J21</f>
        <v>5544.4</v>
      </c>
      <c r="J65" s="118">
        <f>DNSPNZSourceData!L21</f>
        <v>0.2964612942789121</v>
      </c>
      <c r="K65" s="119" t="str">
        <f>DNSPNZSourceData!A21</f>
        <v>Aurora Energy</v>
      </c>
    </row>
    <row r="66" spans="1:11" s="120" customFormat="1">
      <c r="A66" s="124">
        <f>DNSPNZSourceData!B22</f>
        <v>2005</v>
      </c>
      <c r="B66" s="125">
        <f>DNSPNZSourceData!C22</f>
        <v>2010</v>
      </c>
      <c r="C66" s="124">
        <f>DNSPNZSourceData!D22</f>
        <v>2</v>
      </c>
      <c r="D66" s="103">
        <f>DNSPNZSourceData!E22</f>
        <v>20013.000000000007</v>
      </c>
      <c r="E66" s="118">
        <f>DNSPNZSourceData!F22</f>
        <v>1.1601923412470114</v>
      </c>
      <c r="F66" s="117">
        <f>DNSPNZSourceData!G22</f>
        <v>279.11</v>
      </c>
      <c r="G66" s="103">
        <f>DNSPNZSourceData!H22</f>
        <v>279.11</v>
      </c>
      <c r="H66" s="103">
        <f>DNSPNZSourceData!I22</f>
        <v>81129.5</v>
      </c>
      <c r="I66" s="103">
        <f>DNSPNZSourceData!J22</f>
        <v>5600</v>
      </c>
      <c r="J66" s="118">
        <f>DNSPNZSourceData!L22</f>
        <v>0.30508928571428573</v>
      </c>
      <c r="K66" s="119" t="str">
        <f>DNSPNZSourceData!A22</f>
        <v>Aurora Energy</v>
      </c>
    </row>
    <row r="67" spans="1:11" s="120" customFormat="1">
      <c r="A67" s="124">
        <f>DNSPNZSourceData!B23</f>
        <v>2005</v>
      </c>
      <c r="B67" s="125">
        <f>DNSPNZSourceData!C23</f>
        <v>2011</v>
      </c>
      <c r="C67" s="124">
        <f>DNSPNZSourceData!D23</f>
        <v>2</v>
      </c>
      <c r="D67" s="103">
        <f>DNSPNZSourceData!E23</f>
        <v>19005.000000000007</v>
      </c>
      <c r="E67" s="118">
        <f>DNSPNZSourceData!F23</f>
        <v>1.1900846681215445</v>
      </c>
      <c r="F67" s="117">
        <f>DNSPNZSourceData!G23</f>
        <v>266.09399999999999</v>
      </c>
      <c r="G67" s="103">
        <f>DNSPNZSourceData!H23</f>
        <v>279.11</v>
      </c>
      <c r="H67" s="103">
        <f>DNSPNZSourceData!I23</f>
        <v>81970.5</v>
      </c>
      <c r="I67" s="103">
        <f>DNSPNZSourceData!J23</f>
        <v>5621.3</v>
      </c>
      <c r="J67" s="118">
        <f>DNSPNZSourceData!L23</f>
        <v>0.30777578140287831</v>
      </c>
      <c r="K67" s="119" t="str">
        <f>DNSPNZSourceData!A23</f>
        <v>Aurora Energy</v>
      </c>
    </row>
    <row r="68" spans="1:11" s="120" customFormat="1">
      <c r="A68" s="124">
        <f>DNSPNZSourceData!B24</f>
        <v>2005</v>
      </c>
      <c r="B68" s="125">
        <f>DNSPNZSourceData!C24</f>
        <v>2012</v>
      </c>
      <c r="C68" s="124">
        <f>DNSPNZSourceData!D24</f>
        <v>2</v>
      </c>
      <c r="D68" s="103">
        <f>DNSPNZSourceData!E24</f>
        <v>20026.000000000004</v>
      </c>
      <c r="E68" s="118">
        <f>DNSPNZSourceData!F24</f>
        <v>1.2216652483575092</v>
      </c>
      <c r="F68" s="117">
        <f>DNSPNZSourceData!G24</f>
        <v>269.42</v>
      </c>
      <c r="G68" s="103">
        <f>DNSPNZSourceData!H24</f>
        <v>279.11</v>
      </c>
      <c r="H68" s="103">
        <f>DNSPNZSourceData!I24</f>
        <v>82638</v>
      </c>
      <c r="I68" s="103">
        <f>DNSPNZSourceData!J24</f>
        <v>5677</v>
      </c>
      <c r="J68" s="118">
        <f>DNSPNZSourceData!L24</f>
        <v>0.31319358816276205</v>
      </c>
      <c r="K68" s="119" t="str">
        <f>DNSPNZSourceData!A24</f>
        <v>Aurora Energy</v>
      </c>
    </row>
    <row r="69" spans="1:11" s="120" customFormat="1">
      <c r="A69" s="124">
        <f>DNSPNZSourceData!B25</f>
        <v>2005</v>
      </c>
      <c r="B69" s="125">
        <f>DNSPNZSourceData!C25</f>
        <v>2013</v>
      </c>
      <c r="C69" s="124">
        <f>DNSPNZSourceData!D25</f>
        <v>2</v>
      </c>
      <c r="D69" s="103">
        <f>DNSPNZSourceData!E25</f>
        <v>18641</v>
      </c>
      <c r="E69" s="118">
        <f>DNSPNZSourceData!F25</f>
        <v>1.2421813017565195</v>
      </c>
      <c r="F69" s="117">
        <f>DNSPNZSourceData!G25</f>
        <v>264.11540831110432</v>
      </c>
      <c r="G69" s="103">
        <f>DNSPNZSourceData!H25</f>
        <v>279.11</v>
      </c>
      <c r="H69" s="103">
        <f>DNSPNZSourceData!I25</f>
        <v>83305</v>
      </c>
      <c r="I69" s="103">
        <f>DNSPNZSourceData!J25</f>
        <v>5542.6422050359388</v>
      </c>
      <c r="J69" s="118">
        <f>DNSPNZSourceData!L25</f>
        <v>0.2967972682655402</v>
      </c>
      <c r="K69" s="119" t="str">
        <f>DNSPNZSourceData!A25</f>
        <v>Aurora Energy</v>
      </c>
    </row>
    <row r="70" spans="1:11" s="120" customFormat="1">
      <c r="A70" s="124">
        <f>DNSPNZSourceData!B26</f>
        <v>2005</v>
      </c>
      <c r="B70" s="125">
        <f>DNSPNZSourceData!C26</f>
        <v>2014</v>
      </c>
      <c r="C70" s="124">
        <f>DNSPNZSourceData!D26</f>
        <v>2</v>
      </c>
      <c r="D70" s="103">
        <f>DNSPNZSourceData!E26</f>
        <v>22317</v>
      </c>
      <c r="E70" s="118">
        <f>DNSPNZSourceData!F26</f>
        <v>1.27237461042106</v>
      </c>
      <c r="F70" s="117">
        <f>DNSPNZSourceData!G26</f>
        <v>259.48924520835749</v>
      </c>
      <c r="G70" s="103">
        <f>DNSPNZSourceData!H26</f>
        <v>279.11</v>
      </c>
      <c r="H70" s="103">
        <f>DNSPNZSourceData!I26</f>
        <v>83945</v>
      </c>
      <c r="I70" s="103">
        <f>DNSPNZSourceData!J26</f>
        <v>5796</v>
      </c>
      <c r="J70" s="118">
        <f>DNSPNZSourceData!L26</f>
        <v>0.32694962042788128</v>
      </c>
      <c r="K70" s="119" t="str">
        <f>DNSPNZSourceData!A26</f>
        <v>Aurora Energy</v>
      </c>
    </row>
    <row r="71" spans="1:11" s="120" customFormat="1">
      <c r="A71" s="124">
        <f>DNSPNZSourceData!B27</f>
        <v>2005</v>
      </c>
      <c r="B71" s="125">
        <f>DNSPNZSourceData!C27</f>
        <v>2015</v>
      </c>
      <c r="C71" s="124">
        <f>DNSPNZSourceData!D27</f>
        <v>2</v>
      </c>
      <c r="D71" s="103">
        <f>DNSPNZSourceData!E27</f>
        <v>23608</v>
      </c>
      <c r="E71" s="118">
        <f>DNSPNZSourceData!F27</f>
        <v>1.2816685951411126</v>
      </c>
      <c r="F71" s="117">
        <f>DNSPNZSourceData!G27</f>
        <v>265.69937623723615</v>
      </c>
      <c r="G71" s="103">
        <f>DNSPNZSourceData!H27</f>
        <v>279.11</v>
      </c>
      <c r="H71" s="103">
        <f>DNSPNZSourceData!I27</f>
        <v>85007</v>
      </c>
      <c r="I71" s="103">
        <f>DNSPNZSourceData!J27</f>
        <v>5814.6798517685511</v>
      </c>
      <c r="J71" s="118">
        <f>DNSPNZSourceData!L27</f>
        <v>0.33098482598791257</v>
      </c>
      <c r="K71" s="119" t="str">
        <f>DNSPNZSourceData!A27</f>
        <v>Aurora Energy</v>
      </c>
    </row>
    <row r="72" spans="1:11" s="120" customFormat="1">
      <c r="A72" s="126">
        <f>A71</f>
        <v>2005</v>
      </c>
      <c r="B72" s="127">
        <f>B71+1</f>
        <v>2016</v>
      </c>
      <c r="C72" s="126">
        <f>C71</f>
        <v>2</v>
      </c>
      <c r="D72" s="121">
        <f>DNSPNZSourceData!E28</f>
        <v>25173</v>
      </c>
      <c r="E72" s="122">
        <f>DNSPNZSourceData!F28</f>
        <v>1.2867539916420168</v>
      </c>
      <c r="F72" s="117">
        <f>DNSPNZSourceData!G28</f>
        <v>270.3123751436508</v>
      </c>
      <c r="G72" s="121">
        <f>DNSPNZSourceData!H28</f>
        <v>279.11</v>
      </c>
      <c r="H72" s="121">
        <f>DNSPNZSourceData!I28</f>
        <v>85966</v>
      </c>
      <c r="I72" s="121">
        <f>DNSPNZSourceData!J28</f>
        <v>5877.5070888003411</v>
      </c>
      <c r="J72" s="122">
        <f>DNSPNZSourceData!L28</f>
        <v>0.3381639463526982</v>
      </c>
      <c r="K72" s="119" t="str">
        <f>DNSPNZSourceData!A28</f>
        <v>Aurora Energy</v>
      </c>
    </row>
    <row r="73" spans="1:11" s="120" customFormat="1">
      <c r="A73" s="126">
        <f>A72</f>
        <v>2005</v>
      </c>
      <c r="B73" s="127">
        <f>B72+1</f>
        <v>2017</v>
      </c>
      <c r="C73" s="126">
        <f>C72</f>
        <v>2</v>
      </c>
      <c r="D73" s="121">
        <f>DNSPNZSourceData!E29</f>
        <v>27472</v>
      </c>
      <c r="E73" s="122">
        <f>DNSPNZSourceData!F29</f>
        <v>1.3063682360796467</v>
      </c>
      <c r="F73" s="117">
        <f>DNSPNZSourceData!G29</f>
        <v>270.98258936057505</v>
      </c>
      <c r="G73" s="121">
        <f>DNSPNZSourceData!H29</f>
        <v>279.11</v>
      </c>
      <c r="H73" s="121">
        <v>87102</v>
      </c>
      <c r="I73" s="121">
        <f>DNSPNZSourceData!J29</f>
        <v>6135</v>
      </c>
      <c r="J73" s="122">
        <f>DNSPNZSourceData!L29</f>
        <v>0.35876120619396901</v>
      </c>
      <c r="K73" s="119" t="str">
        <f>DNSPNZSourceData!A29</f>
        <v>Aurora Energy</v>
      </c>
    </row>
    <row r="74" spans="1:11" s="120" customFormat="1">
      <c r="A74" s="126">
        <f>A73</f>
        <v>2005</v>
      </c>
      <c r="B74" s="127">
        <f>B73+1</f>
        <v>2018</v>
      </c>
      <c r="C74" s="126">
        <f>C73</f>
        <v>2</v>
      </c>
      <c r="D74" s="121">
        <f>DNSPNZSourceData!E30</f>
        <v>35344</v>
      </c>
      <c r="E74" s="122">
        <f>DNSPNZSourceData!F30</f>
        <v>1.3404204496621166</v>
      </c>
      <c r="F74" s="117">
        <f>DNSPNZSourceData!G30</f>
        <v>278.77955571824845</v>
      </c>
      <c r="G74" s="121">
        <f>DNSPNZSourceData!H30</f>
        <v>279.11</v>
      </c>
      <c r="H74" s="121">
        <v>87102</v>
      </c>
      <c r="I74" s="121">
        <f>DNSPNZSourceData!J30</f>
        <v>6682.91</v>
      </c>
      <c r="J74" s="122">
        <f>DNSPNZSourceData!L30</f>
        <v>0.3417987074492998</v>
      </c>
      <c r="K74" s="119" t="str">
        <f>DNSPNZSourceData!A30</f>
        <v>Aurora Energy</v>
      </c>
    </row>
    <row r="75" spans="1:11" s="120" customFormat="1">
      <c r="A75" s="126">
        <f>A74</f>
        <v>2005</v>
      </c>
      <c r="B75" s="127">
        <f>B74+1</f>
        <v>2019</v>
      </c>
      <c r="C75" s="126">
        <f>C74</f>
        <v>2</v>
      </c>
      <c r="D75" s="121">
        <f>DNSPNZSourceData!E31</f>
        <v>42774.403120000003</v>
      </c>
      <c r="E75" s="122">
        <f>DNSPNZSourceData!F31</f>
        <v>1.3740587734764929</v>
      </c>
      <c r="F75" s="117">
        <f>DNSPNZSourceData!G31</f>
        <v>277.75212804832904</v>
      </c>
      <c r="G75" s="121">
        <f>DNSPNZSourceData!H31</f>
        <v>279.11</v>
      </c>
      <c r="H75" s="121">
        <v>87103</v>
      </c>
      <c r="I75" s="121">
        <f>DNSPNZSourceData!J31</f>
        <v>6575.0028240628853</v>
      </c>
      <c r="J75" s="122">
        <f>DNSPNZSourceData!L31</f>
        <v>0.32966217937130077</v>
      </c>
      <c r="K75" s="119" t="str">
        <f>DNSPNZSourceData!A31</f>
        <v>Aurora Energy</v>
      </c>
    </row>
    <row r="76" spans="1:11" s="120" customFormat="1">
      <c r="A76" s="126">
        <f>A75</f>
        <v>2005</v>
      </c>
      <c r="B76" s="127">
        <f>B75+1</f>
        <v>2020</v>
      </c>
      <c r="C76" s="126">
        <f>C75</f>
        <v>2</v>
      </c>
      <c r="D76" s="121">
        <f>DNSPNZSourceData!E32</f>
        <v>48022.637669999996</v>
      </c>
      <c r="E76" s="122">
        <f>DNSPNZSourceData!F32</f>
        <v>1.4000516345247649</v>
      </c>
      <c r="F76" s="117">
        <f>DNSPNZSourceData!G32</f>
        <v>263.39014424136781</v>
      </c>
      <c r="G76" s="121">
        <f>DNSPNZSourceData!H32</f>
        <v>279.11</v>
      </c>
      <c r="H76" s="121">
        <v>87104</v>
      </c>
      <c r="I76" s="121">
        <f>DNSPNZSourceData!J32</f>
        <v>6101.0862593712754</v>
      </c>
      <c r="J76" s="122">
        <f>DNSPNZSourceData!L32</f>
        <v>0.3659952913455507</v>
      </c>
      <c r="K76" s="119" t="str">
        <f>DNSPNZSourceData!A32</f>
        <v>Aurora Energy</v>
      </c>
    </row>
    <row r="77" spans="1:11" s="120" customFormat="1">
      <c r="A77" s="124">
        <f>DNSPNZSourceData!B138</f>
        <v>2006</v>
      </c>
      <c r="B77" s="125">
        <f>DNSPNZSourceData!C138</f>
        <v>2006</v>
      </c>
      <c r="C77" s="124">
        <f>DNSPNZSourceData!D138</f>
        <v>2</v>
      </c>
      <c r="D77" s="103">
        <f>DNSPNZSourceData!E138</f>
        <v>10311.337473039473</v>
      </c>
      <c r="E77" s="118">
        <f>DNSPNZSourceData!F138</f>
        <v>1</v>
      </c>
      <c r="F77" s="117">
        <f>DNSPNZSourceData!G138</f>
        <v>149.40259740259739</v>
      </c>
      <c r="G77" s="103">
        <f>DNSPNZSourceData!H138</f>
        <v>149.40259740259739</v>
      </c>
      <c r="H77" s="103">
        <f>DNSPNZSourceData!I138</f>
        <v>49820</v>
      </c>
      <c r="I77" s="103">
        <f>DNSPNZSourceData!J138</f>
        <v>5586</v>
      </c>
      <c r="J77" s="118">
        <f>DNSPNZSourceData!L138</f>
        <v>0.11457214464733262</v>
      </c>
      <c r="K77" s="119" t="str">
        <f>DNSPNZSourceData!A138</f>
        <v>Northpower</v>
      </c>
    </row>
    <row r="78" spans="1:11" s="120" customFormat="1">
      <c r="A78" s="124">
        <f>DNSPNZSourceData!B139</f>
        <v>2006</v>
      </c>
      <c r="B78" s="125">
        <f>DNSPNZSourceData!C139</f>
        <v>2007</v>
      </c>
      <c r="C78" s="124">
        <f>DNSPNZSourceData!D139</f>
        <v>2</v>
      </c>
      <c r="D78" s="103">
        <f>DNSPNZSourceData!E139</f>
        <v>11639.60319231961</v>
      </c>
      <c r="E78" s="118">
        <f>DNSPNZSourceData!F139</f>
        <v>1.0438528231223547</v>
      </c>
      <c r="F78" s="117">
        <f>DNSPNZSourceData!G139</f>
        <v>149.62493506493507</v>
      </c>
      <c r="G78" s="103">
        <f>DNSPNZSourceData!H139</f>
        <v>149.62493506493507</v>
      </c>
      <c r="H78" s="103">
        <f>DNSPNZSourceData!I139</f>
        <v>51211</v>
      </c>
      <c r="I78" s="103">
        <f>DNSPNZSourceData!J139</f>
        <v>5646</v>
      </c>
      <c r="J78" s="118">
        <f>DNSPNZSourceData!L139</f>
        <v>0.13301452355650017</v>
      </c>
      <c r="K78" s="119" t="str">
        <f>DNSPNZSourceData!A139</f>
        <v>Northpower</v>
      </c>
    </row>
    <row r="79" spans="1:11" s="120" customFormat="1">
      <c r="A79" s="124">
        <f>DNSPNZSourceData!B140</f>
        <v>2006</v>
      </c>
      <c r="B79" s="125">
        <f>DNSPNZSourceData!C140</f>
        <v>2008</v>
      </c>
      <c r="C79" s="124">
        <f>DNSPNZSourceData!D140</f>
        <v>2</v>
      </c>
      <c r="D79" s="103">
        <f>DNSPNZSourceData!E140</f>
        <v>14554.000000000007</v>
      </c>
      <c r="E79" s="118">
        <f>DNSPNZSourceData!F140</f>
        <v>1.0903851002750273</v>
      </c>
      <c r="F79" s="117">
        <f>DNSPNZSourceData!G140</f>
        <v>160</v>
      </c>
      <c r="G79" s="103">
        <f>DNSPNZSourceData!H140</f>
        <v>160</v>
      </c>
      <c r="H79" s="103">
        <f>DNSPNZSourceData!I140</f>
        <v>52272.5</v>
      </c>
      <c r="I79" s="103">
        <f>DNSPNZSourceData!J140</f>
        <v>5756</v>
      </c>
      <c r="J79" s="118">
        <f>DNSPNZSourceData!L140</f>
        <v>0.13168867268936763</v>
      </c>
      <c r="K79" s="119" t="str">
        <f>DNSPNZSourceData!A140</f>
        <v>Northpower</v>
      </c>
    </row>
    <row r="80" spans="1:11" s="120" customFormat="1">
      <c r="A80" s="124">
        <f>DNSPNZSourceData!B141</f>
        <v>2006</v>
      </c>
      <c r="B80" s="125">
        <f>DNSPNZSourceData!C141</f>
        <v>2009</v>
      </c>
      <c r="C80" s="124">
        <f>DNSPNZSourceData!D141</f>
        <v>2</v>
      </c>
      <c r="D80" s="103">
        <f>DNSPNZSourceData!E141</f>
        <v>15975.500000000007</v>
      </c>
      <c r="E80" s="118">
        <f>DNSPNZSourceData!F141</f>
        <v>1.1562469092885455</v>
      </c>
      <c r="F80" s="117">
        <f>DNSPNZSourceData!G141</f>
        <v>177</v>
      </c>
      <c r="G80" s="103">
        <f>DNSPNZSourceData!H141</f>
        <v>177</v>
      </c>
      <c r="H80" s="103">
        <f>DNSPNZSourceData!I141</f>
        <v>53103.5</v>
      </c>
      <c r="I80" s="103">
        <f>DNSPNZSourceData!J141</f>
        <v>5627</v>
      </c>
      <c r="J80" s="118">
        <f>DNSPNZSourceData!L141</f>
        <v>0.13026479473964814</v>
      </c>
      <c r="K80" s="119" t="str">
        <f>DNSPNZSourceData!A141</f>
        <v>Northpower</v>
      </c>
    </row>
    <row r="81" spans="1:11" s="120" customFormat="1">
      <c r="A81" s="124">
        <f>DNSPNZSourceData!B142</f>
        <v>2006</v>
      </c>
      <c r="B81" s="125">
        <f>DNSPNZSourceData!C142</f>
        <v>2010</v>
      </c>
      <c r="C81" s="124">
        <f>DNSPNZSourceData!D142</f>
        <v>2</v>
      </c>
      <c r="D81" s="103">
        <f>DNSPNZSourceData!E142</f>
        <v>15541.000000000005</v>
      </c>
      <c r="E81" s="118">
        <f>DNSPNZSourceData!F142</f>
        <v>1.1601923412470114</v>
      </c>
      <c r="F81" s="117">
        <f>DNSPNZSourceData!G142</f>
        <v>180</v>
      </c>
      <c r="G81" s="103">
        <f>DNSPNZSourceData!H142</f>
        <v>180</v>
      </c>
      <c r="H81" s="103">
        <f>DNSPNZSourceData!I142</f>
        <v>53518.5</v>
      </c>
      <c r="I81" s="103">
        <f>DNSPNZSourceData!J142</f>
        <v>5829</v>
      </c>
      <c r="J81" s="118">
        <f>DNSPNZSourceData!L142</f>
        <v>0.14153371075656201</v>
      </c>
      <c r="K81" s="119" t="str">
        <f>DNSPNZSourceData!A142</f>
        <v>Northpower</v>
      </c>
    </row>
    <row r="82" spans="1:11" s="120" customFormat="1">
      <c r="A82" s="124">
        <f>DNSPNZSourceData!B143</f>
        <v>2006</v>
      </c>
      <c r="B82" s="125">
        <f>DNSPNZSourceData!C143</f>
        <v>2011</v>
      </c>
      <c r="C82" s="124">
        <f>DNSPNZSourceData!D143</f>
        <v>2</v>
      </c>
      <c r="D82" s="103">
        <f>DNSPNZSourceData!E143</f>
        <v>14793.732000000005</v>
      </c>
      <c r="E82" s="118">
        <f>DNSPNZSourceData!F143</f>
        <v>1.1900846681215445</v>
      </c>
      <c r="F82" s="117">
        <f>DNSPNZSourceData!G143</f>
        <v>178</v>
      </c>
      <c r="G82" s="103">
        <f>DNSPNZSourceData!H143</f>
        <v>180</v>
      </c>
      <c r="H82" s="103">
        <f>DNSPNZSourceData!I143</f>
        <v>54061</v>
      </c>
      <c r="I82" s="103">
        <f>DNSPNZSourceData!J143</f>
        <v>5826</v>
      </c>
      <c r="J82" s="118">
        <f>DNSPNZSourceData!L143</f>
        <v>0.14692756608307586</v>
      </c>
      <c r="K82" s="119" t="str">
        <f>DNSPNZSourceData!A143</f>
        <v>Northpower</v>
      </c>
    </row>
    <row r="83" spans="1:11" s="120" customFormat="1">
      <c r="A83" s="124">
        <f>DNSPNZSourceData!B144</f>
        <v>2006</v>
      </c>
      <c r="B83" s="125">
        <f>DNSPNZSourceData!C144</f>
        <v>2012</v>
      </c>
      <c r="C83" s="124">
        <f>DNSPNZSourceData!D144</f>
        <v>2</v>
      </c>
      <c r="D83" s="103">
        <f>DNSPNZSourceData!E144</f>
        <v>14842.000000000005</v>
      </c>
      <c r="E83" s="118">
        <f>DNSPNZSourceData!F144</f>
        <v>1.2216652483575092</v>
      </c>
      <c r="F83" s="117">
        <f>DNSPNZSourceData!G144</f>
        <v>177</v>
      </c>
      <c r="G83" s="103">
        <f>DNSPNZSourceData!H144</f>
        <v>180</v>
      </c>
      <c r="H83" s="103">
        <f>DNSPNZSourceData!I144</f>
        <v>54674.5</v>
      </c>
      <c r="I83" s="103">
        <f>DNSPNZSourceData!J144</f>
        <v>5778</v>
      </c>
      <c r="J83" s="118">
        <f>DNSPNZSourceData!L144</f>
        <v>0.152128764278297</v>
      </c>
      <c r="K83" s="119" t="str">
        <f>DNSPNZSourceData!A144</f>
        <v>Northpower</v>
      </c>
    </row>
    <row r="84" spans="1:11" s="120" customFormat="1">
      <c r="A84" s="124">
        <f>DNSPNZSourceData!B145</f>
        <v>2006</v>
      </c>
      <c r="B84" s="125">
        <f>DNSPNZSourceData!C145</f>
        <v>2013</v>
      </c>
      <c r="C84" s="124">
        <f>DNSPNZSourceData!D145</f>
        <v>2</v>
      </c>
      <c r="D84" s="103">
        <f>DNSPNZSourceData!E145</f>
        <v>15276.37235760043</v>
      </c>
      <c r="E84" s="118">
        <f>DNSPNZSourceData!F145</f>
        <v>1.2421813017565195</v>
      </c>
      <c r="F84" s="117">
        <f>DNSPNZSourceData!G145</f>
        <v>162.59302325581396</v>
      </c>
      <c r="G84" s="103">
        <f>DNSPNZSourceData!H145</f>
        <v>180</v>
      </c>
      <c r="H84" s="103">
        <f>DNSPNZSourceData!I145</f>
        <v>54143</v>
      </c>
      <c r="I84" s="103">
        <f>DNSPNZSourceData!J145</f>
        <v>5771.2999999999993</v>
      </c>
      <c r="J84" s="118">
        <f>DNSPNZSourceData!L145</f>
        <v>0.14818151889522291</v>
      </c>
      <c r="K84" s="119" t="str">
        <f>DNSPNZSourceData!A145</f>
        <v>Northpower</v>
      </c>
    </row>
    <row r="85" spans="1:11" s="120" customFormat="1">
      <c r="A85" s="124">
        <f>DNSPNZSourceData!B146</f>
        <v>2006</v>
      </c>
      <c r="B85" s="125">
        <f>DNSPNZSourceData!C146</f>
        <v>2014</v>
      </c>
      <c r="C85" s="124">
        <f>DNSPNZSourceData!D146</f>
        <v>2</v>
      </c>
      <c r="D85" s="103">
        <f>DNSPNZSourceData!E146</f>
        <v>16149.14321814339</v>
      </c>
      <c r="E85" s="118">
        <f>DNSPNZSourceData!F146</f>
        <v>1.27237461042106</v>
      </c>
      <c r="F85" s="117">
        <f>DNSPNZSourceData!G146</f>
        <v>172.88372093023256</v>
      </c>
      <c r="G85" s="103">
        <f>DNSPNZSourceData!H146</f>
        <v>180</v>
      </c>
      <c r="H85" s="103">
        <f>DNSPNZSourceData!I146</f>
        <v>54641</v>
      </c>
      <c r="I85" s="103">
        <f>DNSPNZSourceData!J146</f>
        <v>5870.5645999999751</v>
      </c>
      <c r="J85" s="118">
        <f>DNSPNZSourceData!L146</f>
        <v>0.14982771503783635</v>
      </c>
      <c r="K85" s="119" t="str">
        <f>DNSPNZSourceData!A146</f>
        <v>Northpower</v>
      </c>
    </row>
    <row r="86" spans="1:11" s="120" customFormat="1">
      <c r="A86" s="124">
        <f>DNSPNZSourceData!B147</f>
        <v>2006</v>
      </c>
      <c r="B86" s="125">
        <f>DNSPNZSourceData!C147</f>
        <v>2015</v>
      </c>
      <c r="C86" s="124">
        <f>DNSPNZSourceData!D147</f>
        <v>2</v>
      </c>
      <c r="D86" s="103">
        <f>DNSPNZSourceData!E147</f>
        <v>15727.686125800359</v>
      </c>
      <c r="E86" s="118">
        <f>DNSPNZSourceData!F147</f>
        <v>1.2816685951411126</v>
      </c>
      <c r="F86" s="117">
        <f>DNSPNZSourceData!G147</f>
        <v>166.7093023255814</v>
      </c>
      <c r="G86" s="103">
        <f>DNSPNZSourceData!H147</f>
        <v>180</v>
      </c>
      <c r="H86" s="103">
        <f>DNSPNZSourceData!I147</f>
        <v>56485</v>
      </c>
      <c r="I86" s="103">
        <f>DNSPNZSourceData!J147</f>
        <v>5894.0504700000001</v>
      </c>
      <c r="J86" s="118">
        <f>DNSPNZSourceData!L147</f>
        <v>0.15292773358284459</v>
      </c>
      <c r="K86" s="119" t="str">
        <f>DNSPNZSourceData!A147</f>
        <v>Northpower</v>
      </c>
    </row>
    <row r="87" spans="1:11" s="120" customFormat="1">
      <c r="A87" s="126">
        <f>A86</f>
        <v>2006</v>
      </c>
      <c r="B87" s="127">
        <f>B86+1</f>
        <v>2016</v>
      </c>
      <c r="C87" s="126">
        <f>C86</f>
        <v>2</v>
      </c>
      <c r="D87" s="121">
        <f>DNSPNZSourceData!E148</f>
        <v>15670</v>
      </c>
      <c r="E87" s="122">
        <f>DNSPNZSourceData!F148</f>
        <v>1.2867539916420168</v>
      </c>
      <c r="F87" s="117">
        <f>DNSPNZSourceData!G148</f>
        <v>167.73837209302326</v>
      </c>
      <c r="G87" s="121">
        <f>DNSPNZSourceData!H148</f>
        <v>180</v>
      </c>
      <c r="H87" s="121">
        <f>DNSPNZSourceData!I148</f>
        <v>57247</v>
      </c>
      <c r="I87" s="121">
        <f>DNSPNZSourceData!J148</f>
        <v>5938.9158199999893</v>
      </c>
      <c r="J87" s="122">
        <f>DNSPNZSourceData!L148</f>
        <v>0.15621463380163092</v>
      </c>
      <c r="K87" s="119" t="str">
        <f>DNSPNZSourceData!A148</f>
        <v>Northpower</v>
      </c>
    </row>
    <row r="88" spans="1:11" s="120" customFormat="1">
      <c r="A88" s="126">
        <f>A87</f>
        <v>2006</v>
      </c>
      <c r="B88" s="127">
        <f>B87+1</f>
        <v>2017</v>
      </c>
      <c r="C88" s="126">
        <f>C87</f>
        <v>2</v>
      </c>
      <c r="D88" s="121">
        <f>DNSPNZSourceData!E149</f>
        <v>16624.600112588429</v>
      </c>
      <c r="E88" s="122">
        <f>DNSPNZSourceData!F149</f>
        <v>1.3063682360796467</v>
      </c>
      <c r="F88" s="117">
        <f>DNSPNZSourceData!G149</f>
        <v>174.94186046511629</v>
      </c>
      <c r="G88" s="121">
        <f>DNSPNZSourceData!H149</f>
        <v>180</v>
      </c>
      <c r="H88" s="121">
        <f>DNSPNZSourceData!I149</f>
        <v>57952</v>
      </c>
      <c r="I88" s="121">
        <f>DNSPNZSourceData!J149</f>
        <v>5981.1995200000092</v>
      </c>
      <c r="J88" s="122">
        <f>DNSPNZSourceData!L149</f>
        <v>0.1620095629245967</v>
      </c>
      <c r="K88" s="119" t="str">
        <f>DNSPNZSourceData!A149</f>
        <v>Northpower</v>
      </c>
    </row>
    <row r="89" spans="1:11" s="120" customFormat="1">
      <c r="A89" s="126">
        <f>A88</f>
        <v>2006</v>
      </c>
      <c r="B89" s="127">
        <f>B88+1</f>
        <v>2018</v>
      </c>
      <c r="C89" s="126">
        <f>C88</f>
        <v>2</v>
      </c>
      <c r="D89" s="121">
        <f>DNSPNZSourceData!E150</f>
        <v>21961.532875145749</v>
      </c>
      <c r="E89" s="122">
        <f>DNSPNZSourceData!F150</f>
        <v>1.3404204496621166</v>
      </c>
      <c r="F89" s="117">
        <f>DNSPNZSourceData!G150</f>
        <v>177.00000000000003</v>
      </c>
      <c r="G89" s="121">
        <f>DNSPNZSourceData!H150</f>
        <v>180</v>
      </c>
      <c r="H89" s="121">
        <f>DNSPNZSourceData!I150</f>
        <v>58430</v>
      </c>
      <c r="I89" s="121">
        <f>DNSPNZSourceData!J150</f>
        <v>6017.3980600000004</v>
      </c>
      <c r="J89" s="122">
        <f>DNSPNZSourceData!L150</f>
        <v>0.16705740753338161</v>
      </c>
      <c r="K89" s="119" t="str">
        <f>DNSPNZSourceData!A150</f>
        <v>Northpower</v>
      </c>
    </row>
    <row r="90" spans="1:11" s="120" customFormat="1">
      <c r="A90" s="126">
        <f>A89</f>
        <v>2006</v>
      </c>
      <c r="B90" s="127">
        <f>B89+1</f>
        <v>2019</v>
      </c>
      <c r="C90" s="126">
        <f>C89</f>
        <v>2</v>
      </c>
      <c r="D90" s="121">
        <f>DNSPNZSourceData!E151</f>
        <v>24656.65646579548</v>
      </c>
      <c r="E90" s="122">
        <f>DNSPNZSourceData!F151</f>
        <v>1.3740587734764929</v>
      </c>
      <c r="F90" s="117">
        <f>DNSPNZSourceData!G151</f>
        <v>181.11627906976747</v>
      </c>
      <c r="G90" s="121">
        <f>DNSPNZSourceData!H151</f>
        <v>181.11627906976747</v>
      </c>
      <c r="H90" s="121">
        <f>DNSPNZSourceData!I151</f>
        <v>59380</v>
      </c>
      <c r="I90" s="121">
        <f>DNSPNZSourceData!J151</f>
        <v>6053.210810000005</v>
      </c>
      <c r="J90" s="122">
        <f>DNSPNZSourceData!L151</f>
        <v>0.17256818121621048</v>
      </c>
      <c r="K90" s="119" t="str">
        <f>DNSPNZSourceData!A151</f>
        <v>Northpower</v>
      </c>
    </row>
    <row r="91" spans="1:11" s="120" customFormat="1">
      <c r="A91" s="126">
        <f>A90</f>
        <v>2006</v>
      </c>
      <c r="B91" s="127">
        <f>B90+1</f>
        <v>2020</v>
      </c>
      <c r="C91" s="126">
        <f>C90</f>
        <v>2</v>
      </c>
      <c r="D91" s="121">
        <f>DNSPNZSourceData!E152</f>
        <v>27046.588762438081</v>
      </c>
      <c r="E91" s="122">
        <f>DNSPNZSourceData!F152</f>
        <v>1.4000516345247649</v>
      </c>
      <c r="F91" s="117">
        <f>DNSPNZSourceData!G152</f>
        <v>178.02906976744191</v>
      </c>
      <c r="G91" s="121">
        <f>DNSPNZSourceData!H152</f>
        <v>181.11627906976747</v>
      </c>
      <c r="H91" s="121">
        <f>DNSPNZSourceData!I152</f>
        <v>60267</v>
      </c>
      <c r="I91" s="121">
        <f>DNSPNZSourceData!J152</f>
        <v>6085.7238399999997</v>
      </c>
      <c r="J91" s="122">
        <f>DNSPNZSourceData!L152</f>
        <v>0.17718382370764954</v>
      </c>
      <c r="K91" s="119" t="str">
        <f>DNSPNZSourceData!A152</f>
        <v>Northpower</v>
      </c>
    </row>
    <row r="92" spans="1:11" s="120" customFormat="1">
      <c r="A92" s="124">
        <f>DNSPNZSourceData!B63</f>
        <v>2007</v>
      </c>
      <c r="B92" s="125">
        <f>DNSPNZSourceData!C63</f>
        <v>2006</v>
      </c>
      <c r="C92" s="124">
        <f>DNSPNZSourceData!D63</f>
        <v>2</v>
      </c>
      <c r="D92" s="103">
        <f>DNSPNZSourceData!E63</f>
        <v>4830.6685908416775</v>
      </c>
      <c r="E92" s="118">
        <f>DNSPNZSourceData!F63</f>
        <v>1</v>
      </c>
      <c r="F92" s="117">
        <f>DNSPNZSourceData!G63</f>
        <v>91.93</v>
      </c>
      <c r="G92" s="103">
        <f>DNSPNZSourceData!H63</f>
        <v>91.93</v>
      </c>
      <c r="H92" s="103">
        <f>DNSPNZSourceData!I63</f>
        <v>39906</v>
      </c>
      <c r="I92" s="103">
        <f>DNSPNZSourceData!J63</f>
        <v>2179</v>
      </c>
      <c r="J92" s="118">
        <f>DNSPNZSourceData!L63</f>
        <v>0.28866452501147316</v>
      </c>
      <c r="K92" s="119" t="str">
        <f>DNSPNZSourceData!A63</f>
        <v>Electra</v>
      </c>
    </row>
    <row r="93" spans="1:11" s="120" customFormat="1">
      <c r="A93" s="124">
        <f>DNSPNZSourceData!B64</f>
        <v>2007</v>
      </c>
      <c r="B93" s="125">
        <f>DNSPNZSourceData!C64</f>
        <v>2007</v>
      </c>
      <c r="C93" s="124">
        <f>DNSPNZSourceData!D64</f>
        <v>2</v>
      </c>
      <c r="D93" s="103">
        <f>DNSPNZSourceData!E64</f>
        <v>5842.869816056389</v>
      </c>
      <c r="E93" s="118">
        <f>DNSPNZSourceData!F64</f>
        <v>1.0438528231223547</v>
      </c>
      <c r="F93" s="117">
        <f>DNSPNZSourceData!G64</f>
        <v>98</v>
      </c>
      <c r="G93" s="103">
        <f>DNSPNZSourceData!H64</f>
        <v>98</v>
      </c>
      <c r="H93" s="103">
        <f>DNSPNZSourceData!I64</f>
        <v>40659</v>
      </c>
      <c r="I93" s="103">
        <f>DNSPNZSourceData!J64</f>
        <v>2188</v>
      </c>
      <c r="J93" s="118">
        <f>DNSPNZSourceData!L64</f>
        <v>0.2920475319926874</v>
      </c>
      <c r="K93" s="119" t="str">
        <f>DNSPNZSourceData!A64</f>
        <v>Electra</v>
      </c>
    </row>
    <row r="94" spans="1:11" s="120" customFormat="1">
      <c r="A94" s="124">
        <f>DNSPNZSourceData!B65</f>
        <v>2007</v>
      </c>
      <c r="B94" s="125">
        <f>DNSPNZSourceData!C65</f>
        <v>2008</v>
      </c>
      <c r="C94" s="124">
        <f>DNSPNZSourceData!D65</f>
        <v>2</v>
      </c>
      <c r="D94" s="103">
        <f>DNSPNZSourceData!E65</f>
        <v>6606.9999999999982</v>
      </c>
      <c r="E94" s="118">
        <f>DNSPNZSourceData!F65</f>
        <v>1.0903851002750273</v>
      </c>
      <c r="F94" s="117">
        <f>DNSPNZSourceData!G65</f>
        <v>95</v>
      </c>
      <c r="G94" s="103">
        <f>DNSPNZSourceData!H65</f>
        <v>98</v>
      </c>
      <c r="H94" s="103">
        <f>DNSPNZSourceData!I65</f>
        <v>41186</v>
      </c>
      <c r="I94" s="103">
        <f>DNSPNZSourceData!J65</f>
        <v>2558</v>
      </c>
      <c r="J94" s="118">
        <f>DNSPNZSourceData!L65</f>
        <v>0.37021110242376859</v>
      </c>
      <c r="K94" s="119" t="str">
        <f>DNSPNZSourceData!A65</f>
        <v>Electra</v>
      </c>
    </row>
    <row r="95" spans="1:11" s="120" customFormat="1">
      <c r="A95" s="124">
        <f>DNSPNZSourceData!B66</f>
        <v>2007</v>
      </c>
      <c r="B95" s="125">
        <f>DNSPNZSourceData!C66</f>
        <v>2009</v>
      </c>
      <c r="C95" s="124">
        <f>DNSPNZSourceData!D66</f>
        <v>2</v>
      </c>
      <c r="D95" s="103">
        <f>DNSPNZSourceData!E66</f>
        <v>7978.9999999999982</v>
      </c>
      <c r="E95" s="118">
        <f>DNSPNZSourceData!F66</f>
        <v>1.1562469092885455</v>
      </c>
      <c r="F95" s="117">
        <f>DNSPNZSourceData!G66</f>
        <v>95</v>
      </c>
      <c r="G95" s="103">
        <f>DNSPNZSourceData!H66</f>
        <v>98</v>
      </c>
      <c r="H95" s="103">
        <f>DNSPNZSourceData!I66</f>
        <v>41636.5</v>
      </c>
      <c r="I95" s="103">
        <f>DNSPNZSourceData!J66</f>
        <v>2561</v>
      </c>
      <c r="J95" s="118">
        <f>DNSPNZSourceData!L66</f>
        <v>0.37005076142131982</v>
      </c>
      <c r="K95" s="119" t="str">
        <f>DNSPNZSourceData!A66</f>
        <v>Electra</v>
      </c>
    </row>
    <row r="96" spans="1:11" s="120" customFormat="1">
      <c r="A96" s="124">
        <f>DNSPNZSourceData!B67</f>
        <v>2007</v>
      </c>
      <c r="B96" s="125">
        <f>DNSPNZSourceData!C67</f>
        <v>2010</v>
      </c>
      <c r="C96" s="124">
        <f>DNSPNZSourceData!D67</f>
        <v>2</v>
      </c>
      <c r="D96" s="103">
        <f>DNSPNZSourceData!E67</f>
        <v>8257.9999999999982</v>
      </c>
      <c r="E96" s="118">
        <f>DNSPNZSourceData!F67</f>
        <v>1.1601923412470114</v>
      </c>
      <c r="F96" s="117">
        <f>DNSPNZSourceData!G67</f>
        <v>98</v>
      </c>
      <c r="G96" s="103">
        <f>DNSPNZSourceData!H67</f>
        <v>98</v>
      </c>
      <c r="H96" s="103">
        <f>DNSPNZSourceData!I67</f>
        <v>41982.5</v>
      </c>
      <c r="I96" s="103">
        <f>DNSPNZSourceData!J67</f>
        <v>2576.6999999999998</v>
      </c>
      <c r="J96" s="118">
        <f>DNSPNZSourceData!L67</f>
        <v>0.37171576046881671</v>
      </c>
      <c r="K96" s="119" t="str">
        <f>DNSPNZSourceData!A67</f>
        <v>Electra</v>
      </c>
    </row>
    <row r="97" spans="1:11" s="120" customFormat="1">
      <c r="A97" s="124">
        <f>DNSPNZSourceData!B68</f>
        <v>2007</v>
      </c>
      <c r="B97" s="125">
        <f>DNSPNZSourceData!C68</f>
        <v>2011</v>
      </c>
      <c r="C97" s="124">
        <f>DNSPNZSourceData!D68</f>
        <v>2</v>
      </c>
      <c r="D97" s="103">
        <f>DNSPNZSourceData!E68</f>
        <v>7778</v>
      </c>
      <c r="E97" s="118">
        <f>DNSPNZSourceData!F68</f>
        <v>1.1900846681215445</v>
      </c>
      <c r="F97" s="117">
        <f>DNSPNZSourceData!G68</f>
        <v>95.052000000000007</v>
      </c>
      <c r="G97" s="103">
        <f>DNSPNZSourceData!H68</f>
        <v>98</v>
      </c>
      <c r="H97" s="103">
        <f>DNSPNZSourceData!I68</f>
        <v>42343.5</v>
      </c>
      <c r="I97" s="103">
        <f>DNSPNZSourceData!J68</f>
        <v>2580.46</v>
      </c>
      <c r="J97" s="118">
        <f>DNSPNZSourceData!L68</f>
        <v>0.36919773993784055</v>
      </c>
      <c r="K97" s="119" t="str">
        <f>DNSPNZSourceData!A68</f>
        <v>Electra</v>
      </c>
    </row>
    <row r="98" spans="1:11" s="120" customFormat="1">
      <c r="A98" s="124">
        <f>DNSPNZSourceData!B69</f>
        <v>2007</v>
      </c>
      <c r="B98" s="125">
        <f>DNSPNZSourceData!C69</f>
        <v>2012</v>
      </c>
      <c r="C98" s="124">
        <f>DNSPNZSourceData!D69</f>
        <v>2</v>
      </c>
      <c r="D98" s="103">
        <f>DNSPNZSourceData!E69</f>
        <v>9616</v>
      </c>
      <c r="E98" s="118">
        <f>DNSPNZSourceData!F69</f>
        <v>1.2216652483575092</v>
      </c>
      <c r="F98" s="117">
        <f>DNSPNZSourceData!G69</f>
        <v>104.05</v>
      </c>
      <c r="G98" s="103">
        <f>DNSPNZSourceData!H69</f>
        <v>104.05</v>
      </c>
      <c r="H98" s="103">
        <f>DNSPNZSourceData!I69</f>
        <v>42539</v>
      </c>
      <c r="I98" s="103">
        <f>DNSPNZSourceData!J69</f>
        <v>2583.46</v>
      </c>
      <c r="J98" s="118">
        <f>DNSPNZSourceData!L69</f>
        <v>0.36876901519667427</v>
      </c>
      <c r="K98" s="119" t="str">
        <f>DNSPNZSourceData!A69</f>
        <v>Electra</v>
      </c>
    </row>
    <row r="99" spans="1:11" s="120" customFormat="1">
      <c r="A99" s="124">
        <f>DNSPNZSourceData!B70</f>
        <v>2007</v>
      </c>
      <c r="B99" s="125">
        <f>DNSPNZSourceData!C70</f>
        <v>2013</v>
      </c>
      <c r="C99" s="124">
        <f>DNSPNZSourceData!D70</f>
        <v>2</v>
      </c>
      <c r="D99" s="103">
        <f>DNSPNZSourceData!E70</f>
        <v>8513</v>
      </c>
      <c r="E99" s="118">
        <f>DNSPNZSourceData!F70</f>
        <v>1.2421813017565195</v>
      </c>
      <c r="F99" s="117">
        <f>DNSPNZSourceData!G70</f>
        <v>93.403957528957534</v>
      </c>
      <c r="G99" s="103">
        <f>DNSPNZSourceData!H70</f>
        <v>104.05</v>
      </c>
      <c r="H99" s="103">
        <f>DNSPNZSourceData!I70</f>
        <v>42810</v>
      </c>
      <c r="I99" s="103">
        <f>DNSPNZSourceData!J70</f>
        <v>2256</v>
      </c>
      <c r="J99" s="118">
        <f>DNSPNZSourceData!L70</f>
        <v>0.31515957446808512</v>
      </c>
      <c r="K99" s="119" t="str">
        <f>DNSPNZSourceData!A70</f>
        <v>Electra</v>
      </c>
    </row>
    <row r="100" spans="1:11" s="120" customFormat="1">
      <c r="A100" s="124">
        <f>DNSPNZSourceData!B71</f>
        <v>2007</v>
      </c>
      <c r="B100" s="125">
        <f>DNSPNZSourceData!C71</f>
        <v>2014</v>
      </c>
      <c r="C100" s="124">
        <f>DNSPNZSourceData!D71</f>
        <v>2</v>
      </c>
      <c r="D100" s="103">
        <f>DNSPNZSourceData!E71</f>
        <v>10191</v>
      </c>
      <c r="E100" s="118">
        <f>DNSPNZSourceData!F71</f>
        <v>1.27237461042106</v>
      </c>
      <c r="F100" s="117">
        <f>DNSPNZSourceData!G71</f>
        <v>93.403957528957534</v>
      </c>
      <c r="G100" s="103">
        <f>DNSPNZSourceData!H71</f>
        <v>104.05</v>
      </c>
      <c r="H100" s="103">
        <f>DNSPNZSourceData!I71</f>
        <v>41982</v>
      </c>
      <c r="I100" s="103">
        <f>DNSPNZSourceData!J71</f>
        <v>2263</v>
      </c>
      <c r="J100" s="118">
        <f>DNSPNZSourceData!L71</f>
        <v>0.31948740609809989</v>
      </c>
      <c r="K100" s="119" t="str">
        <f>DNSPNZSourceData!A71</f>
        <v>Electra</v>
      </c>
    </row>
    <row r="101" spans="1:11" s="120" customFormat="1">
      <c r="A101" s="124">
        <f>DNSPNZSourceData!B72</f>
        <v>2007</v>
      </c>
      <c r="B101" s="125">
        <f>DNSPNZSourceData!C72</f>
        <v>2015</v>
      </c>
      <c r="C101" s="124">
        <f>DNSPNZSourceData!D72</f>
        <v>2</v>
      </c>
      <c r="D101" s="103">
        <f>DNSPNZSourceData!E72</f>
        <v>10629</v>
      </c>
      <c r="E101" s="118">
        <f>DNSPNZSourceData!F72</f>
        <v>1.2816685951411126</v>
      </c>
      <c r="F101" s="117">
        <f>DNSPNZSourceData!G72</f>
        <v>89.025019305019313</v>
      </c>
      <c r="G101" s="103">
        <f>DNSPNZSourceData!H72</f>
        <v>104.05</v>
      </c>
      <c r="H101" s="128">
        <f>(H100+H102)/2</f>
        <v>43094</v>
      </c>
      <c r="I101" s="103">
        <f>DNSPNZSourceData!J72</f>
        <v>2256</v>
      </c>
      <c r="J101" s="118">
        <f>DNSPNZSourceData!L72</f>
        <v>0.32446808510638298</v>
      </c>
      <c r="K101" s="119" t="str">
        <f>DNSPNZSourceData!A72</f>
        <v>Electra</v>
      </c>
    </row>
    <row r="102" spans="1:11" s="120" customFormat="1">
      <c r="A102" s="126">
        <f>A101</f>
        <v>2007</v>
      </c>
      <c r="B102" s="127">
        <f>B101+1</f>
        <v>2016</v>
      </c>
      <c r="C102" s="126">
        <f>C101</f>
        <v>2</v>
      </c>
      <c r="D102" s="121">
        <f>DNSPNZSourceData!E73</f>
        <v>10567</v>
      </c>
      <c r="E102" s="122">
        <f>DNSPNZSourceData!F73</f>
        <v>1.2867539916420168</v>
      </c>
      <c r="F102" s="117">
        <f>DNSPNZSourceData!G73</f>
        <v>107.5350723938224</v>
      </c>
      <c r="G102" s="121">
        <f>DNSPNZSourceData!H73</f>
        <v>107.5350723938224</v>
      </c>
      <c r="H102" s="121">
        <f>DNSPNZSourceData!I73</f>
        <v>44206</v>
      </c>
      <c r="I102" s="121">
        <f>DNSPNZSourceData!J73</f>
        <v>2256</v>
      </c>
      <c r="J102" s="122">
        <f>DNSPNZSourceData!L73</f>
        <v>0.32934397163120566</v>
      </c>
      <c r="K102" s="119" t="str">
        <f>DNSPNZSourceData!A73</f>
        <v>Electra</v>
      </c>
    </row>
    <row r="103" spans="1:11" s="120" customFormat="1">
      <c r="A103" s="126">
        <f>A102</f>
        <v>2007</v>
      </c>
      <c r="B103" s="127">
        <f>B102+1</f>
        <v>2017</v>
      </c>
      <c r="C103" s="126">
        <f>C102</f>
        <v>2</v>
      </c>
      <c r="D103" s="121">
        <f>DNSPNZSourceData!E74</f>
        <v>10919</v>
      </c>
      <c r="E103" s="122">
        <f>DNSPNZSourceData!F74</f>
        <v>1.3063682360796467</v>
      </c>
      <c r="F103" s="117">
        <f>DNSPNZSourceData!G74</f>
        <v>103.44739382239383</v>
      </c>
      <c r="G103" s="121">
        <f>DNSPNZSourceData!H74</f>
        <v>107.5350723938224</v>
      </c>
      <c r="H103" s="121">
        <f>DNSPNZSourceData!I74</f>
        <v>44565.416666666657</v>
      </c>
      <c r="I103" s="121">
        <f>DNSPNZSourceData!J74</f>
        <v>2248</v>
      </c>
      <c r="J103" s="122">
        <f>DNSPNZSourceData!L74</f>
        <v>0.33051601423487542</v>
      </c>
      <c r="K103" s="119" t="str">
        <f>DNSPNZSourceData!A74</f>
        <v>Electra</v>
      </c>
    </row>
    <row r="104" spans="1:11" s="120" customFormat="1">
      <c r="A104" s="126">
        <f>A103</f>
        <v>2007</v>
      </c>
      <c r="B104" s="127">
        <f>B103+1</f>
        <v>2018</v>
      </c>
      <c r="C104" s="126">
        <f>C103</f>
        <v>2</v>
      </c>
      <c r="D104" s="121">
        <f>DNSPNZSourceData!E75</f>
        <v>12071</v>
      </c>
      <c r="E104" s="122">
        <f>DNSPNZSourceData!F75</f>
        <v>1.3404204496621166</v>
      </c>
      <c r="F104" s="117">
        <f>DNSPNZSourceData!G75</f>
        <v>104.45173745173747</v>
      </c>
      <c r="G104" s="121">
        <f>DNSPNZSourceData!H75</f>
        <v>107.5350723938224</v>
      </c>
      <c r="H104" s="121">
        <f>DNSPNZSourceData!I75</f>
        <v>44395.583333333328</v>
      </c>
      <c r="I104" s="121">
        <f>DNSPNZSourceData!J75</f>
        <v>2275</v>
      </c>
      <c r="J104" s="122">
        <f>DNSPNZSourceData!L75</f>
        <v>0.33010989010989011</v>
      </c>
      <c r="K104" s="119" t="str">
        <f>DNSPNZSourceData!A75</f>
        <v>Electra</v>
      </c>
    </row>
    <row r="105" spans="1:11" s="120" customFormat="1">
      <c r="A105" s="126">
        <f>A104</f>
        <v>2007</v>
      </c>
      <c r="B105" s="127">
        <f>B104+1</f>
        <v>2019</v>
      </c>
      <c r="C105" s="126">
        <f>C104</f>
        <v>2</v>
      </c>
      <c r="D105" s="121">
        <f>DNSPNZSourceData!E76</f>
        <v>12149.87973692665</v>
      </c>
      <c r="E105" s="122">
        <f>DNSPNZSourceData!F76</f>
        <v>1.3740587734764929</v>
      </c>
      <c r="F105" s="117">
        <f>DNSPNZSourceData!G76</f>
        <v>102.36471138996141</v>
      </c>
      <c r="G105" s="121">
        <f>DNSPNZSourceData!H76</f>
        <v>107.5350723938224</v>
      </c>
      <c r="H105" s="121">
        <f>DNSPNZSourceData!I76</f>
        <v>44799.083333333343</v>
      </c>
      <c r="I105" s="121">
        <f>DNSPNZSourceData!J76</f>
        <v>2288.9655210294582</v>
      </c>
      <c r="J105" s="122">
        <f>DNSPNZSourceData!L76</f>
        <v>0.33402703732481526</v>
      </c>
      <c r="K105" s="119" t="str">
        <f>DNSPNZSourceData!A76</f>
        <v>Electra</v>
      </c>
    </row>
    <row r="106" spans="1:11" s="120" customFormat="1">
      <c r="A106" s="126">
        <f>A105</f>
        <v>2007</v>
      </c>
      <c r="B106" s="127">
        <f>B105+1</f>
        <v>2020</v>
      </c>
      <c r="C106" s="126">
        <f>C105</f>
        <v>2</v>
      </c>
      <c r="D106" s="121">
        <f>DNSPNZSourceData!E77</f>
        <v>13019.239627223</v>
      </c>
      <c r="E106" s="122">
        <f>DNSPNZSourceData!F77</f>
        <v>1.4000516345247649</v>
      </c>
      <c r="F106" s="117">
        <f>DNSPNZSourceData!G77</f>
        <v>101.82437451737454</v>
      </c>
      <c r="G106" s="121">
        <f>DNSPNZSourceData!H77</f>
        <v>107.5350723938224</v>
      </c>
      <c r="H106" s="121">
        <f>DNSPNZSourceData!I77</f>
        <v>45192.159090909103</v>
      </c>
      <c r="I106" s="121">
        <f>DNSPNZSourceData!J77</f>
        <v>2323</v>
      </c>
      <c r="J106" s="122">
        <f>DNSPNZSourceData!L77</f>
        <v>0.33106708444482047</v>
      </c>
      <c r="K106" s="119" t="str">
        <f>DNSPNZSourceData!A77</f>
        <v>Electra</v>
      </c>
    </row>
    <row r="107" spans="1:11" s="120" customFormat="1">
      <c r="A107" s="124">
        <f>DNSPNZSourceData!B123</f>
        <v>2008</v>
      </c>
      <c r="B107" s="125">
        <f>DNSPNZSourceData!C123</f>
        <v>2006</v>
      </c>
      <c r="C107" s="124">
        <f>DNSPNZSourceData!D123</f>
        <v>2</v>
      </c>
      <c r="D107" s="103">
        <f>DNSPNZSourceData!E123</f>
        <v>5976.3646725535491</v>
      </c>
      <c r="E107" s="118">
        <f>DNSPNZSourceData!F123</f>
        <v>1</v>
      </c>
      <c r="F107" s="117">
        <f>DNSPNZSourceData!G123</f>
        <v>140.72658527089868</v>
      </c>
      <c r="G107" s="103">
        <f>DNSPNZSourceData!H123</f>
        <v>140.72658527089868</v>
      </c>
      <c r="H107" s="103">
        <f>DNSPNZSourceData!I123</f>
        <v>33830</v>
      </c>
      <c r="I107" s="103">
        <f>DNSPNZSourceData!J123</f>
        <v>3265.09</v>
      </c>
      <c r="J107" s="118">
        <f>DNSPNZSourceData!L123</f>
        <v>0.20354415957906213</v>
      </c>
      <c r="K107" s="119" t="str">
        <f>DNSPNZSourceData!A123</f>
        <v>Network Tasman</v>
      </c>
    </row>
    <row r="108" spans="1:11" s="120" customFormat="1">
      <c r="A108" s="124">
        <f>DNSPNZSourceData!B124</f>
        <v>2008</v>
      </c>
      <c r="B108" s="125">
        <f>DNSPNZSourceData!C124</f>
        <v>2007</v>
      </c>
      <c r="C108" s="124">
        <f>DNSPNZSourceData!D124</f>
        <v>2</v>
      </c>
      <c r="D108" s="103">
        <f>DNSPNZSourceData!E124</f>
        <v>6234.2015096882988</v>
      </c>
      <c r="E108" s="118">
        <f>DNSPNZSourceData!F124</f>
        <v>1.0438528231223547</v>
      </c>
      <c r="F108" s="117">
        <f>DNSPNZSourceData!G124</f>
        <v>142.01572866875742</v>
      </c>
      <c r="G108" s="103">
        <f>DNSPNZSourceData!H124</f>
        <v>142.01572866875742</v>
      </c>
      <c r="H108" s="103">
        <f>DNSPNZSourceData!I124</f>
        <v>34655</v>
      </c>
      <c r="I108" s="103">
        <f>DNSPNZSourceData!J124</f>
        <v>3299.45</v>
      </c>
      <c r="J108" s="118">
        <f>DNSPNZSourceData!L124</f>
        <v>0.21600872872751523</v>
      </c>
      <c r="K108" s="119" t="str">
        <f>DNSPNZSourceData!A124</f>
        <v>Network Tasman</v>
      </c>
    </row>
    <row r="109" spans="1:11" s="120" customFormat="1">
      <c r="A109" s="124">
        <f>DNSPNZSourceData!B125</f>
        <v>2008</v>
      </c>
      <c r="B109" s="125">
        <f>DNSPNZSourceData!C125</f>
        <v>2008</v>
      </c>
      <c r="C109" s="124">
        <f>DNSPNZSourceData!D125</f>
        <v>2</v>
      </c>
      <c r="D109" s="103">
        <f>DNSPNZSourceData!E125</f>
        <v>6544</v>
      </c>
      <c r="E109" s="118">
        <f>DNSPNZSourceData!F125</f>
        <v>1.0903851002750273</v>
      </c>
      <c r="F109" s="117">
        <f>DNSPNZSourceData!G125</f>
        <v>150.06399999999999</v>
      </c>
      <c r="G109" s="103">
        <f>DNSPNZSourceData!H125</f>
        <v>150.06399999999999</v>
      </c>
      <c r="H109" s="103">
        <f>DNSPNZSourceData!I125</f>
        <v>35163</v>
      </c>
      <c r="I109" s="103">
        <f>DNSPNZSourceData!J125</f>
        <v>3312.2</v>
      </c>
      <c r="J109" s="118">
        <f>DNSPNZSourceData!L125</f>
        <v>0.22329569470442609</v>
      </c>
      <c r="K109" s="119" t="str">
        <f>DNSPNZSourceData!A125</f>
        <v>Network Tasman</v>
      </c>
    </row>
    <row r="110" spans="1:11" s="120" customFormat="1">
      <c r="A110" s="124">
        <f>DNSPNZSourceData!B126</f>
        <v>2008</v>
      </c>
      <c r="B110" s="125">
        <f>DNSPNZSourceData!C126</f>
        <v>2009</v>
      </c>
      <c r="C110" s="124">
        <f>DNSPNZSourceData!D126</f>
        <v>2</v>
      </c>
      <c r="D110" s="103">
        <f>DNSPNZSourceData!E126</f>
        <v>8468.8112000000001</v>
      </c>
      <c r="E110" s="118">
        <f>DNSPNZSourceData!F126</f>
        <v>1.1562469092885455</v>
      </c>
      <c r="F110" s="117">
        <f>DNSPNZSourceData!G126</f>
        <v>151</v>
      </c>
      <c r="G110" s="103">
        <f>DNSPNZSourceData!H126</f>
        <v>151</v>
      </c>
      <c r="H110" s="103">
        <f>DNSPNZSourceData!I126</f>
        <v>35622.5</v>
      </c>
      <c r="I110" s="103">
        <f>DNSPNZSourceData!J126</f>
        <v>3330.1</v>
      </c>
      <c r="J110" s="118">
        <f>DNSPNZSourceData!L126</f>
        <v>0.22882195729857963</v>
      </c>
      <c r="K110" s="119" t="str">
        <f>DNSPNZSourceData!A126</f>
        <v>Network Tasman</v>
      </c>
    </row>
    <row r="111" spans="1:11" s="120" customFormat="1">
      <c r="A111" s="124">
        <f>DNSPNZSourceData!B127</f>
        <v>2008</v>
      </c>
      <c r="B111" s="125">
        <f>DNSPNZSourceData!C127</f>
        <v>2010</v>
      </c>
      <c r="C111" s="124">
        <f>DNSPNZSourceData!D127</f>
        <v>2</v>
      </c>
      <c r="D111" s="103">
        <f>DNSPNZSourceData!E127</f>
        <v>7429.5558800000008</v>
      </c>
      <c r="E111" s="118">
        <f>DNSPNZSourceData!F127</f>
        <v>1.1601923412470114</v>
      </c>
      <c r="F111" s="117">
        <f>DNSPNZSourceData!G127</f>
        <v>149</v>
      </c>
      <c r="G111" s="103">
        <f>DNSPNZSourceData!H127</f>
        <v>151</v>
      </c>
      <c r="H111" s="103">
        <f>DNSPNZSourceData!I127</f>
        <v>36024</v>
      </c>
      <c r="I111" s="103">
        <f>DNSPNZSourceData!J127</f>
        <v>3347.72</v>
      </c>
      <c r="J111" s="118">
        <f>DNSPNZSourceData!L127</f>
        <v>0.23434456884088276</v>
      </c>
      <c r="K111" s="119" t="str">
        <f>DNSPNZSourceData!A127</f>
        <v>Network Tasman</v>
      </c>
    </row>
    <row r="112" spans="1:11" s="120" customFormat="1">
      <c r="A112" s="124">
        <f>DNSPNZSourceData!B128</f>
        <v>2008</v>
      </c>
      <c r="B112" s="125">
        <f>DNSPNZSourceData!C128</f>
        <v>2011</v>
      </c>
      <c r="C112" s="124">
        <f>DNSPNZSourceData!D128</f>
        <v>2</v>
      </c>
      <c r="D112" s="103">
        <f>DNSPNZSourceData!E128</f>
        <v>8002.7159000000011</v>
      </c>
      <c r="E112" s="118">
        <f>DNSPNZSourceData!F128</f>
        <v>1.1900846681215445</v>
      </c>
      <c r="F112" s="117">
        <f>DNSPNZSourceData!G128</f>
        <v>149.52799999999999</v>
      </c>
      <c r="G112" s="103">
        <f>DNSPNZSourceData!H128</f>
        <v>151</v>
      </c>
      <c r="H112" s="103">
        <f>DNSPNZSourceData!I128</f>
        <v>36449</v>
      </c>
      <c r="I112" s="103">
        <f>DNSPNZSourceData!J128</f>
        <v>3356</v>
      </c>
      <c r="J112" s="118">
        <f>DNSPNZSourceData!L128</f>
        <v>0.24046483909415972</v>
      </c>
      <c r="K112" s="119" t="str">
        <f>DNSPNZSourceData!A128</f>
        <v>Network Tasman</v>
      </c>
    </row>
    <row r="113" spans="1:11" s="120" customFormat="1">
      <c r="A113" s="124">
        <f>DNSPNZSourceData!B129</f>
        <v>2008</v>
      </c>
      <c r="B113" s="125">
        <f>DNSPNZSourceData!C129</f>
        <v>2012</v>
      </c>
      <c r="C113" s="124">
        <f>DNSPNZSourceData!D129</f>
        <v>2</v>
      </c>
      <c r="D113" s="103">
        <f>DNSPNZSourceData!E129</f>
        <v>8558.27333</v>
      </c>
      <c r="E113" s="118">
        <f>DNSPNZSourceData!F129</f>
        <v>1.2216652483575092</v>
      </c>
      <c r="F113" s="117">
        <f>DNSPNZSourceData!G129</f>
        <v>155.27099999999999</v>
      </c>
      <c r="G113" s="103">
        <f>DNSPNZSourceData!H129</f>
        <v>155.27099999999999</v>
      </c>
      <c r="H113" s="103">
        <f>DNSPNZSourceData!I129</f>
        <v>36884</v>
      </c>
      <c r="I113" s="103">
        <f>DNSPNZSourceData!J129</f>
        <v>3367.2</v>
      </c>
      <c r="J113" s="118">
        <f>DNSPNZSourceData!L129</f>
        <v>0.24302090757899739</v>
      </c>
      <c r="K113" s="119" t="str">
        <f>DNSPNZSourceData!A129</f>
        <v>Network Tasman</v>
      </c>
    </row>
    <row r="114" spans="1:11" s="120" customFormat="1">
      <c r="A114" s="124">
        <f>DNSPNZSourceData!B130</f>
        <v>2008</v>
      </c>
      <c r="B114" s="125">
        <f>DNSPNZSourceData!C130</f>
        <v>2013</v>
      </c>
      <c r="C114" s="124">
        <f>DNSPNZSourceData!D130</f>
        <v>2</v>
      </c>
      <c r="D114" s="103">
        <f>DNSPNZSourceData!E130</f>
        <v>8429</v>
      </c>
      <c r="E114" s="118">
        <f>DNSPNZSourceData!F130</f>
        <v>1.2421813017565195</v>
      </c>
      <c r="F114" s="117">
        <f>DNSPNZSourceData!G130</f>
        <v>152.30905732965331</v>
      </c>
      <c r="G114" s="103">
        <f>DNSPNZSourceData!H130</f>
        <v>155.27099999999999</v>
      </c>
      <c r="H114" s="103">
        <f>DNSPNZSourceData!I130</f>
        <v>37293</v>
      </c>
      <c r="I114" s="103">
        <f>DNSPNZSourceData!J130</f>
        <v>3374</v>
      </c>
      <c r="J114" s="118">
        <f>DNSPNZSourceData!L130</f>
        <v>0.24510966212211024</v>
      </c>
      <c r="K114" s="119" t="str">
        <f>DNSPNZSourceData!A130</f>
        <v>Network Tasman</v>
      </c>
    </row>
    <row r="115" spans="1:11" s="120" customFormat="1">
      <c r="A115" s="124">
        <f>DNSPNZSourceData!B131</f>
        <v>2008</v>
      </c>
      <c r="B115" s="125">
        <f>DNSPNZSourceData!C131</f>
        <v>2014</v>
      </c>
      <c r="C115" s="124">
        <f>DNSPNZSourceData!D131</f>
        <v>2</v>
      </c>
      <c r="D115" s="103">
        <f>DNSPNZSourceData!E131</f>
        <v>8543</v>
      </c>
      <c r="E115" s="118">
        <f>DNSPNZSourceData!F131</f>
        <v>1.27237461042106</v>
      </c>
      <c r="F115" s="117">
        <f>DNSPNZSourceData!G131</f>
        <v>151.21894571613129</v>
      </c>
      <c r="G115" s="103">
        <f>DNSPNZSourceData!H131</f>
        <v>155.27099999999999</v>
      </c>
      <c r="H115" s="103">
        <f>DNSPNZSourceData!I131</f>
        <v>37553.621345261243</v>
      </c>
      <c r="I115" s="103">
        <f>DNSPNZSourceData!J131</f>
        <v>3395</v>
      </c>
      <c r="J115" s="118">
        <f>DNSPNZSourceData!L131</f>
        <v>0.25036818851251841</v>
      </c>
      <c r="K115" s="119" t="str">
        <f>DNSPNZSourceData!A131</f>
        <v>Network Tasman</v>
      </c>
    </row>
    <row r="116" spans="1:11" s="120" customFormat="1">
      <c r="A116" s="124">
        <f>DNSPNZSourceData!B132</f>
        <v>2008</v>
      </c>
      <c r="B116" s="125">
        <f>DNSPNZSourceData!C132</f>
        <v>2015</v>
      </c>
      <c r="C116" s="124">
        <f>DNSPNZSourceData!D132</f>
        <v>2</v>
      </c>
      <c r="D116" s="103">
        <f>DNSPNZSourceData!E132</f>
        <v>9818</v>
      </c>
      <c r="E116" s="118">
        <f>DNSPNZSourceData!F132</f>
        <v>1.2816685951411126</v>
      </c>
      <c r="F116" s="117">
        <f>DNSPNZSourceData!G132</f>
        <v>142.5938934758353</v>
      </c>
      <c r="G116" s="103">
        <f>DNSPNZSourceData!H132</f>
        <v>155.27099999999999</v>
      </c>
      <c r="H116" s="103">
        <f>DNSPNZSourceData!I132</f>
        <v>38014</v>
      </c>
      <c r="I116" s="103">
        <f>DNSPNZSourceData!J132</f>
        <v>3570.9</v>
      </c>
      <c r="J116" s="118">
        <f>DNSPNZSourceData!L132</f>
        <v>0.24425214931809905</v>
      </c>
      <c r="K116" s="119" t="str">
        <f>DNSPNZSourceData!A132</f>
        <v>Network Tasman</v>
      </c>
    </row>
    <row r="117" spans="1:11" s="120" customFormat="1">
      <c r="A117" s="126">
        <f>A116</f>
        <v>2008</v>
      </c>
      <c r="B117" s="127">
        <f>B116+1</f>
        <v>2016</v>
      </c>
      <c r="C117" s="126">
        <f>C116</f>
        <v>2</v>
      </c>
      <c r="D117" s="121">
        <f>DNSPNZSourceData!E133</f>
        <v>10389</v>
      </c>
      <c r="E117" s="122">
        <f>DNSPNZSourceData!F133</f>
        <v>1.2867539916420168</v>
      </c>
      <c r="F117" s="117">
        <f>DNSPNZSourceData!G133</f>
        <v>149.1246548934171</v>
      </c>
      <c r="G117" s="121">
        <f>DNSPNZSourceData!H133</f>
        <v>155.27099999999999</v>
      </c>
      <c r="H117" s="121">
        <f>DNSPNZSourceData!I133</f>
        <v>38535</v>
      </c>
      <c r="I117" s="121">
        <f>DNSPNZSourceData!J133</f>
        <v>3569.8</v>
      </c>
      <c r="J117" s="122">
        <f>DNSPNZSourceData!L133</f>
        <v>0.24704465236147685</v>
      </c>
      <c r="K117" s="119" t="str">
        <f>DNSPNZSourceData!A133</f>
        <v>Network Tasman</v>
      </c>
    </row>
    <row r="118" spans="1:11" s="120" customFormat="1">
      <c r="A118" s="126">
        <f>A117</f>
        <v>2008</v>
      </c>
      <c r="B118" s="127">
        <f>B117+1</f>
        <v>2017</v>
      </c>
      <c r="C118" s="126">
        <f>C117</f>
        <v>2</v>
      </c>
      <c r="D118" s="121">
        <f>DNSPNZSourceData!E134</f>
        <v>10316</v>
      </c>
      <c r="E118" s="122">
        <f>DNSPNZSourceData!F134</f>
        <v>1.3063682360796467</v>
      </c>
      <c r="F118" s="117">
        <f>DNSPNZSourceData!G134</f>
        <v>139.80985377884784</v>
      </c>
      <c r="G118" s="121">
        <f>DNSPNZSourceData!H134</f>
        <v>155.27099999999999</v>
      </c>
      <c r="H118" s="121">
        <f>DNSPNZSourceData!I134</f>
        <v>39028</v>
      </c>
      <c r="I118" s="121">
        <f>DNSPNZSourceData!J134</f>
        <v>3581</v>
      </c>
      <c r="J118" s="122">
        <f>DNSPNZSourceData!L134</f>
        <v>0.25048869030996929</v>
      </c>
      <c r="K118" s="119" t="str">
        <f>DNSPNZSourceData!A134</f>
        <v>Network Tasman</v>
      </c>
    </row>
    <row r="119" spans="1:11" s="120" customFormat="1">
      <c r="A119" s="126">
        <f>A118</f>
        <v>2008</v>
      </c>
      <c r="B119" s="127">
        <f>B118+1</f>
        <v>2018</v>
      </c>
      <c r="C119" s="126">
        <f>C118</f>
        <v>2</v>
      </c>
      <c r="D119" s="121">
        <f>DNSPNZSourceData!E135</f>
        <v>10945</v>
      </c>
      <c r="E119" s="122">
        <f>DNSPNZSourceData!F135</f>
        <v>1.3404204496621166</v>
      </c>
      <c r="F119" s="117">
        <f>DNSPNZSourceData!G135</f>
        <v>140.88426211169181</v>
      </c>
      <c r="G119" s="121">
        <f>DNSPNZSourceData!H135</f>
        <v>155.27099999999999</v>
      </c>
      <c r="H119" s="121">
        <f>DNSPNZSourceData!I135</f>
        <v>39578</v>
      </c>
      <c r="I119" s="121">
        <f>DNSPNZSourceData!J135</f>
        <v>3594</v>
      </c>
      <c r="J119" s="122">
        <f>DNSPNZSourceData!L135</f>
        <v>0.25514746800222593</v>
      </c>
      <c r="K119" s="119" t="str">
        <f>DNSPNZSourceData!A135</f>
        <v>Network Tasman</v>
      </c>
    </row>
    <row r="120" spans="1:11" s="120" customFormat="1">
      <c r="A120" s="126">
        <f>A119</f>
        <v>2008</v>
      </c>
      <c r="B120" s="127">
        <f>B119+1</f>
        <v>2019</v>
      </c>
      <c r="C120" s="126">
        <f>C119</f>
        <v>2</v>
      </c>
      <c r="D120" s="121">
        <f>DNSPNZSourceData!E136</f>
        <v>10504</v>
      </c>
      <c r="E120" s="122">
        <f>DNSPNZSourceData!F136</f>
        <v>1.3740587734764929</v>
      </c>
      <c r="F120" s="117">
        <f>DNSPNZSourceData!G136</f>
        <v>133.95814274238066</v>
      </c>
      <c r="G120" s="121">
        <f>DNSPNZSourceData!H136</f>
        <v>155.27099999999999</v>
      </c>
      <c r="H120" s="121">
        <f>DNSPNZSourceData!I136</f>
        <v>39970</v>
      </c>
      <c r="I120" s="121">
        <f>DNSPNZSourceData!J136</f>
        <v>3613.6</v>
      </c>
      <c r="J120" s="122">
        <f>DNSPNZSourceData!L136</f>
        <v>0.26034978968341821</v>
      </c>
      <c r="K120" s="119" t="str">
        <f>DNSPNZSourceData!A136</f>
        <v>Network Tasman</v>
      </c>
    </row>
    <row r="121" spans="1:11" s="120" customFormat="1">
      <c r="A121" s="126">
        <f>A120</f>
        <v>2008</v>
      </c>
      <c r="B121" s="127">
        <f>B120+1</f>
        <v>2020</v>
      </c>
      <c r="C121" s="126">
        <f>C120</f>
        <v>2</v>
      </c>
      <c r="D121" s="121">
        <f>DNSPNZSourceData!E137</f>
        <v>11230</v>
      </c>
      <c r="E121" s="122">
        <f>DNSPNZSourceData!F137</f>
        <v>1.4000516345247649</v>
      </c>
      <c r="F121" s="117">
        <f>DNSPNZSourceData!G137</f>
        <v>144.00769529430187</v>
      </c>
      <c r="G121" s="121">
        <f>DNSPNZSourceData!H137</f>
        <v>155.27099999999999</v>
      </c>
      <c r="H121" s="121">
        <f>DNSPNZSourceData!I137</f>
        <v>40282</v>
      </c>
      <c r="I121" s="121">
        <f>DNSPNZSourceData!J137</f>
        <v>3640.6</v>
      </c>
      <c r="J121" s="122">
        <f>DNSPNZSourceData!L137</f>
        <v>0.26712629786298964</v>
      </c>
      <c r="K121" s="119" t="str">
        <f>DNSPNZSourceData!A137</f>
        <v>Network Tasman</v>
      </c>
    </row>
    <row r="122" spans="1:11" s="120" customFormat="1">
      <c r="A122" s="124">
        <f>DNSPNZSourceData!B33</f>
        <v>2009</v>
      </c>
      <c r="B122" s="125">
        <f>DNSPNZSourceData!C33</f>
        <v>2006</v>
      </c>
      <c r="C122" s="124">
        <f>DNSPNZSourceData!D33</f>
        <v>2</v>
      </c>
      <c r="D122" s="103">
        <f>DNSPNZSourceData!E33</f>
        <v>7219.9182267720498</v>
      </c>
      <c r="E122" s="118">
        <f>DNSPNZSourceData!F33</f>
        <v>1</v>
      </c>
      <c r="F122" s="117">
        <f>DNSPNZSourceData!G33</f>
        <v>91.68716410611502</v>
      </c>
      <c r="G122" s="103">
        <f>DNSPNZSourceData!H33</f>
        <v>91.68716410611502</v>
      </c>
      <c r="H122" s="103">
        <f>DNSPNZSourceData!I33</f>
        <v>33931</v>
      </c>
      <c r="I122" s="103">
        <f>DNSPNZSourceData!J33</f>
        <v>3260.46</v>
      </c>
      <c r="J122" s="118">
        <f>DNSPNZSourceData!L33</f>
        <v>0.14519116934420295</v>
      </c>
      <c r="K122" s="119" t="str">
        <f>DNSPNZSourceData!A33</f>
        <v>Counties Power</v>
      </c>
    </row>
    <row r="123" spans="1:11" s="120" customFormat="1">
      <c r="A123" s="124">
        <f>DNSPNZSourceData!B34</f>
        <v>2009</v>
      </c>
      <c r="B123" s="125">
        <f>DNSPNZSourceData!C34</f>
        <v>2007</v>
      </c>
      <c r="C123" s="124">
        <f>DNSPNZSourceData!D34</f>
        <v>2</v>
      </c>
      <c r="D123" s="103">
        <f>DNSPNZSourceData!E34</f>
        <v>7482.0329480581522</v>
      </c>
      <c r="E123" s="118">
        <f>DNSPNZSourceData!F34</f>
        <v>1.0438528231223547</v>
      </c>
      <c r="F123" s="117">
        <f>DNSPNZSourceData!G34</f>
        <v>96.327420132427406</v>
      </c>
      <c r="G123" s="103">
        <f>DNSPNZSourceData!H34</f>
        <v>96.327420132427406</v>
      </c>
      <c r="H123" s="103">
        <f>DNSPNZSourceData!I34</f>
        <v>35179</v>
      </c>
      <c r="I123" s="103">
        <f>DNSPNZSourceData!J34</f>
        <v>2962.92</v>
      </c>
      <c r="J123" s="118">
        <f>DNSPNZSourceData!L34</f>
        <v>0.17255275201490422</v>
      </c>
      <c r="K123" s="119" t="str">
        <f>DNSPNZSourceData!A34</f>
        <v>Counties Power</v>
      </c>
    </row>
    <row r="124" spans="1:11" s="120" customFormat="1">
      <c r="A124" s="124">
        <f>DNSPNZSourceData!B35</f>
        <v>2009</v>
      </c>
      <c r="B124" s="125">
        <f>DNSPNZSourceData!C35</f>
        <v>2008</v>
      </c>
      <c r="C124" s="124">
        <f>DNSPNZSourceData!D35</f>
        <v>2</v>
      </c>
      <c r="D124" s="103">
        <f>DNSPNZSourceData!E35</f>
        <v>9247.0000000000018</v>
      </c>
      <c r="E124" s="118">
        <f>DNSPNZSourceData!F35</f>
        <v>1.0903851002750273</v>
      </c>
      <c r="F124" s="117">
        <f>DNSPNZSourceData!G35</f>
        <v>97.298000000000002</v>
      </c>
      <c r="G124" s="103">
        <f>DNSPNZSourceData!H35</f>
        <v>97.298000000000002</v>
      </c>
      <c r="H124" s="103">
        <f>DNSPNZSourceData!I35</f>
        <v>35579</v>
      </c>
      <c r="I124" s="103">
        <f>DNSPNZSourceData!J35</f>
        <v>2975.0801585443901</v>
      </c>
      <c r="J124" s="118">
        <f>DNSPNZSourceData!L35</f>
        <v>0.18325553627912114</v>
      </c>
      <c r="K124" s="119" t="str">
        <f>DNSPNZSourceData!A35</f>
        <v>Counties Power</v>
      </c>
    </row>
    <row r="125" spans="1:11" s="120" customFormat="1">
      <c r="A125" s="124">
        <f>DNSPNZSourceData!B36</f>
        <v>2009</v>
      </c>
      <c r="B125" s="125">
        <f>DNSPNZSourceData!C36</f>
        <v>2009</v>
      </c>
      <c r="C125" s="124">
        <f>DNSPNZSourceData!D36</f>
        <v>2</v>
      </c>
      <c r="D125" s="103">
        <f>DNSPNZSourceData!E36</f>
        <v>9775.0000000000018</v>
      </c>
      <c r="E125" s="118">
        <f>DNSPNZSourceData!F36</f>
        <v>1.1562469092885455</v>
      </c>
      <c r="F125" s="117">
        <f>DNSPNZSourceData!G36</f>
        <v>99.385999999999996</v>
      </c>
      <c r="G125" s="103">
        <f>DNSPNZSourceData!H36</f>
        <v>99.385999999999996</v>
      </c>
      <c r="H125" s="103">
        <f>DNSPNZSourceData!I36</f>
        <v>35791.5</v>
      </c>
      <c r="I125" s="103">
        <f>DNSPNZSourceData!J36</f>
        <v>3009.0077421952601</v>
      </c>
      <c r="J125" s="118">
        <f>DNSPNZSourceData!L36</f>
        <v>0.18702271642082663</v>
      </c>
      <c r="K125" s="119" t="str">
        <f>DNSPNZSourceData!A36</f>
        <v>Counties Power</v>
      </c>
    </row>
    <row r="126" spans="1:11" s="120" customFormat="1">
      <c r="A126" s="124">
        <f>DNSPNZSourceData!B37</f>
        <v>2009</v>
      </c>
      <c r="B126" s="125">
        <f>DNSPNZSourceData!C37</f>
        <v>2010</v>
      </c>
      <c r="C126" s="124">
        <f>DNSPNZSourceData!D37</f>
        <v>2</v>
      </c>
      <c r="D126" s="103">
        <f>DNSPNZSourceData!E37</f>
        <v>9600.4003200000043</v>
      </c>
      <c r="E126" s="118">
        <f>DNSPNZSourceData!F37</f>
        <v>1.1601923412470114</v>
      </c>
      <c r="F126" s="117">
        <f>DNSPNZSourceData!G37</f>
        <v>99.811999999999998</v>
      </c>
      <c r="G126" s="103">
        <f>DNSPNZSourceData!H37</f>
        <v>99.811999999999998</v>
      </c>
      <c r="H126" s="103">
        <f>DNSPNZSourceData!I37</f>
        <v>36208.5</v>
      </c>
      <c r="I126" s="103">
        <f>DNSPNZSourceData!J37</f>
        <v>3022.4918404226701</v>
      </c>
      <c r="J126" s="118">
        <f>DNSPNZSourceData!L37</f>
        <v>0.19327734022741758</v>
      </c>
      <c r="K126" s="119" t="str">
        <f>DNSPNZSourceData!A37</f>
        <v>Counties Power</v>
      </c>
    </row>
    <row r="127" spans="1:11" s="120" customFormat="1">
      <c r="A127" s="124">
        <f>DNSPNZSourceData!B38</f>
        <v>2009</v>
      </c>
      <c r="B127" s="125">
        <f>DNSPNZSourceData!C38</f>
        <v>2011</v>
      </c>
      <c r="C127" s="124">
        <f>DNSPNZSourceData!D38</f>
        <v>2</v>
      </c>
      <c r="D127" s="103">
        <f>DNSPNZSourceData!E38</f>
        <v>9843.0000000000018</v>
      </c>
      <c r="E127" s="118">
        <f>DNSPNZSourceData!F38</f>
        <v>1.1900846681215445</v>
      </c>
      <c r="F127" s="117">
        <f>DNSPNZSourceData!G38</f>
        <v>96.072000000000003</v>
      </c>
      <c r="G127" s="103">
        <f>DNSPNZSourceData!H38</f>
        <v>99.811999999999998</v>
      </c>
      <c r="H127" s="103">
        <f>DNSPNZSourceData!I38</f>
        <v>36653</v>
      </c>
      <c r="I127" s="103">
        <f>DNSPNZSourceData!J38</f>
        <v>3032.8179436202499</v>
      </c>
      <c r="J127" s="118">
        <f>DNSPNZSourceData!L38</f>
        <v>0.2022102727630915</v>
      </c>
      <c r="K127" s="119" t="str">
        <f>DNSPNZSourceData!A38</f>
        <v>Counties Power</v>
      </c>
    </row>
    <row r="128" spans="1:11" s="120" customFormat="1">
      <c r="A128" s="124">
        <f>DNSPNZSourceData!B39</f>
        <v>2009</v>
      </c>
      <c r="B128" s="125">
        <f>DNSPNZSourceData!C39</f>
        <v>2012</v>
      </c>
      <c r="C128" s="124">
        <f>DNSPNZSourceData!D39</f>
        <v>2</v>
      </c>
      <c r="D128" s="103">
        <f>DNSPNZSourceData!E39</f>
        <v>9732.6010000000024</v>
      </c>
      <c r="E128" s="118">
        <f>DNSPNZSourceData!F39</f>
        <v>1.2216652483575092</v>
      </c>
      <c r="F128" s="117">
        <f>DNSPNZSourceData!G39</f>
        <v>103.16</v>
      </c>
      <c r="G128" s="103">
        <f>DNSPNZSourceData!H39</f>
        <v>103.16</v>
      </c>
      <c r="H128" s="103">
        <f>DNSPNZSourceData!I39</f>
        <v>37040.5</v>
      </c>
      <c r="I128" s="103">
        <f>DNSPNZSourceData!J39</f>
        <v>3054.9488799999999</v>
      </c>
      <c r="J128" s="118">
        <f>DNSPNZSourceData!L39</f>
        <v>0.21048015703621201</v>
      </c>
      <c r="K128" s="119" t="str">
        <f>DNSPNZSourceData!A39</f>
        <v>Counties Power</v>
      </c>
    </row>
    <row r="129" spans="1:11" s="120" customFormat="1">
      <c r="A129" s="124">
        <f>DNSPNZSourceData!B40</f>
        <v>2009</v>
      </c>
      <c r="B129" s="125">
        <f>DNSPNZSourceData!C40</f>
        <v>2013</v>
      </c>
      <c r="C129" s="124">
        <f>DNSPNZSourceData!D40</f>
        <v>2</v>
      </c>
      <c r="D129" s="103">
        <f>DNSPNZSourceData!E40</f>
        <v>9414.26361</v>
      </c>
      <c r="E129" s="118">
        <f>DNSPNZSourceData!F40</f>
        <v>1.2421813017565195</v>
      </c>
      <c r="F129" s="117">
        <f>DNSPNZSourceData!G40</f>
        <v>104.64083016347769</v>
      </c>
      <c r="G129" s="103">
        <f>DNSPNZSourceData!H40</f>
        <v>104.64083016347769</v>
      </c>
      <c r="H129" s="103">
        <f>DNSPNZSourceData!I40</f>
        <v>37511</v>
      </c>
      <c r="I129" s="103">
        <f>DNSPNZSourceData!J40</f>
        <v>3062.4989999999998</v>
      </c>
      <c r="J129" s="118">
        <f>DNSPNZSourceData!L40</f>
        <v>0.21676545853565996</v>
      </c>
      <c r="K129" s="119" t="str">
        <f>DNSPNZSourceData!A40</f>
        <v>Counties Power</v>
      </c>
    </row>
    <row r="130" spans="1:11" s="120" customFormat="1">
      <c r="A130" s="124">
        <f>DNSPNZSourceData!B41</f>
        <v>2009</v>
      </c>
      <c r="B130" s="125">
        <f>DNSPNZSourceData!C41</f>
        <v>2014</v>
      </c>
      <c r="C130" s="124">
        <f>DNSPNZSourceData!D41</f>
        <v>2</v>
      </c>
      <c r="D130" s="103">
        <f>DNSPNZSourceData!E41</f>
        <v>10633</v>
      </c>
      <c r="E130" s="118">
        <f>DNSPNZSourceData!F41</f>
        <v>1.27237461042106</v>
      </c>
      <c r="F130" s="117">
        <f>DNSPNZSourceData!G41</f>
        <v>117.59327042241978</v>
      </c>
      <c r="G130" s="103">
        <f>DNSPNZSourceData!H41</f>
        <v>117.59327042241978</v>
      </c>
      <c r="H130" s="103">
        <f>DNSPNZSourceData!I41</f>
        <v>38148</v>
      </c>
      <c r="I130" s="103">
        <f>DNSPNZSourceData!J41</f>
        <v>3075.067</v>
      </c>
      <c r="J130" s="118">
        <f>DNSPNZSourceData!L41</f>
        <v>0.22438275328635116</v>
      </c>
      <c r="K130" s="119" t="str">
        <f>DNSPNZSourceData!A41</f>
        <v>Counties Power</v>
      </c>
    </row>
    <row r="131" spans="1:11" s="120" customFormat="1">
      <c r="A131" s="124">
        <f>DNSPNZSourceData!B42</f>
        <v>2009</v>
      </c>
      <c r="B131" s="125">
        <f>DNSPNZSourceData!C42</f>
        <v>2015</v>
      </c>
      <c r="C131" s="124">
        <f>DNSPNZSourceData!D42</f>
        <v>2</v>
      </c>
      <c r="D131" s="103">
        <f>DNSPNZSourceData!E42</f>
        <v>11382.10564</v>
      </c>
      <c r="E131" s="118">
        <f>DNSPNZSourceData!F42</f>
        <v>1.2816685951411126</v>
      </c>
      <c r="F131" s="117">
        <f>DNSPNZSourceData!G42</f>
        <v>121.85872741426638</v>
      </c>
      <c r="G131" s="103">
        <f>DNSPNZSourceData!H42</f>
        <v>121.85872741426638</v>
      </c>
      <c r="H131" s="103">
        <f>DNSPNZSourceData!I42</f>
        <v>38856</v>
      </c>
      <c r="I131" s="103">
        <f>DNSPNZSourceData!J42</f>
        <v>3124.9810000000002</v>
      </c>
      <c r="J131" s="118">
        <f>DNSPNZSourceData!L42</f>
        <v>0.2381134477297622</v>
      </c>
      <c r="K131" s="119" t="str">
        <f>DNSPNZSourceData!A42</f>
        <v>Counties Power</v>
      </c>
    </row>
    <row r="132" spans="1:11" s="120" customFormat="1">
      <c r="A132" s="126">
        <f>A131</f>
        <v>2009</v>
      </c>
      <c r="B132" s="127">
        <f>B131+1</f>
        <v>2016</v>
      </c>
      <c r="C132" s="126">
        <f>C131</f>
        <v>2</v>
      </c>
      <c r="D132" s="121">
        <f>DNSPNZSourceData!E43</f>
        <v>11566.047167500001</v>
      </c>
      <c r="E132" s="122">
        <f>DNSPNZSourceData!F43</f>
        <v>1.2867539916420168</v>
      </c>
      <c r="F132" s="117">
        <f>DNSPNZSourceData!G43</f>
        <v>121.20887901012004</v>
      </c>
      <c r="G132" s="121">
        <f>DNSPNZSourceData!H43</f>
        <v>121.85872741426638</v>
      </c>
      <c r="H132" s="121">
        <f>DNSPNZSourceData!I43</f>
        <v>39747</v>
      </c>
      <c r="I132" s="121">
        <f>DNSPNZSourceData!J43</f>
        <v>3185.145198816861</v>
      </c>
      <c r="J132" s="122">
        <f>DNSPNZSourceData!L43</f>
        <v>0.25866384023851186</v>
      </c>
      <c r="K132" s="119" t="str">
        <f>DNSPNZSourceData!A43</f>
        <v>Counties Power</v>
      </c>
    </row>
    <row r="133" spans="1:11" s="120" customFormat="1">
      <c r="A133" s="126">
        <f>A132</f>
        <v>2009</v>
      </c>
      <c r="B133" s="127">
        <f>B132+1</f>
        <v>2017</v>
      </c>
      <c r="C133" s="126">
        <f>C132</f>
        <v>2</v>
      </c>
      <c r="D133" s="121">
        <f>DNSPNZSourceData!E44</f>
        <v>13095</v>
      </c>
      <c r="E133" s="122">
        <f>DNSPNZSourceData!F44</f>
        <v>1.3063682360796467</v>
      </c>
      <c r="F133" s="117">
        <f>DNSPNZSourceData!G44</f>
        <v>121.31031876101119</v>
      </c>
      <c r="G133" s="121">
        <f>DNSPNZSourceData!H44</f>
        <v>121.85872741426638</v>
      </c>
      <c r="H133" s="121">
        <f>DNSPNZSourceData!I44</f>
        <v>40794</v>
      </c>
      <c r="I133" s="121">
        <f>DNSPNZSourceData!J44</f>
        <v>3239.3993599369992</v>
      </c>
      <c r="J133" s="122">
        <f>DNSPNZSourceData!L44</f>
        <v>0.26965709253087849</v>
      </c>
      <c r="K133" s="119" t="str">
        <f>DNSPNZSourceData!A44</f>
        <v>Counties Power</v>
      </c>
    </row>
    <row r="134" spans="1:11" s="120" customFormat="1">
      <c r="A134" s="126">
        <f>A133</f>
        <v>2009</v>
      </c>
      <c r="B134" s="127">
        <f>B133+1</f>
        <v>2018</v>
      </c>
      <c r="C134" s="126">
        <f>C133</f>
        <v>2</v>
      </c>
      <c r="D134" s="121">
        <f>DNSPNZSourceData!E45</f>
        <v>12890</v>
      </c>
      <c r="E134" s="122">
        <f>DNSPNZSourceData!F45</f>
        <v>1.3404204496621166</v>
      </c>
      <c r="F134" s="117">
        <f>DNSPNZSourceData!G45</f>
        <v>123.07389109681648</v>
      </c>
      <c r="G134" s="121">
        <f>DNSPNZSourceData!H45</f>
        <v>123.07389109681648</v>
      </c>
      <c r="H134" s="121">
        <f>DNSPNZSourceData!I45</f>
        <v>41704</v>
      </c>
      <c r="I134" s="121">
        <f>DNSPNZSourceData!J45</f>
        <v>3234.5479071159989</v>
      </c>
      <c r="J134" s="122">
        <f>DNSPNZSourceData!L45</f>
        <v>0.27604473101130023</v>
      </c>
      <c r="K134" s="119" t="str">
        <f>DNSPNZSourceData!A45</f>
        <v>Counties Power</v>
      </c>
    </row>
    <row r="135" spans="1:11" s="120" customFormat="1">
      <c r="A135" s="126">
        <f>A134</f>
        <v>2009</v>
      </c>
      <c r="B135" s="127">
        <f>B134+1</f>
        <v>2019</v>
      </c>
      <c r="C135" s="126">
        <f>C134</f>
        <v>2</v>
      </c>
      <c r="D135" s="121">
        <f>DNSPNZSourceData!E46</f>
        <v>14624</v>
      </c>
      <c r="E135" s="122">
        <f>DNSPNZSourceData!F46</f>
        <v>1.3740587734764929</v>
      </c>
      <c r="F135" s="117">
        <f>DNSPNZSourceData!G46</f>
        <v>135.67228549186709</v>
      </c>
      <c r="G135" s="121">
        <f>DNSPNZSourceData!H46</f>
        <v>135.67228549186709</v>
      </c>
      <c r="H135" s="121">
        <f>DNSPNZSourceData!I46</f>
        <v>42458</v>
      </c>
      <c r="I135" s="121">
        <f>DNSPNZSourceData!J46</f>
        <v>3251.2265001792989</v>
      </c>
      <c r="J135" s="122">
        <f>DNSPNZSourceData!L46</f>
        <v>0.28471265562675757</v>
      </c>
      <c r="K135" s="119" t="str">
        <f>DNSPNZSourceData!A46</f>
        <v>Counties Power</v>
      </c>
    </row>
    <row r="136" spans="1:11" s="120" customFormat="1">
      <c r="A136" s="126">
        <f>A135</f>
        <v>2009</v>
      </c>
      <c r="B136" s="127">
        <f>B135+1</f>
        <v>2020</v>
      </c>
      <c r="C136" s="126">
        <f>C135</f>
        <v>2</v>
      </c>
      <c r="D136" s="121">
        <f>DNSPNZSourceData!E47</f>
        <v>15741</v>
      </c>
      <c r="E136" s="122">
        <f>DNSPNZSourceData!F47</f>
        <v>1.4000516345247649</v>
      </c>
      <c r="F136" s="117">
        <f>DNSPNZSourceData!G47</f>
        <v>136.3318552054738</v>
      </c>
      <c r="G136" s="121">
        <f>DNSPNZSourceData!H47</f>
        <v>136.3318552054738</v>
      </c>
      <c r="H136" s="121">
        <f>DNSPNZSourceData!I47</f>
        <v>43485</v>
      </c>
      <c r="I136" s="121">
        <f>DNSPNZSourceData!J47</f>
        <v>3369.35659883889</v>
      </c>
      <c r="J136" s="122">
        <f>DNSPNZSourceData!L47</f>
        <v>0.31198140827190174</v>
      </c>
      <c r="K136" s="119" t="str">
        <f>DNSPNZSourceData!A47</f>
        <v>Counties Power</v>
      </c>
    </row>
    <row r="137" spans="1:11" s="120" customFormat="1">
      <c r="A137" s="124">
        <f>DNSPNZSourceData!B93</f>
        <v>2010</v>
      </c>
      <c r="B137" s="125">
        <f>DNSPNZSourceData!C93</f>
        <v>2006</v>
      </c>
      <c r="C137" s="124">
        <f>DNSPNZSourceData!D93</f>
        <v>2</v>
      </c>
      <c r="D137" s="103">
        <f>DNSPNZSourceData!E93</f>
        <v>5810.4289750063808</v>
      </c>
      <c r="E137" s="118">
        <f>DNSPNZSourceData!F93</f>
        <v>1</v>
      </c>
      <c r="F137" s="117">
        <f>DNSPNZSourceData!G93</f>
        <v>81.417395348837189</v>
      </c>
      <c r="G137" s="103">
        <f>DNSPNZSourceData!H93</f>
        <v>81.417395348837189</v>
      </c>
      <c r="H137" s="103">
        <f>DNSPNZSourceData!I93</f>
        <v>30283</v>
      </c>
      <c r="I137" s="103">
        <f>DNSPNZSourceData!J93</f>
        <v>4420</v>
      </c>
      <c r="J137" s="118">
        <f>DNSPNZSourceData!L93</f>
        <v>0.17104072398190046</v>
      </c>
      <c r="K137" s="119" t="str">
        <f>DNSPNZSourceData!A93</f>
        <v>MainPower</v>
      </c>
    </row>
    <row r="138" spans="1:11" s="120" customFormat="1">
      <c r="A138" s="124">
        <f>DNSPNZSourceData!B94</f>
        <v>2010</v>
      </c>
      <c r="B138" s="125">
        <f>DNSPNZSourceData!C94</f>
        <v>2007</v>
      </c>
      <c r="C138" s="124">
        <f>DNSPNZSourceData!D94</f>
        <v>2</v>
      </c>
      <c r="D138" s="103">
        <f>DNSPNZSourceData!E94</f>
        <v>7202.2179014763306</v>
      </c>
      <c r="E138" s="118">
        <f>DNSPNZSourceData!F94</f>
        <v>1.0438528231223547</v>
      </c>
      <c r="F138" s="117">
        <f>DNSPNZSourceData!G94</f>
        <v>86.710697674418597</v>
      </c>
      <c r="G138" s="103">
        <f>DNSPNZSourceData!H94</f>
        <v>86.710697674418597</v>
      </c>
      <c r="H138" s="103">
        <f>DNSPNZSourceData!I94</f>
        <v>31168.5</v>
      </c>
      <c r="I138" s="103">
        <f>DNSPNZSourceData!J94</f>
        <v>4477</v>
      </c>
      <c r="J138" s="118">
        <f>DNSPNZSourceData!L94</f>
        <v>0.17534062988608443</v>
      </c>
      <c r="K138" s="119" t="str">
        <f>DNSPNZSourceData!A94</f>
        <v>MainPower</v>
      </c>
    </row>
    <row r="139" spans="1:11" s="120" customFormat="1">
      <c r="A139" s="124">
        <f>DNSPNZSourceData!B95</f>
        <v>2010</v>
      </c>
      <c r="B139" s="125">
        <f>DNSPNZSourceData!C95</f>
        <v>2008</v>
      </c>
      <c r="C139" s="124">
        <f>DNSPNZSourceData!D95</f>
        <v>2</v>
      </c>
      <c r="D139" s="103">
        <f>DNSPNZSourceData!E95</f>
        <v>7095.9999999999982</v>
      </c>
      <c r="E139" s="118">
        <f>DNSPNZSourceData!F95</f>
        <v>1.0903851002750273</v>
      </c>
      <c r="F139" s="117">
        <f>DNSPNZSourceData!G95</f>
        <v>88</v>
      </c>
      <c r="G139" s="103">
        <f>DNSPNZSourceData!H95</f>
        <v>88</v>
      </c>
      <c r="H139" s="103">
        <f>DNSPNZSourceData!I95</f>
        <v>32105.5</v>
      </c>
      <c r="I139" s="103">
        <f>DNSPNZSourceData!J95</f>
        <v>4325.7079999999996</v>
      </c>
      <c r="J139" s="118">
        <f>DNSPNZSourceData!L95</f>
        <v>0.14557339515288595</v>
      </c>
      <c r="K139" s="119" t="str">
        <f>DNSPNZSourceData!A95</f>
        <v>Mainpower</v>
      </c>
    </row>
    <row r="140" spans="1:11" s="120" customFormat="1">
      <c r="A140" s="124">
        <f>DNSPNZSourceData!B96</f>
        <v>2010</v>
      </c>
      <c r="B140" s="125">
        <f>DNSPNZSourceData!C96</f>
        <v>2009</v>
      </c>
      <c r="C140" s="124">
        <f>DNSPNZSourceData!D96</f>
        <v>2</v>
      </c>
      <c r="D140" s="103">
        <f>DNSPNZSourceData!E96</f>
        <v>8944.9999999999964</v>
      </c>
      <c r="E140" s="118">
        <f>DNSPNZSourceData!F96</f>
        <v>1.1562469092885455</v>
      </c>
      <c r="F140" s="117">
        <f>DNSPNZSourceData!G96</f>
        <v>93</v>
      </c>
      <c r="G140" s="103">
        <f>DNSPNZSourceData!H96</f>
        <v>93</v>
      </c>
      <c r="H140" s="103">
        <f>DNSPNZSourceData!I96</f>
        <v>32896.5</v>
      </c>
      <c r="I140" s="103">
        <f>DNSPNZSourceData!J96</f>
        <v>4403</v>
      </c>
      <c r="J140" s="118">
        <f>DNSPNZSourceData!L96</f>
        <v>0.15057915057915058</v>
      </c>
      <c r="K140" s="119" t="str">
        <f>DNSPNZSourceData!A96</f>
        <v>Mainpower</v>
      </c>
    </row>
    <row r="141" spans="1:11" s="120" customFormat="1">
      <c r="A141" s="124">
        <f>DNSPNZSourceData!B97</f>
        <v>2010</v>
      </c>
      <c r="B141" s="125">
        <f>DNSPNZSourceData!C97</f>
        <v>2010</v>
      </c>
      <c r="C141" s="124">
        <f>DNSPNZSourceData!D97</f>
        <v>2</v>
      </c>
      <c r="D141" s="103">
        <f>DNSPNZSourceData!E97</f>
        <v>8869.9999999999982</v>
      </c>
      <c r="E141" s="118">
        <f>DNSPNZSourceData!F97</f>
        <v>1.1601923412470114</v>
      </c>
      <c r="F141" s="117">
        <f>DNSPNZSourceData!G97</f>
        <v>93</v>
      </c>
      <c r="G141" s="103">
        <f>DNSPNZSourceData!H97</f>
        <v>93</v>
      </c>
      <c r="H141" s="103">
        <f>DNSPNZSourceData!I97</f>
        <v>33520.5</v>
      </c>
      <c r="I141" s="103">
        <f>DNSPNZSourceData!J97</f>
        <v>4518</v>
      </c>
      <c r="J141" s="118">
        <f>DNSPNZSourceData!L97</f>
        <v>0.15648517042939353</v>
      </c>
      <c r="K141" s="119" t="str">
        <f>DNSPNZSourceData!A97</f>
        <v>Mainpower</v>
      </c>
    </row>
    <row r="142" spans="1:11" s="120" customFormat="1">
      <c r="A142" s="124">
        <f>DNSPNZSourceData!B98</f>
        <v>2010</v>
      </c>
      <c r="B142" s="125">
        <f>DNSPNZSourceData!C98</f>
        <v>2011</v>
      </c>
      <c r="C142" s="124">
        <f>DNSPNZSourceData!D98</f>
        <v>2</v>
      </c>
      <c r="D142" s="103">
        <f>DNSPNZSourceData!E98</f>
        <v>10109</v>
      </c>
      <c r="E142" s="118">
        <f>DNSPNZSourceData!F98</f>
        <v>1.1900846681215445</v>
      </c>
      <c r="F142" s="117">
        <f>DNSPNZSourceData!G98</f>
        <v>96</v>
      </c>
      <c r="G142" s="103">
        <f>DNSPNZSourceData!H98</f>
        <v>96</v>
      </c>
      <c r="H142" s="103">
        <f>DNSPNZSourceData!I98</f>
        <v>34020</v>
      </c>
      <c r="I142" s="103">
        <f>DNSPNZSourceData!J98</f>
        <v>4583</v>
      </c>
      <c r="J142" s="118">
        <f>DNSPNZSourceData!L98</f>
        <v>0.16299367226707398</v>
      </c>
      <c r="K142" s="119" t="str">
        <f>DNSPNZSourceData!A98</f>
        <v>Mainpower</v>
      </c>
    </row>
    <row r="143" spans="1:11" s="120" customFormat="1">
      <c r="A143" s="124">
        <f>DNSPNZSourceData!B99</f>
        <v>2010</v>
      </c>
      <c r="B143" s="125">
        <f>DNSPNZSourceData!C99</f>
        <v>2012</v>
      </c>
      <c r="C143" s="124">
        <f>DNSPNZSourceData!D99</f>
        <v>2</v>
      </c>
      <c r="D143" s="103">
        <f>DNSPNZSourceData!E99</f>
        <v>9778.9999999999982</v>
      </c>
      <c r="E143" s="118">
        <f>DNSPNZSourceData!F99</f>
        <v>1.2216652483575092</v>
      </c>
      <c r="F143" s="117">
        <f>DNSPNZSourceData!G99</f>
        <v>120</v>
      </c>
      <c r="G143" s="103">
        <f>DNSPNZSourceData!H99</f>
        <v>120</v>
      </c>
      <c r="H143" s="103">
        <f>DNSPNZSourceData!I99</f>
        <v>34496.5</v>
      </c>
      <c r="I143" s="103">
        <f>DNSPNZSourceData!J99</f>
        <v>4660</v>
      </c>
      <c r="J143" s="118">
        <f>DNSPNZSourceData!L99</f>
        <v>0.17188841201716737</v>
      </c>
      <c r="K143" s="119" t="str">
        <f>DNSPNZSourceData!A99</f>
        <v>Mainpower</v>
      </c>
    </row>
    <row r="144" spans="1:11" s="120" customFormat="1">
      <c r="A144" s="124">
        <f>DNSPNZSourceData!B100</f>
        <v>2010</v>
      </c>
      <c r="B144" s="125">
        <f>DNSPNZSourceData!C100</f>
        <v>2013</v>
      </c>
      <c r="C144" s="124">
        <f>DNSPNZSourceData!D100</f>
        <v>2</v>
      </c>
      <c r="D144" s="103">
        <f>DNSPNZSourceData!E100</f>
        <v>10684.857</v>
      </c>
      <c r="E144" s="118">
        <f>DNSPNZSourceData!F100</f>
        <v>1.2421813017565195</v>
      </c>
      <c r="F144" s="117">
        <f>DNSPNZSourceData!G100</f>
        <v>112.05840000000001</v>
      </c>
      <c r="G144" s="103">
        <f>DNSPNZSourceData!H100</f>
        <v>120</v>
      </c>
      <c r="H144" s="103">
        <f>DNSPNZSourceData!I100</f>
        <v>36718</v>
      </c>
      <c r="I144" s="103">
        <f>DNSPNZSourceData!J100</f>
        <v>4812.0000000000009</v>
      </c>
      <c r="J144" s="118">
        <f>DNSPNZSourceData!L100</f>
        <v>0.17389858686616788</v>
      </c>
      <c r="K144" s="119" t="str">
        <f>DNSPNZSourceData!A100</f>
        <v>Mainpower</v>
      </c>
    </row>
    <row r="145" spans="1:11" s="120" customFormat="1">
      <c r="A145" s="124">
        <f>DNSPNZSourceData!B101</f>
        <v>2010</v>
      </c>
      <c r="B145" s="125">
        <f>DNSPNZSourceData!C101</f>
        <v>2014</v>
      </c>
      <c r="C145" s="124">
        <f>DNSPNZSourceData!D101</f>
        <v>2</v>
      </c>
      <c r="D145" s="103">
        <f>DNSPNZSourceData!E101</f>
        <v>11931</v>
      </c>
      <c r="E145" s="118">
        <f>DNSPNZSourceData!F101</f>
        <v>1.27237461042106</v>
      </c>
      <c r="F145" s="117">
        <f>DNSPNZSourceData!G101</f>
        <v>119.62320000000001</v>
      </c>
      <c r="G145" s="103">
        <f>DNSPNZSourceData!H101</f>
        <v>120</v>
      </c>
      <c r="H145" s="103">
        <f>DNSPNZSourceData!I101</f>
        <v>38300</v>
      </c>
      <c r="I145" s="103">
        <f>DNSPNZSourceData!J101</f>
        <v>4839.2</v>
      </c>
      <c r="J145" s="118">
        <f>DNSPNZSourceData!L101</f>
        <v>0.17783931228302197</v>
      </c>
      <c r="K145" s="119" t="str">
        <f>DNSPNZSourceData!A101</f>
        <v>MainPower</v>
      </c>
    </row>
    <row r="146" spans="1:11" s="120" customFormat="1" ht="14.25" customHeight="1">
      <c r="A146" s="124">
        <f>DNSPNZSourceData!B102</f>
        <v>2010</v>
      </c>
      <c r="B146" s="125">
        <f>DNSPNZSourceData!C102</f>
        <v>2015</v>
      </c>
      <c r="C146" s="124">
        <f>DNSPNZSourceData!D102</f>
        <v>2</v>
      </c>
      <c r="D146" s="103">
        <f>DNSPNZSourceData!E102</f>
        <v>12160.25</v>
      </c>
      <c r="E146" s="118">
        <f>DNSPNZSourceData!F102</f>
        <v>1.2816685951411126</v>
      </c>
      <c r="F146" s="117">
        <f>DNSPNZSourceData!G102</f>
        <v>130.36800000000002</v>
      </c>
      <c r="G146" s="103">
        <f>DNSPNZSourceData!H102</f>
        <v>130.36800000000002</v>
      </c>
      <c r="H146" s="128">
        <f>(H145+H147)/2</f>
        <v>37555.5</v>
      </c>
      <c r="I146" s="103">
        <f>DNSPNZSourceData!J102</f>
        <v>4899.8310000000001</v>
      </c>
      <c r="J146" s="118">
        <f>DNSPNZSourceData!L102</f>
        <v>0.18337836549872844</v>
      </c>
      <c r="K146" s="119" t="str">
        <f>DNSPNZSourceData!A102</f>
        <v>MainPower NZ</v>
      </c>
    </row>
    <row r="147" spans="1:11" s="120" customFormat="1" ht="14.25" customHeight="1">
      <c r="A147" s="126">
        <f>A146</f>
        <v>2010</v>
      </c>
      <c r="B147" s="127">
        <f>B146+1</f>
        <v>2016</v>
      </c>
      <c r="C147" s="126">
        <f>C146</f>
        <v>2</v>
      </c>
      <c r="D147" s="121">
        <f>DNSPNZSourceData!E103</f>
        <v>13638.53306</v>
      </c>
      <c r="E147" s="122">
        <f>DNSPNZSourceData!F103</f>
        <v>1.2867539916420168</v>
      </c>
      <c r="F147" s="117">
        <f>DNSPNZSourceData!G103</f>
        <v>134.67120000000003</v>
      </c>
      <c r="G147" s="121">
        <f>DNSPNZSourceData!H103</f>
        <v>134.67120000000003</v>
      </c>
      <c r="H147" s="121">
        <f>DNSPNZSourceData!I103</f>
        <v>36811</v>
      </c>
      <c r="I147" s="121">
        <f>DNSPNZSourceData!J103</f>
        <v>4959.4000000000005</v>
      </c>
      <c r="J147" s="122">
        <f>DNSPNZSourceData!L103</f>
        <v>0.18784530386740331</v>
      </c>
      <c r="K147" s="119" t="str">
        <f>DNSPNZSourceData!A103</f>
        <v>MainPower NZ</v>
      </c>
    </row>
    <row r="148" spans="1:11" s="120" customFormat="1" ht="14.25" customHeight="1">
      <c r="A148" s="126">
        <f>A147</f>
        <v>2010</v>
      </c>
      <c r="B148" s="127">
        <f>B147+1</f>
        <v>2017</v>
      </c>
      <c r="C148" s="126">
        <f>C147</f>
        <v>2</v>
      </c>
      <c r="D148" s="121">
        <f>DNSPNZSourceData!E104</f>
        <v>16196</v>
      </c>
      <c r="E148" s="122">
        <f>DNSPNZSourceData!F104</f>
        <v>1.3063682360796467</v>
      </c>
      <c r="F148" s="117">
        <f>DNSPNZSourceData!G104</f>
        <v>134.40000000000003</v>
      </c>
      <c r="G148" s="121">
        <f>DNSPNZSourceData!H104</f>
        <v>134.67120000000003</v>
      </c>
      <c r="H148" s="121">
        <f>DNSPNZSourceData!I104</f>
        <v>37442</v>
      </c>
      <c r="I148" s="121">
        <f>DNSPNZSourceData!J104</f>
        <v>4987.2000000000007</v>
      </c>
      <c r="J148" s="122">
        <f>DNSPNZSourceData!L104</f>
        <v>0.19213185755534165</v>
      </c>
      <c r="K148" s="119" t="str">
        <f>DNSPNZSourceData!A104</f>
        <v>MainPower NZ</v>
      </c>
    </row>
    <row r="149" spans="1:11" s="120" customFormat="1" ht="14.25" customHeight="1">
      <c r="A149" s="126">
        <f>A148</f>
        <v>2010</v>
      </c>
      <c r="B149" s="127">
        <f>B148+1</f>
        <v>2018</v>
      </c>
      <c r="C149" s="126">
        <f>C148</f>
        <v>2</v>
      </c>
      <c r="D149" s="121">
        <f>DNSPNZSourceData!E105</f>
        <v>14727.5</v>
      </c>
      <c r="E149" s="122">
        <f>DNSPNZSourceData!F105</f>
        <v>1.3404204496621166</v>
      </c>
      <c r="F149" s="117">
        <f>DNSPNZSourceData!G105</f>
        <v>135.60000000000005</v>
      </c>
      <c r="G149" s="121">
        <f>DNSPNZSourceData!H105</f>
        <v>135.60000000000005</v>
      </c>
      <c r="H149" s="121">
        <f>DNSPNZSourceData!I105</f>
        <v>38232</v>
      </c>
      <c r="I149" s="121">
        <f>DNSPNZSourceData!J105</f>
        <v>5019.7000000000007</v>
      </c>
      <c r="J149" s="122">
        <f>DNSPNZSourceData!L105</f>
        <v>0.19676474689722492</v>
      </c>
      <c r="K149" s="119" t="str">
        <f>DNSPNZSourceData!A105</f>
        <v>MainPower NZ</v>
      </c>
    </row>
    <row r="150" spans="1:11" s="120" customFormat="1" ht="14.25" customHeight="1">
      <c r="A150" s="126">
        <f>A149</f>
        <v>2010</v>
      </c>
      <c r="B150" s="127">
        <f>B149+1</f>
        <v>2019</v>
      </c>
      <c r="C150" s="126">
        <f>C149</f>
        <v>2</v>
      </c>
      <c r="D150" s="121">
        <f>DNSPNZSourceData!E106</f>
        <v>17167.000749999999</v>
      </c>
      <c r="E150" s="122">
        <f>DNSPNZSourceData!F106</f>
        <v>1.3740587734764929</v>
      </c>
      <c r="F150" s="117">
        <f>DNSPNZSourceData!G106</f>
        <v>140.40000000000006</v>
      </c>
      <c r="G150" s="121">
        <f>DNSPNZSourceData!H106</f>
        <v>140.40000000000006</v>
      </c>
      <c r="H150" s="121">
        <f>DNSPNZSourceData!I106</f>
        <v>39624</v>
      </c>
      <c r="I150" s="121">
        <f>DNSPNZSourceData!J106</f>
        <v>5021.3000000000011</v>
      </c>
      <c r="J150" s="122">
        <f>DNSPNZSourceData!L106</f>
        <v>0.19729950411248079</v>
      </c>
      <c r="K150" s="119" t="str">
        <f>DNSPNZSourceData!A106</f>
        <v>MainPower NZ</v>
      </c>
    </row>
    <row r="151" spans="1:11" s="120" customFormat="1" ht="14.25" customHeight="1">
      <c r="A151" s="126">
        <f>A150</f>
        <v>2010</v>
      </c>
      <c r="B151" s="127">
        <f>B150+1</f>
        <v>2020</v>
      </c>
      <c r="C151" s="126">
        <f>C150</f>
        <v>2</v>
      </c>
      <c r="D151" s="121">
        <f>DNSPNZSourceData!E107</f>
        <v>18627.521000000001</v>
      </c>
      <c r="E151" s="122">
        <f>DNSPNZSourceData!F107</f>
        <v>1.4000516345247649</v>
      </c>
      <c r="F151" s="117">
        <f>DNSPNZSourceData!G107</f>
        <v>138.48000000000008</v>
      </c>
      <c r="G151" s="121">
        <f>DNSPNZSourceData!H107</f>
        <v>140.40000000000006</v>
      </c>
      <c r="H151" s="121">
        <f>DNSPNZSourceData!I107</f>
        <v>40515</v>
      </c>
      <c r="I151" s="121">
        <f>DNSPNZSourceData!J107</f>
        <v>5038.8</v>
      </c>
      <c r="J151" s="122">
        <f>DNSPNZSourceData!L107</f>
        <v>0.20381836945304438</v>
      </c>
      <c r="K151" s="119" t="str">
        <f>DNSPNZSourceData!A107</f>
        <v>MainPower NZ</v>
      </c>
    </row>
    <row r="152" spans="1:11" s="120" customFormat="1" ht="14.25" customHeight="1">
      <c r="A152" s="124">
        <f>DNSPNZSourceData!B183</f>
        <v>2011</v>
      </c>
      <c r="B152" s="125">
        <f>DNSPNZSourceData!C183</f>
        <v>2006</v>
      </c>
      <c r="C152" s="124">
        <f>DNSPNZSourceData!D183</f>
        <v>2</v>
      </c>
      <c r="D152" s="103">
        <f>DNSPNZSourceData!E183</f>
        <v>7639.017445041356</v>
      </c>
      <c r="E152" s="118">
        <f>DNSPNZSourceData!F183</f>
        <v>1</v>
      </c>
      <c r="F152" s="117">
        <f>DNSPNZSourceData!G183</f>
        <v>134.84611949017963</v>
      </c>
      <c r="G152" s="103">
        <f>DNSPNZSourceData!H183</f>
        <v>134.84611949017963</v>
      </c>
      <c r="H152" s="103">
        <f>DNSPNZSourceData!I183</f>
        <v>31967</v>
      </c>
      <c r="I152" s="103">
        <f>DNSPNZSourceData!J183</f>
        <v>8541</v>
      </c>
      <c r="J152" s="118">
        <f>DNSPNZSourceData!L183</f>
        <v>3.009015337782461E-2</v>
      </c>
      <c r="K152" s="119" t="str">
        <f>DNSPNZSourceData!A183</f>
        <v>The Power Company</v>
      </c>
    </row>
    <row r="153" spans="1:11" s="120" customFormat="1">
      <c r="A153" s="124">
        <f>DNSPNZSourceData!B184</f>
        <v>2011</v>
      </c>
      <c r="B153" s="125">
        <f>DNSPNZSourceData!C184</f>
        <v>2007</v>
      </c>
      <c r="C153" s="124">
        <f>DNSPNZSourceData!D184</f>
        <v>2</v>
      </c>
      <c r="D153" s="103">
        <f>DNSPNZSourceData!E184</f>
        <v>8863.1106114083996</v>
      </c>
      <c r="E153" s="118">
        <f>DNSPNZSourceData!F184</f>
        <v>1.0438528231223547</v>
      </c>
      <c r="F153" s="117">
        <f>DNSPNZSourceData!G184</f>
        <v>134.73494033719237</v>
      </c>
      <c r="G153" s="103">
        <f>DNSPNZSourceData!H184</f>
        <v>134.84611949017963</v>
      </c>
      <c r="H153" s="103">
        <f>DNSPNZSourceData!I184</f>
        <v>32405.5</v>
      </c>
      <c r="I153" s="103">
        <f>DNSPNZSourceData!J184</f>
        <v>8545</v>
      </c>
      <c r="J153" s="118">
        <f>DNSPNZSourceData!L184</f>
        <v>2.9022820362785254E-2</v>
      </c>
      <c r="K153" s="119" t="str">
        <f>DNSPNZSourceData!A184</f>
        <v>The Power Company</v>
      </c>
    </row>
    <row r="154" spans="1:11" s="120" customFormat="1">
      <c r="A154" s="124">
        <f>DNSPNZSourceData!B185</f>
        <v>2011</v>
      </c>
      <c r="B154" s="125">
        <f>DNSPNZSourceData!C185</f>
        <v>2008</v>
      </c>
      <c r="C154" s="124">
        <f>DNSPNZSourceData!D185</f>
        <v>2</v>
      </c>
      <c r="D154" s="103">
        <f>DNSPNZSourceData!E185</f>
        <v>9014</v>
      </c>
      <c r="E154" s="118">
        <f>DNSPNZSourceData!F185</f>
        <v>1.0903851002750273</v>
      </c>
      <c r="F154" s="117">
        <f>DNSPNZSourceData!G185</f>
        <v>143.744</v>
      </c>
      <c r="G154" s="103">
        <f>DNSPNZSourceData!H185</f>
        <v>143.744</v>
      </c>
      <c r="H154" s="103">
        <f>DNSPNZSourceData!I185</f>
        <v>32783</v>
      </c>
      <c r="I154" s="103">
        <f>DNSPNZSourceData!J185</f>
        <v>8529.3621199999998</v>
      </c>
      <c r="J154" s="118">
        <f>DNSPNZSourceData!L185</f>
        <v>3.2338408912576458E-2</v>
      </c>
      <c r="K154" s="119" t="str">
        <f>DNSPNZSourceData!A185</f>
        <v>The Power Company</v>
      </c>
    </row>
    <row r="155" spans="1:11" s="120" customFormat="1">
      <c r="A155" s="124">
        <f>DNSPNZSourceData!B186</f>
        <v>2011</v>
      </c>
      <c r="B155" s="125">
        <f>DNSPNZSourceData!C186</f>
        <v>2009</v>
      </c>
      <c r="C155" s="124">
        <f>DNSPNZSourceData!D186</f>
        <v>2</v>
      </c>
      <c r="D155" s="103">
        <f>DNSPNZSourceData!E186</f>
        <v>10589.999999999998</v>
      </c>
      <c r="E155" s="118">
        <f>DNSPNZSourceData!F186</f>
        <v>1.1562469092885455</v>
      </c>
      <c r="F155" s="117">
        <f>DNSPNZSourceData!G186</f>
        <v>144.804</v>
      </c>
      <c r="G155" s="103">
        <f>DNSPNZSourceData!H186</f>
        <v>144.804</v>
      </c>
      <c r="H155" s="103">
        <f>DNSPNZSourceData!I186</f>
        <v>33345</v>
      </c>
      <c r="I155" s="103">
        <f>DNSPNZSourceData!J186</f>
        <v>8580.2140450000006</v>
      </c>
      <c r="J155" s="118">
        <f>DNSPNZSourceData!L186</f>
        <v>3.4746130858324058E-2</v>
      </c>
      <c r="K155" s="119" t="str">
        <f>DNSPNZSourceData!A186</f>
        <v>The Power Company</v>
      </c>
    </row>
    <row r="156" spans="1:11" s="120" customFormat="1">
      <c r="A156" s="124">
        <f>DNSPNZSourceData!B187</f>
        <v>2011</v>
      </c>
      <c r="B156" s="125">
        <f>DNSPNZSourceData!C187</f>
        <v>2010</v>
      </c>
      <c r="C156" s="124">
        <f>DNSPNZSourceData!D187</f>
        <v>2</v>
      </c>
      <c r="D156" s="103">
        <f>DNSPNZSourceData!E187</f>
        <v>11372</v>
      </c>
      <c r="E156" s="118">
        <f>DNSPNZSourceData!F187</f>
        <v>1.1601923412470114</v>
      </c>
      <c r="F156" s="117">
        <f>DNSPNZSourceData!G187</f>
        <v>145.38</v>
      </c>
      <c r="G156" s="103">
        <f>DNSPNZSourceData!H187</f>
        <v>145.38</v>
      </c>
      <c r="H156" s="103">
        <f>DNSPNZSourceData!I187</f>
        <v>33871</v>
      </c>
      <c r="I156" s="103">
        <f>DNSPNZSourceData!J187</f>
        <v>8603.1899599999997</v>
      </c>
      <c r="J156" s="118">
        <f>DNSPNZSourceData!L187</f>
        <v>3.6490001552865865E-2</v>
      </c>
      <c r="K156" s="119" t="str">
        <f>DNSPNZSourceData!A187</f>
        <v>The Power Company</v>
      </c>
    </row>
    <row r="157" spans="1:11" s="120" customFormat="1">
      <c r="A157" s="124">
        <f>DNSPNZSourceData!B188</f>
        <v>2011</v>
      </c>
      <c r="B157" s="125">
        <f>DNSPNZSourceData!C188</f>
        <v>2011</v>
      </c>
      <c r="C157" s="124">
        <f>DNSPNZSourceData!D188</f>
        <v>2</v>
      </c>
      <c r="D157" s="103">
        <f>DNSPNZSourceData!E188</f>
        <v>11319</v>
      </c>
      <c r="E157" s="118">
        <f>DNSPNZSourceData!F188</f>
        <v>1.1900846681215445</v>
      </c>
      <c r="F157" s="117">
        <f>DNSPNZSourceData!G188</f>
        <v>150.44399999999999</v>
      </c>
      <c r="G157" s="103">
        <f>DNSPNZSourceData!H188</f>
        <v>150.44399999999999</v>
      </c>
      <c r="H157" s="103">
        <f>DNSPNZSourceData!I188</f>
        <v>34240.5</v>
      </c>
      <c r="I157" s="103">
        <f>DNSPNZSourceData!J188</f>
        <v>8630.2946400000001</v>
      </c>
      <c r="J157" s="118">
        <f>DNSPNZSourceData!L188</f>
        <v>3.7534286314933968E-2</v>
      </c>
      <c r="K157" s="119" t="str">
        <f>DNSPNZSourceData!A188</f>
        <v>The Power Company</v>
      </c>
    </row>
    <row r="158" spans="1:11" s="120" customFormat="1">
      <c r="A158" s="124">
        <f>DNSPNZSourceData!B189</f>
        <v>2011</v>
      </c>
      <c r="B158" s="125">
        <f>DNSPNZSourceData!C189</f>
        <v>2012</v>
      </c>
      <c r="C158" s="124">
        <f>DNSPNZSourceData!D189</f>
        <v>2</v>
      </c>
      <c r="D158" s="103">
        <f>DNSPNZSourceData!E189</f>
        <v>12235.999999999998</v>
      </c>
      <c r="E158" s="118">
        <f>DNSPNZSourceData!F189</f>
        <v>1.2216652483575092</v>
      </c>
      <c r="F158" s="117">
        <f>DNSPNZSourceData!G189</f>
        <v>147.304</v>
      </c>
      <c r="G158" s="103">
        <f>DNSPNZSourceData!H189</f>
        <v>150.44399999999999</v>
      </c>
      <c r="H158" s="103">
        <f>DNSPNZSourceData!I189</f>
        <v>34495</v>
      </c>
      <c r="I158" s="103">
        <f>DNSPNZSourceData!J189</f>
        <v>8664.5160799999994</v>
      </c>
      <c r="J158" s="118">
        <f>DNSPNZSourceData!L189</f>
        <v>3.8436055392489961E-2</v>
      </c>
      <c r="K158" s="119" t="str">
        <f>DNSPNZSourceData!A189</f>
        <v>The Power Company</v>
      </c>
    </row>
    <row r="159" spans="1:11" s="120" customFormat="1">
      <c r="A159" s="124">
        <f>DNSPNZSourceData!B190</f>
        <v>2011</v>
      </c>
      <c r="B159" s="125">
        <f>DNSPNZSourceData!C190</f>
        <v>2013</v>
      </c>
      <c r="C159" s="124">
        <f>DNSPNZSourceData!D190</f>
        <v>2</v>
      </c>
      <c r="D159" s="103">
        <f>DNSPNZSourceData!E190</f>
        <v>13464.701999999999</v>
      </c>
      <c r="E159" s="118">
        <f>DNSPNZSourceData!F190</f>
        <v>1.2421813017565195</v>
      </c>
      <c r="F159" s="117">
        <f>DNSPNZSourceData!G190</f>
        <v>145.94830309847632</v>
      </c>
      <c r="G159" s="103">
        <f>DNSPNZSourceData!H190</f>
        <v>150.44399999999999</v>
      </c>
      <c r="H159" s="103">
        <f>DNSPNZSourceData!I190</f>
        <v>34578</v>
      </c>
      <c r="I159" s="103">
        <f>DNSPNZSourceData!J190</f>
        <v>8690.079380000001</v>
      </c>
      <c r="J159" s="118">
        <f>DNSPNZSourceData!L190</f>
        <v>3.9482338997920634E-2</v>
      </c>
      <c r="K159" s="119" t="str">
        <f>DNSPNZSourceData!A190</f>
        <v>The Power Company</v>
      </c>
    </row>
    <row r="160" spans="1:11" s="120" customFormat="1">
      <c r="A160" s="124">
        <f>DNSPNZSourceData!B191</f>
        <v>2011</v>
      </c>
      <c r="B160" s="125">
        <f>DNSPNZSourceData!C191</f>
        <v>2014</v>
      </c>
      <c r="C160" s="124">
        <f>DNSPNZSourceData!D191</f>
        <v>2</v>
      </c>
      <c r="D160" s="103">
        <f>DNSPNZSourceData!E191</f>
        <v>13497.526</v>
      </c>
      <c r="E160" s="118">
        <f>DNSPNZSourceData!F191</f>
        <v>1.27237461042106</v>
      </c>
      <c r="F160" s="117">
        <f>DNSPNZSourceData!G191</f>
        <v>147.33197469796792</v>
      </c>
      <c r="G160" s="103">
        <f>DNSPNZSourceData!H191</f>
        <v>150.44399999999999</v>
      </c>
      <c r="H160" s="103">
        <f>DNSPNZSourceData!I191</f>
        <v>34614.25</v>
      </c>
      <c r="I160" s="103">
        <f>DNSPNZSourceData!J191</f>
        <v>8808.8112799999981</v>
      </c>
      <c r="J160" s="118">
        <f>DNSPNZSourceData!L191</f>
        <v>3.9812008550602081E-2</v>
      </c>
      <c r="K160" s="119" t="str">
        <f>DNSPNZSourceData!A191</f>
        <v>The Power Company</v>
      </c>
    </row>
    <row r="161" spans="1:11" s="120" customFormat="1">
      <c r="A161" s="124">
        <f>DNSPNZSourceData!B192</f>
        <v>2011</v>
      </c>
      <c r="B161" s="125">
        <f>DNSPNZSourceData!C192</f>
        <v>2015</v>
      </c>
      <c r="C161" s="124">
        <f>DNSPNZSourceData!D192</f>
        <v>2</v>
      </c>
      <c r="D161" s="103">
        <f>DNSPNZSourceData!E192</f>
        <v>14413.540999999999</v>
      </c>
      <c r="E161" s="118">
        <f>DNSPNZSourceData!F192</f>
        <v>1.2816685951411126</v>
      </c>
      <c r="F161" s="117">
        <f>DNSPNZSourceData!G192</f>
        <v>145.49117501468157</v>
      </c>
      <c r="G161" s="103">
        <f>DNSPNZSourceData!H192</f>
        <v>150.44399999999999</v>
      </c>
      <c r="H161" s="103">
        <f>DNSPNZSourceData!I192</f>
        <v>35090</v>
      </c>
      <c r="I161" s="103">
        <f>DNSPNZSourceData!J192</f>
        <v>8808.497374999999</v>
      </c>
      <c r="J161" s="118">
        <f>DNSPNZSourceData!L192</f>
        <v>4.0906718213105001E-2</v>
      </c>
      <c r="K161" s="119" t="str">
        <f>DNSPNZSourceData!A192</f>
        <v>The Power Company</v>
      </c>
    </row>
    <row r="162" spans="1:11" s="120" customFormat="1">
      <c r="A162" s="126">
        <f>A161</f>
        <v>2011</v>
      </c>
      <c r="B162" s="127">
        <f>B161+1</f>
        <v>2016</v>
      </c>
      <c r="C162" s="126">
        <f>C161</f>
        <v>2</v>
      </c>
      <c r="D162" s="121">
        <f>DNSPNZSourceData!E193</f>
        <v>15183.84</v>
      </c>
      <c r="E162" s="122">
        <f>DNSPNZSourceData!F193</f>
        <v>1.2867539916420168</v>
      </c>
      <c r="F162" s="117">
        <f>DNSPNZSourceData!G193</f>
        <v>147.62992675032501</v>
      </c>
      <c r="G162" s="121">
        <f>DNSPNZSourceData!H193</f>
        <v>150.44399999999999</v>
      </c>
      <c r="H162" s="121">
        <f>DNSPNZSourceData!I193</f>
        <v>35474</v>
      </c>
      <c r="I162" s="121">
        <f>DNSPNZSourceData!J193</f>
        <v>8844.8352999999988</v>
      </c>
      <c r="J162" s="122">
        <f>DNSPNZSourceData!L193</f>
        <v>4.1903638386573468E-2</v>
      </c>
      <c r="K162" s="119" t="str">
        <f>DNSPNZSourceData!A193</f>
        <v>The Power Company</v>
      </c>
    </row>
    <row r="163" spans="1:11" s="120" customFormat="1">
      <c r="A163" s="126">
        <f>A162</f>
        <v>2011</v>
      </c>
      <c r="B163" s="127">
        <f>B162+1</f>
        <v>2017</v>
      </c>
      <c r="C163" s="126">
        <f>C162</f>
        <v>2</v>
      </c>
      <c r="D163" s="121">
        <f>DNSPNZSourceData!E194</f>
        <v>14692.91</v>
      </c>
      <c r="E163" s="122">
        <f>DNSPNZSourceData!F194</f>
        <v>1.3063682360796467</v>
      </c>
      <c r="F163" s="117">
        <f>DNSPNZSourceData!G194</f>
        <v>147.12595180693319</v>
      </c>
      <c r="G163" s="121">
        <f>DNSPNZSourceData!H194</f>
        <v>150.44399999999999</v>
      </c>
      <c r="H163" s="121">
        <f>DNSPNZSourceData!I194</f>
        <v>35507</v>
      </c>
      <c r="I163" s="121">
        <f>DNSPNZSourceData!J194</f>
        <v>8882.7531100001288</v>
      </c>
      <c r="J163" s="122">
        <f>DNSPNZSourceData!L194</f>
        <v>4.2884296713273665E-2</v>
      </c>
      <c r="K163" s="119" t="str">
        <f>DNSPNZSourceData!A194</f>
        <v>The Power Company</v>
      </c>
    </row>
    <row r="164" spans="1:11" s="120" customFormat="1">
      <c r="A164" s="126">
        <f>A163</f>
        <v>2011</v>
      </c>
      <c r="B164" s="127">
        <f>B163+1</f>
        <v>2018</v>
      </c>
      <c r="C164" s="126">
        <f>C163</f>
        <v>2</v>
      </c>
      <c r="D164" s="121">
        <f>DNSPNZSourceData!E195</f>
        <v>14896.81</v>
      </c>
      <c r="E164" s="122">
        <f>DNSPNZSourceData!F195</f>
        <v>1.3404204496621166</v>
      </c>
      <c r="F164" s="117">
        <f>DNSPNZSourceData!G195</f>
        <v>154.5133163753232</v>
      </c>
      <c r="G164" s="121">
        <f>DNSPNZSourceData!H195</f>
        <v>154.5133163753232</v>
      </c>
      <c r="H164" s="121">
        <f>DNSPNZSourceData!I195</f>
        <v>35698</v>
      </c>
      <c r="I164" s="121">
        <f>DNSPNZSourceData!J195</f>
        <v>8826.1380949996983</v>
      </c>
      <c r="J164" s="122">
        <f>DNSPNZSourceData!L195</f>
        <v>4.1877278150610313E-2</v>
      </c>
      <c r="K164" s="119" t="str">
        <f>DNSPNZSourceData!A195</f>
        <v>The Power Company</v>
      </c>
    </row>
    <row r="165" spans="1:11" s="120" customFormat="1">
      <c r="A165" s="126">
        <f>A164</f>
        <v>2011</v>
      </c>
      <c r="B165" s="127">
        <f>B164+1</f>
        <v>2019</v>
      </c>
      <c r="C165" s="126">
        <f>C164</f>
        <v>2</v>
      </c>
      <c r="D165" s="121">
        <f>DNSPNZSourceData!E196</f>
        <v>16197.53</v>
      </c>
      <c r="E165" s="122">
        <f>DNSPNZSourceData!F196</f>
        <v>1.3740587734764929</v>
      </c>
      <c r="F165" s="117">
        <f>DNSPNZSourceData!G196</f>
        <v>158.04751060260321</v>
      </c>
      <c r="G165" s="121">
        <f>DNSPNZSourceData!H196</f>
        <v>158.04751060260321</v>
      </c>
      <c r="H165" s="121">
        <f>DNSPNZSourceData!I196</f>
        <v>35958</v>
      </c>
      <c r="I165" s="121">
        <f>DNSPNZSourceData!J196</f>
        <v>8852.9111926390706</v>
      </c>
      <c r="J165" s="122">
        <f>DNSPNZSourceData!L196</f>
        <v>4.4239802193615826E-2</v>
      </c>
      <c r="K165" s="119" t="str">
        <f>DNSPNZSourceData!A196</f>
        <v>The Power Company</v>
      </c>
    </row>
    <row r="166" spans="1:11" s="120" customFormat="1">
      <c r="A166" s="126">
        <f>A165</f>
        <v>2011</v>
      </c>
      <c r="B166" s="127">
        <f>B165+1</f>
        <v>2020</v>
      </c>
      <c r="C166" s="126">
        <f>C165</f>
        <v>2</v>
      </c>
      <c r="D166" s="121">
        <f>DNSPNZSourceData!E197</f>
        <v>17279.3</v>
      </c>
      <c r="E166" s="122">
        <f>DNSPNZSourceData!F197</f>
        <v>1.4000516345247649</v>
      </c>
      <c r="F166" s="117">
        <f>DNSPNZSourceData!G197</f>
        <v>159.48454931821828</v>
      </c>
      <c r="G166" s="121">
        <f>DNSPNZSourceData!H197</f>
        <v>159.48454931821828</v>
      </c>
      <c r="H166" s="121">
        <f>DNSPNZSourceData!I197</f>
        <v>36282</v>
      </c>
      <c r="I166" s="121">
        <f>DNSPNZSourceData!J197</f>
        <v>8839.3990249999624</v>
      </c>
      <c r="J166" s="122">
        <f>DNSPNZSourceData!L197</f>
        <v>4.3280290766147596E-2</v>
      </c>
      <c r="K166" s="119" t="str">
        <f>DNSPNZSourceData!A197</f>
        <v>The Power Company</v>
      </c>
    </row>
    <row r="167" spans="1:11" s="120" customFormat="1">
      <c r="A167" s="124">
        <f>DNSPNZSourceData!B198</f>
        <v>2012</v>
      </c>
      <c r="B167" s="125">
        <f>DNSPNZSourceData!C198</f>
        <v>2006</v>
      </c>
      <c r="C167" s="124">
        <f>DNSPNZSourceData!D198</f>
        <v>2</v>
      </c>
      <c r="D167" s="103">
        <f>DNSPNZSourceData!E198</f>
        <v>8452.1142873757581</v>
      </c>
      <c r="E167" s="118">
        <f>DNSPNZSourceData!F198</f>
        <v>1</v>
      </c>
      <c r="F167" s="117">
        <f>DNSPNZSourceData!G198</f>
        <v>53.081575425403095</v>
      </c>
      <c r="G167" s="103">
        <f>DNSPNZSourceData!H198</f>
        <v>53.081575425403095</v>
      </c>
      <c r="H167" s="103">
        <f>DNSPNZSourceData!I198</f>
        <v>27656</v>
      </c>
      <c r="I167" s="103">
        <f>DNSPNZSourceData!J198</f>
        <v>3987</v>
      </c>
      <c r="J167" s="118">
        <f>DNSPNZSourceData!L198</f>
        <v>0.18058690744920994</v>
      </c>
      <c r="K167" s="119" t="str">
        <f>DNSPNZSourceData!A198</f>
        <v>Top Energy</v>
      </c>
    </row>
    <row r="168" spans="1:11" s="120" customFormat="1">
      <c r="A168" s="124">
        <f>DNSPNZSourceData!B199</f>
        <v>2012</v>
      </c>
      <c r="B168" s="125">
        <f>DNSPNZSourceData!C199</f>
        <v>2007</v>
      </c>
      <c r="C168" s="124">
        <f>DNSPNZSourceData!D199</f>
        <v>2</v>
      </c>
      <c r="D168" s="103">
        <f>DNSPNZSourceData!E199</f>
        <v>8277.2822115041545</v>
      </c>
      <c r="E168" s="118">
        <f>DNSPNZSourceData!F199</f>
        <v>1.0438528231223547</v>
      </c>
      <c r="F168" s="117">
        <f>DNSPNZSourceData!G199</f>
        <v>57.58001402077624</v>
      </c>
      <c r="G168" s="103">
        <f>DNSPNZSourceData!H199</f>
        <v>57.58001402077624</v>
      </c>
      <c r="H168" s="103">
        <f>DNSPNZSourceData!I199</f>
        <v>28779.5</v>
      </c>
      <c r="I168" s="103">
        <f>DNSPNZSourceData!J199</f>
        <v>4060</v>
      </c>
      <c r="J168" s="118">
        <f>DNSPNZSourceData!L199</f>
        <v>0.18275862068965518</v>
      </c>
      <c r="K168" s="119" t="str">
        <f>DNSPNZSourceData!A199</f>
        <v>Top Energy</v>
      </c>
    </row>
    <row r="169" spans="1:11" s="120" customFormat="1">
      <c r="A169" s="124">
        <f>DNSPNZSourceData!B200</f>
        <v>2012</v>
      </c>
      <c r="B169" s="125">
        <f>DNSPNZSourceData!C200</f>
        <v>2008</v>
      </c>
      <c r="C169" s="124">
        <f>DNSPNZSourceData!D200</f>
        <v>2</v>
      </c>
      <c r="D169" s="103">
        <f>DNSPNZSourceData!E200</f>
        <v>8645.9999999999982</v>
      </c>
      <c r="E169" s="118">
        <f>DNSPNZSourceData!F200</f>
        <v>1.0903851002750273</v>
      </c>
      <c r="F169" s="117">
        <f>DNSPNZSourceData!G200</f>
        <v>56.468000000000004</v>
      </c>
      <c r="G169" s="103">
        <f>DNSPNZSourceData!H200</f>
        <v>57.58001402077624</v>
      </c>
      <c r="H169" s="103">
        <f>DNSPNZSourceData!I200</f>
        <v>29523</v>
      </c>
      <c r="I169" s="103">
        <f>DNSPNZSourceData!J200</f>
        <v>4095.8130000000001</v>
      </c>
      <c r="J169" s="118">
        <f>DNSPNZSourceData!L200</f>
        <v>0.19307839493648757</v>
      </c>
      <c r="K169" s="119" t="str">
        <f>DNSPNZSourceData!A200</f>
        <v>Top Energy</v>
      </c>
    </row>
    <row r="170" spans="1:11" s="120" customFormat="1">
      <c r="A170" s="124">
        <f>DNSPNZSourceData!B201</f>
        <v>2012</v>
      </c>
      <c r="B170" s="125">
        <f>DNSPNZSourceData!C201</f>
        <v>2009</v>
      </c>
      <c r="C170" s="124">
        <f>DNSPNZSourceData!D201</f>
        <v>2</v>
      </c>
      <c r="D170" s="103">
        <f>DNSPNZSourceData!E201</f>
        <v>9897</v>
      </c>
      <c r="E170" s="118">
        <f>DNSPNZSourceData!F201</f>
        <v>1.1562469092885455</v>
      </c>
      <c r="F170" s="117">
        <f>DNSPNZSourceData!G201</f>
        <v>58.222000000000001</v>
      </c>
      <c r="G170" s="103">
        <f>DNSPNZSourceData!H201</f>
        <v>58.222000000000001</v>
      </c>
      <c r="H170" s="103">
        <f>DNSPNZSourceData!I201</f>
        <v>30213</v>
      </c>
      <c r="I170" s="103">
        <f>DNSPNZSourceData!J201</f>
        <v>3837.2150000000001</v>
      </c>
      <c r="J170" s="118">
        <f>DNSPNZSourceData!L201</f>
        <v>0.20365525517856051</v>
      </c>
      <c r="K170" s="119" t="str">
        <f>DNSPNZSourceData!A201</f>
        <v>Top Energy</v>
      </c>
    </row>
    <row r="171" spans="1:11" s="120" customFormat="1">
      <c r="A171" s="124">
        <f>DNSPNZSourceData!B202</f>
        <v>2012</v>
      </c>
      <c r="B171" s="125">
        <f>DNSPNZSourceData!C202</f>
        <v>2010</v>
      </c>
      <c r="C171" s="124">
        <f>DNSPNZSourceData!D202</f>
        <v>2</v>
      </c>
      <c r="D171" s="103">
        <f>DNSPNZSourceData!E202</f>
        <v>11414</v>
      </c>
      <c r="E171" s="118">
        <f>DNSPNZSourceData!F202</f>
        <v>1.1601923412470114</v>
      </c>
      <c r="F171" s="117">
        <f>DNSPNZSourceData!G202</f>
        <v>59</v>
      </c>
      <c r="G171" s="103">
        <f>DNSPNZSourceData!H202</f>
        <v>59</v>
      </c>
      <c r="H171" s="103">
        <f>DNSPNZSourceData!I202</f>
        <v>30638.5</v>
      </c>
      <c r="I171" s="103">
        <f>DNSPNZSourceData!J202</f>
        <v>3846.14</v>
      </c>
      <c r="J171" s="118">
        <f>DNSPNZSourceData!L202</f>
        <v>0.20465713676569236</v>
      </c>
      <c r="K171" s="119" t="str">
        <f>DNSPNZSourceData!A202</f>
        <v>Top Energy</v>
      </c>
    </row>
    <row r="172" spans="1:11" s="120" customFormat="1">
      <c r="A172" s="124">
        <f>DNSPNZSourceData!B203</f>
        <v>2012</v>
      </c>
      <c r="B172" s="125">
        <f>DNSPNZSourceData!C203</f>
        <v>2011</v>
      </c>
      <c r="C172" s="124">
        <f>DNSPNZSourceData!D203</f>
        <v>2</v>
      </c>
      <c r="D172" s="103">
        <f>DNSPNZSourceData!E203</f>
        <v>12645.000000000002</v>
      </c>
      <c r="E172" s="118">
        <f>DNSPNZSourceData!F203</f>
        <v>1.1900846681215445</v>
      </c>
      <c r="F172" s="117">
        <f>DNSPNZSourceData!G203</f>
        <v>50</v>
      </c>
      <c r="G172" s="103">
        <f>DNSPNZSourceData!H203</f>
        <v>59</v>
      </c>
      <c r="H172" s="103">
        <f>DNSPNZSourceData!I203</f>
        <v>30913</v>
      </c>
      <c r="I172" s="103">
        <f>DNSPNZSourceData!J203</f>
        <v>3849</v>
      </c>
      <c r="J172" s="118">
        <f>DNSPNZSourceData!L203</f>
        <v>0.2073265783320343</v>
      </c>
      <c r="K172" s="119" t="str">
        <f>DNSPNZSourceData!A203</f>
        <v>Top Energy</v>
      </c>
    </row>
    <row r="173" spans="1:11" s="120" customFormat="1">
      <c r="A173" s="124">
        <f>DNSPNZSourceData!B204</f>
        <v>2012</v>
      </c>
      <c r="B173" s="125">
        <f>DNSPNZSourceData!C204</f>
        <v>2012</v>
      </c>
      <c r="C173" s="124">
        <f>DNSPNZSourceData!D204</f>
        <v>2</v>
      </c>
      <c r="D173" s="103">
        <f>DNSPNZSourceData!E204</f>
        <v>14771.960000000001</v>
      </c>
      <c r="E173" s="118">
        <f>DNSPNZSourceData!F204</f>
        <v>1.2216652483575092</v>
      </c>
      <c r="F173" s="117">
        <f>DNSPNZSourceData!G204</f>
        <v>45.7</v>
      </c>
      <c r="G173" s="103">
        <f>DNSPNZSourceData!H204</f>
        <v>59</v>
      </c>
      <c r="H173" s="103">
        <f>DNSPNZSourceData!I204</f>
        <v>31109.5</v>
      </c>
      <c r="I173" s="103">
        <f>DNSPNZSourceData!J204</f>
        <v>3857.9</v>
      </c>
      <c r="J173" s="118">
        <f>DNSPNZSourceData!L204</f>
        <v>0.20819098473262654</v>
      </c>
      <c r="K173" s="119" t="str">
        <f>DNSPNZSourceData!A204</f>
        <v>Top Energy</v>
      </c>
    </row>
    <row r="174" spans="1:11" s="120" customFormat="1">
      <c r="A174" s="124">
        <f>DNSPNZSourceData!B205</f>
        <v>2012</v>
      </c>
      <c r="B174" s="125">
        <f>DNSPNZSourceData!C205</f>
        <v>2013</v>
      </c>
      <c r="C174" s="124">
        <f>DNSPNZSourceData!D205</f>
        <v>2</v>
      </c>
      <c r="D174" s="103">
        <f>DNSPNZSourceData!E205</f>
        <v>12763.15617465926</v>
      </c>
      <c r="E174" s="118">
        <f>DNSPNZSourceData!F205</f>
        <v>1.2421813017565195</v>
      </c>
      <c r="F174" s="117">
        <f>DNSPNZSourceData!G205</f>
        <v>50.309153189507995</v>
      </c>
      <c r="G174" s="103">
        <f>DNSPNZSourceData!H205</f>
        <v>59</v>
      </c>
      <c r="H174" s="103">
        <f>DNSPNZSourceData!I205</f>
        <v>30606</v>
      </c>
      <c r="I174" s="103">
        <f>DNSPNZSourceData!J205</f>
        <v>3922.54</v>
      </c>
      <c r="J174" s="118">
        <f>DNSPNZSourceData!L205</f>
        <v>0.20606800695467731</v>
      </c>
      <c r="K174" s="119" t="str">
        <f>DNSPNZSourceData!A205</f>
        <v>Top Energy</v>
      </c>
    </row>
    <row r="175" spans="1:11" s="120" customFormat="1">
      <c r="A175" s="124">
        <f>DNSPNZSourceData!B206</f>
        <v>2012</v>
      </c>
      <c r="B175" s="125">
        <f>DNSPNZSourceData!C206</f>
        <v>2014</v>
      </c>
      <c r="C175" s="124">
        <f>DNSPNZSourceData!D206</f>
        <v>2</v>
      </c>
      <c r="D175" s="103">
        <f>DNSPNZSourceData!E206</f>
        <v>12617.3259424278</v>
      </c>
      <c r="E175" s="118">
        <f>DNSPNZSourceData!F206</f>
        <v>1.27237461042106</v>
      </c>
      <c r="F175" s="117">
        <f>DNSPNZSourceData!G206</f>
        <v>49.650783796368152</v>
      </c>
      <c r="G175" s="103">
        <f>DNSPNZSourceData!H206</f>
        <v>59</v>
      </c>
      <c r="H175" s="103">
        <f>DNSPNZSourceData!I206</f>
        <v>30668</v>
      </c>
      <c r="I175" s="103">
        <f>DNSPNZSourceData!J206</f>
        <v>3955.3419600000002</v>
      </c>
      <c r="J175" s="118">
        <f>DNSPNZSourceData!L206</f>
        <v>0.21186844487145173</v>
      </c>
      <c r="K175" s="119" t="str">
        <f>DNSPNZSourceData!A206</f>
        <v>Top Energy</v>
      </c>
    </row>
    <row r="176" spans="1:11" s="120" customFormat="1">
      <c r="A176" s="124">
        <f>DNSPNZSourceData!B207</f>
        <v>2012</v>
      </c>
      <c r="B176" s="125">
        <f>DNSPNZSourceData!C207</f>
        <v>2015</v>
      </c>
      <c r="C176" s="124">
        <f>DNSPNZSourceData!D207</f>
        <v>2</v>
      </c>
      <c r="D176" s="103">
        <f>DNSPNZSourceData!E207</f>
        <v>13032.385186707919</v>
      </c>
      <c r="E176" s="118">
        <f>DNSPNZSourceData!F207</f>
        <v>1.2816685951411126</v>
      </c>
      <c r="F176" s="117">
        <f>DNSPNZSourceData!G207</f>
        <v>48.941486884991463</v>
      </c>
      <c r="G176" s="103">
        <f>DNSPNZSourceData!H207</f>
        <v>59</v>
      </c>
      <c r="H176" s="103">
        <f>DNSPNZSourceData!I207</f>
        <v>30771</v>
      </c>
      <c r="I176" s="103">
        <f>DNSPNZSourceData!J207</f>
        <v>3979.72</v>
      </c>
      <c r="J176" s="118">
        <f>DNSPNZSourceData!L207</f>
        <v>0.21425125385705529</v>
      </c>
      <c r="K176" s="119" t="str">
        <f>DNSPNZSourceData!A207</f>
        <v>Top Energy</v>
      </c>
    </row>
    <row r="177" spans="1:11" s="120" customFormat="1">
      <c r="A177" s="126">
        <f>A176</f>
        <v>2012</v>
      </c>
      <c r="B177" s="127">
        <f>B176+1</f>
        <v>2016</v>
      </c>
      <c r="C177" s="126">
        <f>C176</f>
        <v>2</v>
      </c>
      <c r="D177" s="121">
        <f>DNSPNZSourceData!E208</f>
        <v>14445.111881808451</v>
      </c>
      <c r="E177" s="122">
        <f>DNSPNZSourceData!F208</f>
        <v>1.2867539916420168</v>
      </c>
      <c r="F177" s="117">
        <f>DNSPNZSourceData!G208</f>
        <v>49.274856433338506</v>
      </c>
      <c r="G177" s="121">
        <f>DNSPNZSourceData!H208</f>
        <v>59</v>
      </c>
      <c r="H177" s="121">
        <f>DNSPNZSourceData!I208</f>
        <v>31025</v>
      </c>
      <c r="I177" s="121">
        <f>DNSPNZSourceData!J208</f>
        <v>4016.1509999999998</v>
      </c>
      <c r="J177" s="122">
        <f>DNSPNZSourceData!L208</f>
        <v>0.21466324348860388</v>
      </c>
      <c r="K177" s="119" t="str">
        <f>DNSPNZSourceData!A208</f>
        <v>Top Energy</v>
      </c>
    </row>
    <row r="178" spans="1:11" s="120" customFormat="1">
      <c r="A178" s="126">
        <f>A177</f>
        <v>2012</v>
      </c>
      <c r="B178" s="127">
        <f>B177+1</f>
        <v>2017</v>
      </c>
      <c r="C178" s="126">
        <f>C177</f>
        <v>2</v>
      </c>
      <c r="D178" s="121">
        <f>DNSPNZSourceData!E209</f>
        <v>14224.99520716896</v>
      </c>
      <c r="E178" s="122">
        <f>DNSPNZSourceData!F209</f>
        <v>1.3063682360796467</v>
      </c>
      <c r="F178" s="117">
        <f>DNSPNZSourceData!G209</f>
        <v>48.730556169486263</v>
      </c>
      <c r="G178" s="121">
        <f>DNSPNZSourceData!H209</f>
        <v>59</v>
      </c>
      <c r="H178" s="121">
        <f>DNSPNZSourceData!I209</f>
        <v>31365</v>
      </c>
      <c r="I178" s="121">
        <f>DNSPNZSourceData!J209</f>
        <v>4030.006200000003</v>
      </c>
      <c r="J178" s="122">
        <f>DNSPNZSourceData!L209</f>
        <v>0.21645192506155433</v>
      </c>
      <c r="K178" s="119" t="str">
        <f>DNSPNZSourceData!A209</f>
        <v>Top Energy</v>
      </c>
    </row>
    <row r="179" spans="1:11" s="120" customFormat="1">
      <c r="A179" s="126">
        <f>A178</f>
        <v>2012</v>
      </c>
      <c r="B179" s="127">
        <f>B178+1</f>
        <v>2018</v>
      </c>
      <c r="C179" s="126">
        <f>C178</f>
        <v>2</v>
      </c>
      <c r="D179" s="121">
        <f>DNSPNZSourceData!E210</f>
        <v>16011.85701212451</v>
      </c>
      <c r="E179" s="122">
        <f>DNSPNZSourceData!F210</f>
        <v>1.3404204496621166</v>
      </c>
      <c r="F179" s="117">
        <f>DNSPNZSourceData!G210</f>
        <v>49.821168583158979</v>
      </c>
      <c r="G179" s="121">
        <f>DNSPNZSourceData!H210</f>
        <v>59</v>
      </c>
      <c r="H179" s="121">
        <f>DNSPNZSourceData!I210</f>
        <v>31641</v>
      </c>
      <c r="I179" s="121">
        <f>DNSPNZSourceData!J210</f>
        <v>4051.24</v>
      </c>
      <c r="J179" s="122">
        <f>DNSPNZSourceData!L210</f>
        <v>0.2168225037272539</v>
      </c>
      <c r="K179" s="119" t="str">
        <f>DNSPNZSourceData!A210</f>
        <v>Top Energy</v>
      </c>
    </row>
    <row r="180" spans="1:11" s="120" customFormat="1">
      <c r="A180" s="126">
        <f>A179</f>
        <v>2012</v>
      </c>
      <c r="B180" s="127">
        <f>B179+1</f>
        <v>2019</v>
      </c>
      <c r="C180" s="126">
        <f>C179</f>
        <v>2</v>
      </c>
      <c r="D180" s="121">
        <f>DNSPNZSourceData!E211</f>
        <v>15409.336187160279</v>
      </c>
      <c r="E180" s="122">
        <f>DNSPNZSourceData!F211</f>
        <v>1.3740587734764929</v>
      </c>
      <c r="F180" s="117">
        <f>DNSPNZSourceData!G211</f>
        <v>50.263715629365194</v>
      </c>
      <c r="G180" s="121">
        <f>DNSPNZSourceData!H211</f>
        <v>59</v>
      </c>
      <c r="H180" s="121">
        <f>DNSPNZSourceData!I211</f>
        <v>32156</v>
      </c>
      <c r="I180" s="121">
        <f>DNSPNZSourceData!J211</f>
        <v>4061.91</v>
      </c>
      <c r="J180" s="122">
        <f>DNSPNZSourceData!L211</f>
        <v>0.22058095821916293</v>
      </c>
      <c r="K180" s="119" t="str">
        <f>DNSPNZSourceData!A211</f>
        <v>Top Energy</v>
      </c>
    </row>
    <row r="181" spans="1:11" s="120" customFormat="1">
      <c r="A181" s="126">
        <f>A180</f>
        <v>2012</v>
      </c>
      <c r="B181" s="127">
        <f>B180+1</f>
        <v>2020</v>
      </c>
      <c r="C181" s="126">
        <f>C180</f>
        <v>2</v>
      </c>
      <c r="D181" s="121">
        <f>DNSPNZSourceData!E212</f>
        <v>19109.370495048741</v>
      </c>
      <c r="E181" s="122">
        <f>DNSPNZSourceData!F212</f>
        <v>1.4000516345247649</v>
      </c>
      <c r="F181" s="117">
        <f>DNSPNZSourceData!G212</f>
        <v>87.952817010709296</v>
      </c>
      <c r="G181" s="121">
        <f>DNSPNZSourceData!H212</f>
        <v>87.952817010709296</v>
      </c>
      <c r="H181" s="121">
        <f>DNSPNZSourceData!I212</f>
        <v>32537</v>
      </c>
      <c r="I181" s="121">
        <f>DNSPNZSourceData!J212</f>
        <v>4060.64</v>
      </c>
      <c r="J181" s="122">
        <f>DNSPNZSourceData!L212</f>
        <v>0.2232332834233027</v>
      </c>
      <c r="K181" s="119" t="str">
        <f>DNSPNZSourceData!A212</f>
        <v>Top Energy</v>
      </c>
    </row>
    <row r="182" spans="1:11" s="120" customFormat="1">
      <c r="A182" s="124">
        <f>DNSPNZSourceData!B3</f>
        <v>2013</v>
      </c>
      <c r="B182" s="125">
        <f>DNSPNZSourceData!C3</f>
        <v>2006</v>
      </c>
      <c r="C182" s="124">
        <f>DNSPNZSourceData!D3</f>
        <v>2</v>
      </c>
      <c r="D182" s="103">
        <f>DNSPNZSourceData!E3</f>
        <v>4786.6087899503555</v>
      </c>
      <c r="E182" s="118">
        <f>DNSPNZSourceData!F3</f>
        <v>1</v>
      </c>
      <c r="F182" s="117">
        <f>DNSPNZSourceData!G3</f>
        <v>117.74059117697104</v>
      </c>
      <c r="G182" s="103">
        <f>F182</f>
        <v>117.74059117697104</v>
      </c>
      <c r="H182" s="103">
        <f>DNSPNZSourceData!I3</f>
        <v>28697</v>
      </c>
      <c r="I182" s="103">
        <f>DNSPNZSourceData!J3</f>
        <v>3815.5</v>
      </c>
      <c r="J182" s="118">
        <f>DNSPNZSourceData!L3</f>
        <v>0.13615515659808675</v>
      </c>
      <c r="K182" s="119" t="str">
        <f>DNSPNZSourceData!A3</f>
        <v>Alpine Energy</v>
      </c>
    </row>
    <row r="183" spans="1:11" s="120" customFormat="1">
      <c r="A183" s="124">
        <f>DNSPNZSourceData!B4</f>
        <v>2013</v>
      </c>
      <c r="B183" s="125">
        <f>DNSPNZSourceData!C4</f>
        <v>2007</v>
      </c>
      <c r="C183" s="124">
        <f>DNSPNZSourceData!D4</f>
        <v>2</v>
      </c>
      <c r="D183" s="103">
        <f>DNSPNZSourceData!E4</f>
        <v>7605.637605410825</v>
      </c>
      <c r="E183" s="118">
        <f>DNSPNZSourceData!F4</f>
        <v>1.0438528231223547</v>
      </c>
      <c r="F183" s="117">
        <f>DNSPNZSourceData!G4</f>
        <v>119.85006626552615</v>
      </c>
      <c r="G183" s="103">
        <f>DNSPNZSourceData!H4</f>
        <v>119.85006626552615</v>
      </c>
      <c r="H183" s="103">
        <f>DNSPNZSourceData!I4</f>
        <v>29265</v>
      </c>
      <c r="I183" s="103">
        <f>DNSPNZSourceData!J4</f>
        <v>3840</v>
      </c>
      <c r="J183" s="118">
        <f>DNSPNZSourceData!L4</f>
        <v>0.14374999999999999</v>
      </c>
      <c r="K183" s="119" t="str">
        <f>DNSPNZSourceData!A4</f>
        <v>Alpine Energy</v>
      </c>
    </row>
    <row r="184" spans="1:11" s="120" customFormat="1">
      <c r="A184" s="124">
        <f>DNSPNZSourceData!B5</f>
        <v>2013</v>
      </c>
      <c r="B184" s="125">
        <f>DNSPNZSourceData!C5</f>
        <v>2008</v>
      </c>
      <c r="C184" s="124">
        <f>DNSPNZSourceData!D5</f>
        <v>2</v>
      </c>
      <c r="D184" s="103">
        <f>DNSPNZSourceData!E5</f>
        <v>7647.0000000000027</v>
      </c>
      <c r="E184" s="118">
        <f>DNSPNZSourceData!F5</f>
        <v>1.0903851002750273</v>
      </c>
      <c r="F184" s="117">
        <f>DNSPNZSourceData!G5</f>
        <v>137.40600000000001</v>
      </c>
      <c r="G184" s="103">
        <f>DNSPNZSourceData!H5</f>
        <v>137.40600000000001</v>
      </c>
      <c r="H184" s="103">
        <f>DNSPNZSourceData!I5</f>
        <v>29608</v>
      </c>
      <c r="I184" s="103">
        <f>DNSPNZSourceData!J5</f>
        <v>4016.15</v>
      </c>
      <c r="J184" s="118">
        <f>DNSPNZSourceData!L5</f>
        <v>0.1475141615726504</v>
      </c>
      <c r="K184" s="119" t="str">
        <f>DNSPNZSourceData!A5</f>
        <v>Alpine Energy</v>
      </c>
    </row>
    <row r="185" spans="1:11" s="120" customFormat="1">
      <c r="A185" s="124">
        <f>DNSPNZSourceData!B6</f>
        <v>2013</v>
      </c>
      <c r="B185" s="125">
        <f>DNSPNZSourceData!C6</f>
        <v>2009</v>
      </c>
      <c r="C185" s="124">
        <f>DNSPNZSourceData!D6</f>
        <v>2</v>
      </c>
      <c r="D185" s="103">
        <f>DNSPNZSourceData!E6</f>
        <v>8206.228000000001</v>
      </c>
      <c r="E185" s="118">
        <f>DNSPNZSourceData!F6</f>
        <v>1.1562469092885455</v>
      </c>
      <c r="F185" s="117">
        <f>DNSPNZSourceData!G6</f>
        <v>137</v>
      </c>
      <c r="G185" s="103">
        <f>DNSPNZSourceData!H6</f>
        <v>137.40600000000001</v>
      </c>
      <c r="H185" s="103">
        <f>DNSPNZSourceData!I6</f>
        <v>30058</v>
      </c>
      <c r="I185" s="103">
        <f>DNSPNZSourceData!J6</f>
        <v>4060</v>
      </c>
      <c r="J185" s="118">
        <f>DNSPNZSourceData!L6</f>
        <v>0.15221674876847291</v>
      </c>
      <c r="K185" s="119" t="str">
        <f>DNSPNZSourceData!A6</f>
        <v>Alpine Energy</v>
      </c>
    </row>
    <row r="186" spans="1:11" s="120" customFormat="1">
      <c r="A186" s="124">
        <f>DNSPNZSourceData!B7</f>
        <v>2013</v>
      </c>
      <c r="B186" s="125">
        <f>DNSPNZSourceData!C7</f>
        <v>2010</v>
      </c>
      <c r="C186" s="124">
        <f>DNSPNZSourceData!D7</f>
        <v>2</v>
      </c>
      <c r="D186" s="103">
        <f>DNSPNZSourceData!E7</f>
        <v>10288.732000000002</v>
      </c>
      <c r="E186" s="118">
        <f>DNSPNZSourceData!F7</f>
        <v>1.1601923412470114</v>
      </c>
      <c r="F186" s="117">
        <f>DNSPNZSourceData!G7</f>
        <v>141</v>
      </c>
      <c r="G186" s="103">
        <f>DNSPNZSourceData!H7</f>
        <v>141</v>
      </c>
      <c r="H186" s="103">
        <f>DNSPNZSourceData!I7</f>
        <v>30441</v>
      </c>
      <c r="I186" s="103">
        <f>DNSPNZSourceData!J7</f>
        <v>4106</v>
      </c>
      <c r="J186" s="118">
        <f>DNSPNZSourceData!L7</f>
        <v>0.15854846566000974</v>
      </c>
      <c r="K186" s="119" t="str">
        <f>DNSPNZSourceData!A7</f>
        <v>Alpine Energy</v>
      </c>
    </row>
    <row r="187" spans="1:11" s="120" customFormat="1">
      <c r="A187" s="124">
        <f>DNSPNZSourceData!B8</f>
        <v>2013</v>
      </c>
      <c r="B187" s="125">
        <f>DNSPNZSourceData!C8</f>
        <v>2011</v>
      </c>
      <c r="C187" s="124">
        <f>DNSPNZSourceData!D8</f>
        <v>2</v>
      </c>
      <c r="D187" s="103">
        <f>DNSPNZSourceData!E8</f>
        <v>12057.84</v>
      </c>
      <c r="E187" s="118">
        <f>DNSPNZSourceData!F8</f>
        <v>1.1900846681215445</v>
      </c>
      <c r="F187" s="117">
        <f>DNSPNZSourceData!G8</f>
        <v>146</v>
      </c>
      <c r="G187" s="103">
        <f>DNSPNZSourceData!H8</f>
        <v>146</v>
      </c>
      <c r="H187" s="103">
        <f>DNSPNZSourceData!I8</f>
        <v>30720.5</v>
      </c>
      <c r="I187" s="103">
        <f>DNSPNZSourceData!J8</f>
        <v>4120</v>
      </c>
      <c r="J187" s="118">
        <f>DNSPNZSourceData!L8</f>
        <v>0.1616504854368932</v>
      </c>
      <c r="K187" s="119" t="str">
        <f>DNSPNZSourceData!A8</f>
        <v>Alpine Energy</v>
      </c>
    </row>
    <row r="188" spans="1:11" s="120" customFormat="1">
      <c r="A188" s="124">
        <f>DNSPNZSourceData!B9</f>
        <v>2013</v>
      </c>
      <c r="B188" s="125">
        <f>DNSPNZSourceData!C9</f>
        <v>2012</v>
      </c>
      <c r="C188" s="124">
        <f>DNSPNZSourceData!D9</f>
        <v>2</v>
      </c>
      <c r="D188" s="103">
        <f>DNSPNZSourceData!E9</f>
        <v>12562.809337000001</v>
      </c>
      <c r="E188" s="118">
        <f>DNSPNZSourceData!F9</f>
        <v>1.2216652483575092</v>
      </c>
      <c r="F188" s="117">
        <f>DNSPNZSourceData!G9</f>
        <v>137.66199999999998</v>
      </c>
      <c r="G188" s="103">
        <f>DNSPNZSourceData!H9</f>
        <v>146</v>
      </c>
      <c r="H188" s="103">
        <f>DNSPNZSourceData!I9</f>
        <v>30922</v>
      </c>
      <c r="I188" s="103">
        <f>DNSPNZSourceData!J9</f>
        <v>4152</v>
      </c>
      <c r="J188" s="118">
        <f>DNSPNZSourceData!L9</f>
        <v>0.16618497109826588</v>
      </c>
      <c r="K188" s="119" t="str">
        <f>DNSPNZSourceData!A9</f>
        <v>Alpine Energy</v>
      </c>
    </row>
    <row r="189" spans="1:11" s="120" customFormat="1">
      <c r="A189" s="124">
        <f>DNSPNZSourceData!B10</f>
        <v>2013</v>
      </c>
      <c r="B189" s="125">
        <f>DNSPNZSourceData!C10</f>
        <v>2013</v>
      </c>
      <c r="C189" s="124">
        <f>DNSPNZSourceData!D10</f>
        <v>2</v>
      </c>
      <c r="D189" s="103">
        <f>DNSPNZSourceData!E10</f>
        <v>12301.3112</v>
      </c>
      <c r="E189" s="118">
        <f>DNSPNZSourceData!F10</f>
        <v>1.2421813017565195</v>
      </c>
      <c r="F189" s="117">
        <f>DNSPNZSourceData!G10</f>
        <v>147.12706191401298</v>
      </c>
      <c r="G189" s="103">
        <f>DNSPNZSourceData!H10</f>
        <v>147.12706191401298</v>
      </c>
      <c r="H189" s="103">
        <f>DNSPNZSourceData!I10</f>
        <v>31216</v>
      </c>
      <c r="I189" s="103">
        <f>DNSPNZSourceData!J10</f>
        <v>4126</v>
      </c>
      <c r="J189" s="118">
        <f>DNSPNZSourceData!L10</f>
        <v>0.15438681531749879</v>
      </c>
      <c r="K189" s="119" t="str">
        <f>DNSPNZSourceData!A10</f>
        <v>Alpine Energy</v>
      </c>
    </row>
    <row r="190" spans="1:11" s="120" customFormat="1">
      <c r="A190" s="124">
        <f>DNSPNZSourceData!B11</f>
        <v>2013</v>
      </c>
      <c r="B190" s="125">
        <f>DNSPNZSourceData!C11</f>
        <v>2014</v>
      </c>
      <c r="C190" s="124">
        <f>DNSPNZSourceData!D11</f>
        <v>2</v>
      </c>
      <c r="D190" s="103">
        <f>DNSPNZSourceData!E11</f>
        <v>15271.56043</v>
      </c>
      <c r="E190" s="118">
        <f>DNSPNZSourceData!F11</f>
        <v>1.27237461042106</v>
      </c>
      <c r="F190" s="117">
        <f>DNSPNZSourceData!G11</f>
        <v>147.80115106546157</v>
      </c>
      <c r="G190" s="103">
        <f>DNSPNZSourceData!H11</f>
        <v>147.80115106546157</v>
      </c>
      <c r="H190" s="103">
        <f>DNSPNZSourceData!I11</f>
        <v>31413</v>
      </c>
      <c r="I190" s="103">
        <f>DNSPNZSourceData!J11</f>
        <v>4145</v>
      </c>
      <c r="J190" s="118">
        <f>DNSPNZSourceData!L11</f>
        <v>0.15560916767189384</v>
      </c>
      <c r="K190" s="119" t="str">
        <f>DNSPNZSourceData!A11</f>
        <v>Alpine Energy</v>
      </c>
    </row>
    <row r="191" spans="1:11" s="120" customFormat="1">
      <c r="A191" s="124">
        <f>DNSPNZSourceData!B12</f>
        <v>2013</v>
      </c>
      <c r="B191" s="125">
        <f>DNSPNZSourceData!C12</f>
        <v>2015</v>
      </c>
      <c r="C191" s="124">
        <f>DNSPNZSourceData!D12</f>
        <v>2</v>
      </c>
      <c r="D191" s="103">
        <f>DNSPNZSourceData!E12</f>
        <v>13822.025960000001</v>
      </c>
      <c r="E191" s="118">
        <f>DNSPNZSourceData!F12</f>
        <v>1.2816685951411126</v>
      </c>
      <c r="F191" s="117">
        <f>DNSPNZSourceData!G12</f>
        <v>152.70609963679362</v>
      </c>
      <c r="G191" s="103">
        <f>DNSPNZSourceData!H12</f>
        <v>152.70609963679362</v>
      </c>
      <c r="H191" s="103">
        <f>DNSPNZSourceData!I12</f>
        <v>31672</v>
      </c>
      <c r="I191" s="103">
        <f>DNSPNZSourceData!J12</f>
        <v>4180</v>
      </c>
      <c r="J191" s="118">
        <f>DNSPNZSourceData!L12</f>
        <v>0.15693779904306221</v>
      </c>
      <c r="K191" s="119" t="str">
        <f>DNSPNZSourceData!A12</f>
        <v>Alpine Energy</v>
      </c>
    </row>
    <row r="192" spans="1:11" s="120" customFormat="1">
      <c r="A192" s="126">
        <f>A191</f>
        <v>2013</v>
      </c>
      <c r="B192" s="127">
        <f>B191+1</f>
        <v>2016</v>
      </c>
      <c r="C192" s="126">
        <f>C191</f>
        <v>2</v>
      </c>
      <c r="D192" s="121">
        <f>DNSPNZSourceData!E13</f>
        <v>14767.108340000001</v>
      </c>
      <c r="E192" s="122">
        <f>DNSPNZSourceData!F13</f>
        <v>1.2867539916420168</v>
      </c>
      <c r="F192" s="117">
        <f>DNSPNZSourceData!G13</f>
        <v>156.25263740586195</v>
      </c>
      <c r="G192" s="121">
        <f>DNSPNZSourceData!H13</f>
        <v>156.25263740586195</v>
      </c>
      <c r="H192" s="121">
        <f>DNSPNZSourceData!I13</f>
        <v>31936</v>
      </c>
      <c r="I192" s="121">
        <f>DNSPNZSourceData!J13</f>
        <v>4271.3974644884756</v>
      </c>
      <c r="J192" s="122">
        <f>DNSPNZSourceData!L13</f>
        <v>0.14025865109870994</v>
      </c>
      <c r="K192" s="119" t="str">
        <f>DNSPNZSourceData!A13</f>
        <v>Alpine Energy</v>
      </c>
    </row>
    <row r="193" spans="1:11" s="120" customFormat="1">
      <c r="A193" s="126">
        <f>A192</f>
        <v>2013</v>
      </c>
      <c r="B193" s="127">
        <f>B192+1</f>
        <v>2017</v>
      </c>
      <c r="C193" s="126">
        <f>C192</f>
        <v>2</v>
      </c>
      <c r="D193" s="121">
        <f>DNSPNZSourceData!E14</f>
        <v>14568.654850000001</v>
      </c>
      <c r="E193" s="122">
        <f>DNSPNZSourceData!F14</f>
        <v>1.3063682360796467</v>
      </c>
      <c r="F193" s="117">
        <f>DNSPNZSourceData!G14</f>
        <v>155.75901233414982</v>
      </c>
      <c r="G193" s="121">
        <f>DNSPNZSourceData!H14</f>
        <v>156.25263740586195</v>
      </c>
      <c r="H193" s="121">
        <f>DNSPNZSourceData!I14</f>
        <v>32829</v>
      </c>
      <c r="I193" s="121">
        <f>DNSPNZSourceData!J14</f>
        <v>4191.0950000000003</v>
      </c>
      <c r="J193" s="122">
        <f>DNSPNZSourceData!L14</f>
        <v>0.15843114985463225</v>
      </c>
      <c r="K193" s="119" t="str">
        <f>DNSPNZSourceData!A14</f>
        <v>Alpine Energy</v>
      </c>
    </row>
    <row r="194" spans="1:11" s="120" customFormat="1">
      <c r="A194" s="126">
        <f>A193</f>
        <v>2013</v>
      </c>
      <c r="B194" s="127">
        <f>B193+1</f>
        <v>2018</v>
      </c>
      <c r="C194" s="126">
        <f>C193</f>
        <v>2</v>
      </c>
      <c r="D194" s="121">
        <f>DNSPNZSourceData!E15</f>
        <v>17171.222979999999</v>
      </c>
      <c r="E194" s="122">
        <f>DNSPNZSourceData!F15</f>
        <v>1.3404204496621166</v>
      </c>
      <c r="F194" s="117">
        <f>DNSPNZSourceData!G15</f>
        <v>169.89437300447671</v>
      </c>
      <c r="G194" s="121">
        <f>DNSPNZSourceData!H15</f>
        <v>169.89437300447671</v>
      </c>
      <c r="H194" s="121">
        <f>DNSPNZSourceData!I15</f>
        <v>32975</v>
      </c>
      <c r="I194" s="121">
        <f>DNSPNZSourceData!J15</f>
        <v>4288</v>
      </c>
      <c r="J194" s="122">
        <f>DNSPNZSourceData!L15</f>
        <v>0.17887126865671643</v>
      </c>
      <c r="K194" s="119" t="str">
        <f>DNSPNZSourceData!A15</f>
        <v>Alpine Energy</v>
      </c>
    </row>
    <row r="195" spans="1:11" s="120" customFormat="1">
      <c r="A195" s="126">
        <f>A194</f>
        <v>2013</v>
      </c>
      <c r="B195" s="127">
        <f>B194+1</f>
        <v>2019</v>
      </c>
      <c r="C195" s="126">
        <f>C194</f>
        <v>2</v>
      </c>
      <c r="D195" s="121">
        <f>DNSPNZSourceData!E16</f>
        <v>18295.848386256512</v>
      </c>
      <c r="E195" s="122">
        <f>DNSPNZSourceData!F16</f>
        <v>1.3740587734764929</v>
      </c>
      <c r="F195" s="117">
        <f>DNSPNZSourceData!G16</f>
        <v>162.70139106343439</v>
      </c>
      <c r="G195" s="121">
        <f>DNSPNZSourceData!H16</f>
        <v>169.89437300447671</v>
      </c>
      <c r="H195" s="121">
        <f>DNSPNZSourceData!I16</f>
        <v>33211.5</v>
      </c>
      <c r="I195" s="121">
        <f>DNSPNZSourceData!J16</f>
        <v>4316.9399999999996</v>
      </c>
      <c r="J195" s="122">
        <f>DNSPNZSourceData!L16</f>
        <v>0.18416517255278045</v>
      </c>
      <c r="K195" s="119" t="str">
        <f>DNSPNZSourceData!A16</f>
        <v>Alpine Energy</v>
      </c>
    </row>
    <row r="196" spans="1:11" s="120" customFormat="1">
      <c r="A196" s="126">
        <f>A195</f>
        <v>2013</v>
      </c>
      <c r="B196" s="127">
        <f>B195+1</f>
        <v>2020</v>
      </c>
      <c r="C196" s="126">
        <f>C195</f>
        <v>2</v>
      </c>
      <c r="D196" s="121">
        <f>DNSPNZSourceData!E17</f>
        <v>21343.088019999988</v>
      </c>
      <c r="E196" s="122">
        <f>DNSPNZSourceData!F17</f>
        <v>1.4000516345247649</v>
      </c>
      <c r="F196" s="117">
        <f>DNSPNZSourceData!G17</f>
        <v>162.56418254920177</v>
      </c>
      <c r="G196" s="121">
        <f>DNSPNZSourceData!H17</f>
        <v>169.89437300447671</v>
      </c>
      <c r="H196" s="121">
        <f>DNSPNZSourceData!I17</f>
        <v>33445.5</v>
      </c>
      <c r="I196" s="121">
        <f>DNSPNZSourceData!J17</f>
        <v>4322.84</v>
      </c>
      <c r="J196" s="122">
        <f>DNSPNZSourceData!L17</f>
        <v>0.18894060386227571</v>
      </c>
      <c r="K196" s="119" t="str">
        <f>DNSPNZSourceData!A17</f>
        <v>Alpine Energy</v>
      </c>
    </row>
    <row r="197" spans="1:11" s="120" customFormat="1">
      <c r="A197" s="124">
        <f>DNSPNZSourceData!B48</f>
        <v>2014</v>
      </c>
      <c r="B197" s="125">
        <f>DNSPNZSourceData!C48</f>
        <v>2006</v>
      </c>
      <c r="C197" s="124">
        <f>DNSPNZSourceData!D48</f>
        <v>2</v>
      </c>
      <c r="D197" s="103">
        <f>DNSPNZSourceData!E48</f>
        <v>4292.3715006886478</v>
      </c>
      <c r="E197" s="118">
        <f>DNSPNZSourceData!F48</f>
        <v>1</v>
      </c>
      <c r="F197" s="117">
        <f>DNSPNZSourceData!G48</f>
        <v>51.646442141623481</v>
      </c>
      <c r="G197" s="103">
        <f>DNSPNZSourceData!H48</f>
        <v>51.646442141623481</v>
      </c>
      <c r="H197" s="103">
        <f>DNSPNZSourceData!I48</f>
        <v>24856</v>
      </c>
      <c r="I197" s="103">
        <f>DNSPNZSourceData!J48</f>
        <v>3666.64</v>
      </c>
      <c r="J197" s="118">
        <f>DNSPNZSourceData!L48</f>
        <v>9.0431566775031086E-2</v>
      </c>
      <c r="K197" s="119" t="str">
        <f>DNSPNZSourceData!A48</f>
        <v>Eastland Network</v>
      </c>
    </row>
    <row r="198" spans="1:11" s="120" customFormat="1">
      <c r="A198" s="124">
        <f>DNSPNZSourceData!B49</f>
        <v>2014</v>
      </c>
      <c r="B198" s="125">
        <f>DNSPNZSourceData!C49</f>
        <v>2007</v>
      </c>
      <c r="C198" s="124">
        <f>DNSPNZSourceData!D49</f>
        <v>2</v>
      </c>
      <c r="D198" s="103">
        <f>DNSPNZSourceData!E49</f>
        <v>5092.404398008799</v>
      </c>
      <c r="E198" s="118">
        <f>DNSPNZSourceData!F49</f>
        <v>1.0438528231223547</v>
      </c>
      <c r="F198" s="117">
        <f>DNSPNZSourceData!G49</f>
        <v>54.712297063903286</v>
      </c>
      <c r="G198" s="103">
        <f>DNSPNZSourceData!H49</f>
        <v>54.712297063903286</v>
      </c>
      <c r="H198" s="103">
        <f>DNSPNZSourceData!I49</f>
        <v>24913</v>
      </c>
      <c r="I198" s="103">
        <f>DNSPNZSourceData!J49</f>
        <v>3647.25</v>
      </c>
      <c r="J198" s="118">
        <f>DNSPNZSourceData!L49</f>
        <v>9.3544451298923845E-2</v>
      </c>
      <c r="K198" s="119" t="str">
        <f>DNSPNZSourceData!A49</f>
        <v>Eastland Network</v>
      </c>
    </row>
    <row r="199" spans="1:11" s="120" customFormat="1">
      <c r="A199" s="124">
        <f>DNSPNZSourceData!B50</f>
        <v>2014</v>
      </c>
      <c r="B199" s="125">
        <f>DNSPNZSourceData!C50</f>
        <v>2008</v>
      </c>
      <c r="C199" s="124">
        <f>DNSPNZSourceData!D50</f>
        <v>2</v>
      </c>
      <c r="D199" s="103">
        <f>DNSPNZSourceData!E50</f>
        <v>4907.0800000000008</v>
      </c>
      <c r="E199" s="118">
        <f>DNSPNZSourceData!F50</f>
        <v>1.0903851002750273</v>
      </c>
      <c r="F199" s="117">
        <f>DNSPNZSourceData!G50</f>
        <v>53.5</v>
      </c>
      <c r="G199" s="103">
        <f>DNSPNZSourceData!H50</f>
        <v>54.712297063903286</v>
      </c>
      <c r="H199" s="103">
        <f>DNSPNZSourceData!I50</f>
        <v>25079</v>
      </c>
      <c r="I199" s="103">
        <f>DNSPNZSourceData!J50</f>
        <v>3653</v>
      </c>
      <c r="J199" s="118">
        <f>DNSPNZSourceData!L50</f>
        <v>9.8357514371749249E-2</v>
      </c>
      <c r="K199" s="119" t="str">
        <f>DNSPNZSourceData!A50</f>
        <v>Eastland Network</v>
      </c>
    </row>
    <row r="200" spans="1:11" s="120" customFormat="1">
      <c r="A200" s="124">
        <f>DNSPNZSourceData!B51</f>
        <v>2014</v>
      </c>
      <c r="B200" s="125">
        <f>DNSPNZSourceData!C51</f>
        <v>2009</v>
      </c>
      <c r="C200" s="124">
        <f>DNSPNZSourceData!D51</f>
        <v>2</v>
      </c>
      <c r="D200" s="103">
        <f>DNSPNZSourceData!E51</f>
        <v>6117.0000000000009</v>
      </c>
      <c r="E200" s="118">
        <f>DNSPNZSourceData!F51</f>
        <v>1.1562469092885455</v>
      </c>
      <c r="F200" s="117">
        <f>DNSPNZSourceData!G51</f>
        <v>52</v>
      </c>
      <c r="G200" s="103">
        <f>DNSPNZSourceData!H51</f>
        <v>54.712297063903286</v>
      </c>
      <c r="H200" s="103">
        <f>DNSPNZSourceData!I51</f>
        <v>25248</v>
      </c>
      <c r="I200" s="103">
        <f>DNSPNZSourceData!J51</f>
        <v>3664.21</v>
      </c>
      <c r="J200" s="118">
        <f>DNSPNZSourceData!L51</f>
        <v>0.1030808823730081</v>
      </c>
      <c r="K200" s="119" t="str">
        <f>DNSPNZSourceData!A51</f>
        <v>Eastland Network</v>
      </c>
    </row>
    <row r="201" spans="1:11" s="120" customFormat="1">
      <c r="A201" s="124">
        <f>DNSPNZSourceData!B52</f>
        <v>2014</v>
      </c>
      <c r="B201" s="125">
        <f>DNSPNZSourceData!C52</f>
        <v>2010</v>
      </c>
      <c r="C201" s="124">
        <f>DNSPNZSourceData!D52</f>
        <v>2</v>
      </c>
      <c r="D201" s="103">
        <f>DNSPNZSourceData!E52</f>
        <v>5839</v>
      </c>
      <c r="E201" s="118">
        <f>DNSPNZSourceData!F52</f>
        <v>1.1601923412470114</v>
      </c>
      <c r="F201" s="117">
        <f>DNSPNZSourceData!G52</f>
        <v>54.188000000000002</v>
      </c>
      <c r="G201" s="103">
        <f>DNSPNZSourceData!H52</f>
        <v>54.712297063903286</v>
      </c>
      <c r="H201" s="103">
        <f>DNSPNZSourceData!I52</f>
        <v>25366</v>
      </c>
      <c r="I201" s="103">
        <f>DNSPNZSourceData!J52</f>
        <v>3661.7159999999999</v>
      </c>
      <c r="J201" s="118">
        <f>DNSPNZSourceData!L52</f>
        <v>0.10432376514180784</v>
      </c>
      <c r="K201" s="119" t="str">
        <f>DNSPNZSourceData!A52</f>
        <v>Eastland Network</v>
      </c>
    </row>
    <row r="202" spans="1:11" s="120" customFormat="1">
      <c r="A202" s="124">
        <f>DNSPNZSourceData!B53</f>
        <v>2014</v>
      </c>
      <c r="B202" s="125">
        <f>DNSPNZSourceData!C53</f>
        <v>2011</v>
      </c>
      <c r="C202" s="124">
        <f>DNSPNZSourceData!D53</f>
        <v>2</v>
      </c>
      <c r="D202" s="103">
        <f>DNSPNZSourceData!E53</f>
        <v>5824</v>
      </c>
      <c r="E202" s="118">
        <f>DNSPNZSourceData!F53</f>
        <v>1.1900846681215445</v>
      </c>
      <c r="F202" s="117">
        <f>DNSPNZSourceData!G53</f>
        <v>52.594000000000001</v>
      </c>
      <c r="G202" s="103">
        <f>DNSPNZSourceData!H53</f>
        <v>54.712297063903286</v>
      </c>
      <c r="H202" s="103">
        <f>DNSPNZSourceData!I53</f>
        <v>25473</v>
      </c>
      <c r="I202" s="103">
        <f>DNSPNZSourceData!J53</f>
        <v>3653.630236</v>
      </c>
      <c r="J202" s="118">
        <f>DNSPNZSourceData!L53</f>
        <v>0.10431166028920504</v>
      </c>
      <c r="K202" s="119" t="str">
        <f>DNSPNZSourceData!A53</f>
        <v>Eastland Network</v>
      </c>
    </row>
    <row r="203" spans="1:11" s="120" customFormat="1">
      <c r="A203" s="124">
        <f>DNSPNZSourceData!B54</f>
        <v>2014</v>
      </c>
      <c r="B203" s="125">
        <f>DNSPNZSourceData!C54</f>
        <v>2012</v>
      </c>
      <c r="C203" s="124">
        <f>DNSPNZSourceData!D54</f>
        <v>2</v>
      </c>
      <c r="D203" s="103">
        <f>DNSPNZSourceData!E54</f>
        <v>6035.4040000000005</v>
      </c>
      <c r="E203" s="118">
        <f>DNSPNZSourceData!F54</f>
        <v>1.2216652483575092</v>
      </c>
      <c r="F203" s="117">
        <f>DNSPNZSourceData!G54</f>
        <v>53.78</v>
      </c>
      <c r="G203" s="103">
        <f>DNSPNZSourceData!H54</f>
        <v>54.712297063903286</v>
      </c>
      <c r="H203" s="103">
        <f>DNSPNZSourceData!I54</f>
        <v>25540.5</v>
      </c>
      <c r="I203" s="103">
        <f>DNSPNZSourceData!J54</f>
        <v>3645.8049999999998</v>
      </c>
      <c r="J203" s="118">
        <f>DNSPNZSourceData!L54</f>
        <v>0.10554733453928557</v>
      </c>
      <c r="K203" s="119" t="str">
        <f>DNSPNZSourceData!A54</f>
        <v>Eastland Network</v>
      </c>
    </row>
    <row r="204" spans="1:11" s="120" customFormat="1">
      <c r="A204" s="124">
        <f>DNSPNZSourceData!B55</f>
        <v>2014</v>
      </c>
      <c r="B204" s="125">
        <f>DNSPNZSourceData!C55</f>
        <v>2013</v>
      </c>
      <c r="C204" s="124">
        <f>DNSPNZSourceData!D55</f>
        <v>2</v>
      </c>
      <c r="D204" s="103">
        <f>DNSPNZSourceData!E55</f>
        <v>7445.1994499999992</v>
      </c>
      <c r="E204" s="118">
        <f>DNSPNZSourceData!F55</f>
        <v>1.2421813017565195</v>
      </c>
      <c r="F204" s="117">
        <f>DNSPNZSourceData!G55</f>
        <v>53.707181191531262</v>
      </c>
      <c r="G204" s="103">
        <f>DNSPNZSourceData!H55</f>
        <v>54.712297063903286</v>
      </c>
      <c r="H204" s="103">
        <f>DNSPNZSourceData!I55</f>
        <v>25556</v>
      </c>
      <c r="I204" s="103">
        <f>DNSPNZSourceData!J55</f>
        <v>3645.3530000000001</v>
      </c>
      <c r="J204" s="118">
        <f>DNSPNZSourceData!L55</f>
        <v>0.10598507195325117</v>
      </c>
      <c r="K204" s="119" t="str">
        <f>DNSPNZSourceData!A55</f>
        <v>Eastland Network</v>
      </c>
    </row>
    <row r="205" spans="1:11" s="120" customFormat="1">
      <c r="A205" s="124">
        <f>DNSPNZSourceData!B56</f>
        <v>2014</v>
      </c>
      <c r="B205" s="125">
        <f>DNSPNZSourceData!C56</f>
        <v>2014</v>
      </c>
      <c r="C205" s="124">
        <f>DNSPNZSourceData!D56</f>
        <v>2</v>
      </c>
      <c r="D205" s="103">
        <f>DNSPNZSourceData!E56</f>
        <v>7809.8741499999996</v>
      </c>
      <c r="E205" s="118">
        <f>DNSPNZSourceData!F56</f>
        <v>1.27237461042106</v>
      </c>
      <c r="F205" s="117">
        <f>DNSPNZSourceData!G56</f>
        <v>56.606693746922694</v>
      </c>
      <c r="G205" s="103">
        <f>DNSPNZSourceData!H56</f>
        <v>56.606693746922694</v>
      </c>
      <c r="H205" s="103">
        <f>DNSPNZSourceData!I56</f>
        <v>25450</v>
      </c>
      <c r="I205" s="103">
        <f>DNSPNZSourceData!J56</f>
        <v>3650.5113490136018</v>
      </c>
      <c r="J205" s="118">
        <f>DNSPNZSourceData!L56</f>
        <v>0.1072142460550784</v>
      </c>
      <c r="K205" s="119" t="str">
        <f>DNSPNZSourceData!A56</f>
        <v>Eastland Network</v>
      </c>
    </row>
    <row r="206" spans="1:11" s="120" customFormat="1">
      <c r="A206" s="124">
        <f>DNSPNZSourceData!B57</f>
        <v>2014</v>
      </c>
      <c r="B206" s="125">
        <f>DNSPNZSourceData!C57</f>
        <v>2015</v>
      </c>
      <c r="C206" s="124">
        <f>DNSPNZSourceData!D57</f>
        <v>2</v>
      </c>
      <c r="D206" s="103">
        <f>DNSPNZSourceData!E57</f>
        <v>7854.0554200000006</v>
      </c>
      <c r="E206" s="118">
        <f>DNSPNZSourceData!F57</f>
        <v>1.2816685951411126</v>
      </c>
      <c r="F206" s="117">
        <f>DNSPNZSourceData!G57</f>
        <v>52.338376732081315</v>
      </c>
      <c r="G206" s="103">
        <f>DNSPNZSourceData!H57</f>
        <v>56.606693746922694</v>
      </c>
      <c r="H206" s="103">
        <f>DNSPNZSourceData!I57</f>
        <v>25392</v>
      </c>
      <c r="I206" s="103">
        <f>DNSPNZSourceData!J57</f>
        <v>3954.0351670250338</v>
      </c>
      <c r="J206" s="118">
        <f>DNSPNZSourceData!L57</f>
        <v>9.8764621330826891E-2</v>
      </c>
      <c r="K206" s="119" t="str">
        <f>DNSPNZSourceData!A57</f>
        <v>Eastland Network</v>
      </c>
    </row>
    <row r="207" spans="1:11" s="120" customFormat="1">
      <c r="A207" s="126">
        <f>A206</f>
        <v>2014</v>
      </c>
      <c r="B207" s="127">
        <f>B206+1</f>
        <v>2016</v>
      </c>
      <c r="C207" s="126">
        <f>C206</f>
        <v>2</v>
      </c>
      <c r="D207" s="121">
        <f>DNSPNZSourceData!E58</f>
        <v>9448.3410999999996</v>
      </c>
      <c r="E207" s="122">
        <f>DNSPNZSourceData!F58</f>
        <v>1.2867539916420168</v>
      </c>
      <c r="F207" s="117">
        <f>DNSPNZSourceData!G58</f>
        <v>57.044552296546385</v>
      </c>
      <c r="G207" s="121">
        <f>DNSPNZSourceData!H58</f>
        <v>57.044552296546385</v>
      </c>
      <c r="H207" s="121">
        <f>DNSPNZSourceData!I58</f>
        <v>25415</v>
      </c>
      <c r="I207" s="121">
        <f>DNSPNZSourceData!J58</f>
        <v>3952.563889718605</v>
      </c>
      <c r="J207" s="122">
        <f>DNSPNZSourceData!L58</f>
        <v>9.987435750927344E-2</v>
      </c>
      <c r="K207" s="119" t="str">
        <f>DNSPNZSourceData!A58</f>
        <v>Eastland Network</v>
      </c>
    </row>
    <row r="208" spans="1:11" s="120" customFormat="1">
      <c r="A208" s="126">
        <f>A207</f>
        <v>2014</v>
      </c>
      <c r="B208" s="127">
        <f>B207+1</f>
        <v>2017</v>
      </c>
      <c r="C208" s="126">
        <f>C207</f>
        <v>2</v>
      </c>
      <c r="D208" s="121">
        <f>DNSPNZSourceData!E59</f>
        <v>9248.2761300000002</v>
      </c>
      <c r="E208" s="122">
        <f>DNSPNZSourceData!F59</f>
        <v>1.3063682360796467</v>
      </c>
      <c r="F208" s="117">
        <f>DNSPNZSourceData!G59</f>
        <v>55.523868608004484</v>
      </c>
      <c r="G208" s="121">
        <f>DNSPNZSourceData!H59</f>
        <v>57.044552296546385</v>
      </c>
      <c r="H208" s="121">
        <f>DNSPNZSourceData!I59</f>
        <v>25407</v>
      </c>
      <c r="I208" s="121">
        <f>DNSPNZSourceData!J59</f>
        <v>3951.7057826052619</v>
      </c>
      <c r="J208" s="122">
        <f>DNSPNZSourceData!L59</f>
        <v>0.10085943360318572</v>
      </c>
      <c r="K208" s="119" t="str">
        <f>DNSPNZSourceData!A59</f>
        <v>Eastland Network</v>
      </c>
    </row>
    <row r="209" spans="1:11" s="120" customFormat="1">
      <c r="A209" s="126">
        <f>A208</f>
        <v>2014</v>
      </c>
      <c r="B209" s="127">
        <f>B208+1</f>
        <v>2018</v>
      </c>
      <c r="C209" s="126">
        <f>C208</f>
        <v>2</v>
      </c>
      <c r="D209" s="121">
        <f>DNSPNZSourceData!E60</f>
        <v>9922.0477800000008</v>
      </c>
      <c r="E209" s="122">
        <f>DNSPNZSourceData!F60</f>
        <v>1.3404204496621166</v>
      </c>
      <c r="F209" s="117">
        <f>DNSPNZSourceData!G60</f>
        <v>55.523868608004484</v>
      </c>
      <c r="G209" s="121">
        <f>DNSPNZSourceData!H60</f>
        <v>57.044552296546385</v>
      </c>
      <c r="H209" s="121">
        <f>DNSPNZSourceData!I60</f>
        <v>25512</v>
      </c>
      <c r="I209" s="121">
        <f>DNSPNZSourceData!J60</f>
        <v>3950.6127613150588</v>
      </c>
      <c r="J209" s="122">
        <f>DNSPNZSourceData!L60</f>
        <v>0.10223187120611628</v>
      </c>
      <c r="K209" s="119" t="str">
        <f>DNSPNZSourceData!A60</f>
        <v>Eastland Network</v>
      </c>
    </row>
    <row r="210" spans="1:11" s="120" customFormat="1">
      <c r="A210" s="126">
        <f>A209</f>
        <v>2014</v>
      </c>
      <c r="B210" s="127">
        <f>B209+1</f>
        <v>2019</v>
      </c>
      <c r="C210" s="126">
        <f>C209</f>
        <v>2</v>
      </c>
      <c r="D210" s="121">
        <f>DNSPNZSourceData!E61</f>
        <v>10078.79477</v>
      </c>
      <c r="E210" s="122">
        <f>DNSPNZSourceData!F61</f>
        <v>1.3740587734764929</v>
      </c>
      <c r="F210" s="117">
        <f>DNSPNZSourceData!G61</f>
        <v>55.447077864528381</v>
      </c>
      <c r="G210" s="121">
        <f>DNSPNZSourceData!H61</f>
        <v>57.044552296546385</v>
      </c>
      <c r="H210" s="121">
        <f>DNSPNZSourceData!I61</f>
        <v>25597</v>
      </c>
      <c r="I210" s="121">
        <f>DNSPNZSourceData!J61</f>
        <v>3948.8112600313329</v>
      </c>
      <c r="J210" s="122">
        <f>DNSPNZSourceData!L61</f>
        <v>0.10298501048053978</v>
      </c>
      <c r="K210" s="119" t="str">
        <f>DNSPNZSourceData!A61</f>
        <v>Eastland Network</v>
      </c>
    </row>
    <row r="211" spans="1:11" s="120" customFormat="1">
      <c r="A211" s="126">
        <f>A210</f>
        <v>2014</v>
      </c>
      <c r="B211" s="127">
        <f>B210+1</f>
        <v>2020</v>
      </c>
      <c r="C211" s="126">
        <f>C210</f>
        <v>2</v>
      </c>
      <c r="D211" s="121">
        <f>DNSPNZSourceData!E62</f>
        <v>11381.92239</v>
      </c>
      <c r="E211" s="122">
        <f>DNSPNZSourceData!F62</f>
        <v>1.4000516345247649</v>
      </c>
      <c r="F211" s="117">
        <f>DNSPNZSourceData!G62</f>
        <v>55.985369627910245</v>
      </c>
      <c r="G211" s="121">
        <f>DNSPNZSourceData!H62</f>
        <v>57.044552296546385</v>
      </c>
      <c r="H211" s="121">
        <f>DNSPNZSourceData!I62</f>
        <v>25658</v>
      </c>
      <c r="I211" s="121">
        <f>DNSPNZSourceData!J62</f>
        <v>3948.6204266991272</v>
      </c>
      <c r="J211" s="122">
        <f>DNSPNZSourceData!L62</f>
        <v>0.10458047783164819</v>
      </c>
      <c r="K211" s="119" t="str">
        <f>DNSPNZSourceData!A62</f>
        <v>Eastland Network</v>
      </c>
    </row>
    <row r="212" spans="1:11" s="120" customFormat="1">
      <c r="A212" s="124">
        <f>DNSPNZSourceData!B78</f>
        <v>2015</v>
      </c>
      <c r="B212" s="125">
        <f>DNSPNZSourceData!C78</f>
        <v>2006</v>
      </c>
      <c r="C212" s="124">
        <f>DNSPNZSourceData!D78</f>
        <v>2</v>
      </c>
      <c r="D212" s="103">
        <f>DNSPNZSourceData!E78</f>
        <v>3495.7872792518169</v>
      </c>
      <c r="E212" s="118">
        <f>DNSPNZSourceData!F78</f>
        <v>1</v>
      </c>
      <c r="F212" s="117">
        <f>DNSPNZSourceData!G78</f>
        <v>88.293245806035728</v>
      </c>
      <c r="G212" s="103">
        <f>DNSPNZSourceData!H78</f>
        <v>88.293245806035728</v>
      </c>
      <c r="H212" s="103">
        <f>DNSPNZSourceData!I78</f>
        <v>23572</v>
      </c>
      <c r="I212" s="103">
        <f>DNSPNZSourceData!J78</f>
        <v>2403</v>
      </c>
      <c r="J212" s="118">
        <f>DNSPNZSourceData!L78</f>
        <v>0.18768206408655846</v>
      </c>
      <c r="K212" s="119" t="str">
        <f>DNSPNZSourceData!A78</f>
        <v>Horizon Energy</v>
      </c>
    </row>
    <row r="213" spans="1:11" s="120" customFormat="1">
      <c r="A213" s="124">
        <f>DNSPNZSourceData!B79</f>
        <v>2015</v>
      </c>
      <c r="B213" s="125">
        <f>DNSPNZSourceData!C79</f>
        <v>2007</v>
      </c>
      <c r="C213" s="124">
        <f>DNSPNZSourceData!D79</f>
        <v>2</v>
      </c>
      <c r="D213" s="103">
        <f>DNSPNZSourceData!E79</f>
        <v>4444.6004648512526</v>
      </c>
      <c r="E213" s="118">
        <f>DNSPNZSourceData!F79</f>
        <v>1.0438528231223547</v>
      </c>
      <c r="F213" s="117">
        <f>DNSPNZSourceData!G79</f>
        <v>88.361760028284607</v>
      </c>
      <c r="G213" s="103">
        <f>DNSPNZSourceData!H79</f>
        <v>88.361760028284607</v>
      </c>
      <c r="H213" s="103">
        <f>DNSPNZSourceData!I79</f>
        <v>23929.5</v>
      </c>
      <c r="I213" s="103">
        <f>DNSPNZSourceData!J79</f>
        <v>2408</v>
      </c>
      <c r="J213" s="118">
        <f>DNSPNZSourceData!L79</f>
        <v>0.18355481727574752</v>
      </c>
      <c r="K213" s="119" t="str">
        <f>DNSPNZSourceData!A79</f>
        <v>Horizon Energy</v>
      </c>
    </row>
    <row r="214" spans="1:11" s="120" customFormat="1">
      <c r="A214" s="124">
        <f>DNSPNZSourceData!B80</f>
        <v>2015</v>
      </c>
      <c r="B214" s="125">
        <f>DNSPNZSourceData!C80</f>
        <v>2008</v>
      </c>
      <c r="C214" s="124">
        <f>DNSPNZSourceData!D80</f>
        <v>2</v>
      </c>
      <c r="D214" s="103">
        <f>DNSPNZSourceData!E80</f>
        <v>6458.5614800000021</v>
      </c>
      <c r="E214" s="118">
        <f>DNSPNZSourceData!F80</f>
        <v>1.0903851002750273</v>
      </c>
      <c r="F214" s="117">
        <f>DNSPNZSourceData!G80</f>
        <v>90.15</v>
      </c>
      <c r="G214" s="103">
        <f>DNSPNZSourceData!H80</f>
        <v>90.15</v>
      </c>
      <c r="H214" s="103">
        <f>DNSPNZSourceData!I80</f>
        <v>24096</v>
      </c>
      <c r="I214" s="103">
        <f>DNSPNZSourceData!J80</f>
        <v>2342.4</v>
      </c>
      <c r="J214" s="118">
        <f>DNSPNZSourceData!L80</f>
        <v>0.18118169398907102</v>
      </c>
      <c r="K214" s="119" t="str">
        <f>DNSPNZSourceData!A80</f>
        <v>Horizon Energy</v>
      </c>
    </row>
    <row r="215" spans="1:11" s="120" customFormat="1">
      <c r="A215" s="124">
        <f>DNSPNZSourceData!B81</f>
        <v>2015</v>
      </c>
      <c r="B215" s="125">
        <f>DNSPNZSourceData!C81</f>
        <v>2009</v>
      </c>
      <c r="C215" s="124">
        <f>DNSPNZSourceData!D81</f>
        <v>2</v>
      </c>
      <c r="D215" s="103">
        <f>DNSPNZSourceData!E81</f>
        <v>7002.9490600000008</v>
      </c>
      <c r="E215" s="118">
        <f>DNSPNZSourceData!F81</f>
        <v>1.1562469092885455</v>
      </c>
      <c r="F215" s="117">
        <f>DNSPNZSourceData!G81</f>
        <v>82.31</v>
      </c>
      <c r="G215" s="103">
        <f>DNSPNZSourceData!H81</f>
        <v>90.15</v>
      </c>
      <c r="H215" s="103">
        <f>DNSPNZSourceData!I81</f>
        <v>24237.032230662749</v>
      </c>
      <c r="I215" s="103">
        <f>DNSPNZSourceData!J81</f>
        <v>2341.4</v>
      </c>
      <c r="J215" s="118">
        <f>DNSPNZSourceData!L81</f>
        <v>0.18497480140087127</v>
      </c>
      <c r="K215" s="119" t="str">
        <f>DNSPNZSourceData!A81</f>
        <v>Horizon Energy</v>
      </c>
    </row>
    <row r="216" spans="1:11" s="120" customFormat="1">
      <c r="A216" s="124">
        <f>DNSPNZSourceData!B82</f>
        <v>2015</v>
      </c>
      <c r="B216" s="125">
        <f>DNSPNZSourceData!C82</f>
        <v>2010</v>
      </c>
      <c r="C216" s="124">
        <f>DNSPNZSourceData!D82</f>
        <v>2</v>
      </c>
      <c r="D216" s="103">
        <f>DNSPNZSourceData!E82</f>
        <v>6865.6130000000021</v>
      </c>
      <c r="E216" s="118">
        <f>DNSPNZSourceData!F82</f>
        <v>1.1601923412470114</v>
      </c>
      <c r="F216" s="117">
        <f>DNSPNZSourceData!G82</f>
        <v>88.811999999999998</v>
      </c>
      <c r="G216" s="103">
        <f>DNSPNZSourceData!H82</f>
        <v>90.15</v>
      </c>
      <c r="H216" s="103">
        <f>DNSPNZSourceData!I82</f>
        <v>24379.032230662749</v>
      </c>
      <c r="I216" s="103">
        <f>DNSPNZSourceData!J82</f>
        <v>2359.1</v>
      </c>
      <c r="J216" s="118">
        <f>DNSPNZSourceData!L82</f>
        <v>0.18570641346276123</v>
      </c>
      <c r="K216" s="119" t="str">
        <f>DNSPNZSourceData!A82</f>
        <v>Horizon Energy</v>
      </c>
    </row>
    <row r="217" spans="1:11" s="120" customFormat="1">
      <c r="A217" s="124">
        <f>DNSPNZSourceData!B83</f>
        <v>2015</v>
      </c>
      <c r="B217" s="125">
        <f>DNSPNZSourceData!C83</f>
        <v>2011</v>
      </c>
      <c r="C217" s="124">
        <f>DNSPNZSourceData!D83</f>
        <v>2</v>
      </c>
      <c r="D217" s="103">
        <f>DNSPNZSourceData!E83</f>
        <v>6832.0897200000009</v>
      </c>
      <c r="E217" s="118">
        <f>DNSPNZSourceData!F83</f>
        <v>1.1900846681215445</v>
      </c>
      <c r="F217" s="117">
        <f>DNSPNZSourceData!G83</f>
        <v>91</v>
      </c>
      <c r="G217" s="103">
        <f>DNSPNZSourceData!H83</f>
        <v>91</v>
      </c>
      <c r="H217" s="103">
        <f>DNSPNZSourceData!I83</f>
        <v>24548.5</v>
      </c>
      <c r="I217" s="103">
        <f>DNSPNZSourceData!J83</f>
        <v>2363.8130000000001</v>
      </c>
      <c r="J217" s="118">
        <f>DNSPNZSourceData!L83</f>
        <v>0.188234433096019</v>
      </c>
      <c r="K217" s="119" t="str">
        <f>DNSPNZSourceData!A83</f>
        <v>Horizon Energy</v>
      </c>
    </row>
    <row r="218" spans="1:11" s="120" customFormat="1">
      <c r="A218" s="124">
        <f>DNSPNZSourceData!B84</f>
        <v>2015</v>
      </c>
      <c r="B218" s="125">
        <f>DNSPNZSourceData!C84</f>
        <v>2012</v>
      </c>
      <c r="C218" s="124">
        <f>DNSPNZSourceData!D84</f>
        <v>2</v>
      </c>
      <c r="D218" s="103">
        <f>DNSPNZSourceData!E84</f>
        <v>6931.5298300000013</v>
      </c>
      <c r="E218" s="118">
        <f>DNSPNZSourceData!F84</f>
        <v>1.2216652483575092</v>
      </c>
      <c r="F218" s="117">
        <f>DNSPNZSourceData!G84</f>
        <v>94.722459999999998</v>
      </c>
      <c r="G218" s="103">
        <f>DNSPNZSourceData!H84</f>
        <v>94.722459999999998</v>
      </c>
      <c r="H218" s="103">
        <f>DNSPNZSourceData!I84</f>
        <v>24614.5</v>
      </c>
      <c r="I218" s="103">
        <f>DNSPNZSourceData!J84</f>
        <v>2369.7049999999999</v>
      </c>
      <c r="J218" s="118">
        <f>DNSPNZSourceData!L84</f>
        <v>0.19029583851154469</v>
      </c>
      <c r="K218" s="119" t="str">
        <f>DNSPNZSourceData!A84</f>
        <v>Horizon Energy</v>
      </c>
    </row>
    <row r="219" spans="1:11" s="120" customFormat="1">
      <c r="A219" s="124">
        <f>DNSPNZSourceData!B85</f>
        <v>2015</v>
      </c>
      <c r="B219" s="125">
        <f>DNSPNZSourceData!C85</f>
        <v>2013</v>
      </c>
      <c r="C219" s="124">
        <f>DNSPNZSourceData!D85</f>
        <v>2</v>
      </c>
      <c r="D219" s="103">
        <f>DNSPNZSourceData!E85</f>
        <v>6992.3367739845071</v>
      </c>
      <c r="E219" s="118">
        <f>DNSPNZSourceData!F85</f>
        <v>1.2421813017565195</v>
      </c>
      <c r="F219" s="117">
        <f>DNSPNZSourceData!G85</f>
        <v>85.559591457905867</v>
      </c>
      <c r="G219" s="103">
        <f>DNSPNZSourceData!H85</f>
        <v>94.722459999999998</v>
      </c>
      <c r="H219" s="103">
        <f>DNSPNZSourceData!I85</f>
        <v>24734.05961758085</v>
      </c>
      <c r="I219" s="103">
        <f>DNSPNZSourceData!J85</f>
        <v>2372.63</v>
      </c>
      <c r="J219" s="118">
        <f>DNSPNZSourceData!L85</f>
        <v>0.19210749252938722</v>
      </c>
      <c r="K219" s="119" t="str">
        <f>DNSPNZSourceData!A85</f>
        <v>Horizon Energy</v>
      </c>
    </row>
    <row r="220" spans="1:11" s="120" customFormat="1">
      <c r="A220" s="124">
        <f>DNSPNZSourceData!B86</f>
        <v>2015</v>
      </c>
      <c r="B220" s="125">
        <f>DNSPNZSourceData!C86</f>
        <v>2014</v>
      </c>
      <c r="C220" s="124">
        <f>DNSPNZSourceData!D86</f>
        <v>2</v>
      </c>
      <c r="D220" s="103">
        <f>DNSPNZSourceData!E86</f>
        <v>7731</v>
      </c>
      <c r="E220" s="118">
        <f>DNSPNZSourceData!F86</f>
        <v>1.27237461042106</v>
      </c>
      <c r="F220" s="117">
        <f>DNSPNZSourceData!G86</f>
        <v>85.406460973981268</v>
      </c>
      <c r="G220" s="103">
        <f>DNSPNZSourceData!H86</f>
        <v>94.722459999999998</v>
      </c>
      <c r="H220" s="103">
        <f>DNSPNZSourceData!I86</f>
        <v>24731.8000527453</v>
      </c>
      <c r="I220" s="103">
        <f>DNSPNZSourceData!J86</f>
        <v>2381.3679400000001</v>
      </c>
      <c r="J220" s="118">
        <f>DNSPNZSourceData!L86</f>
        <v>0.19705312737182476</v>
      </c>
      <c r="K220" s="119" t="str">
        <f>DNSPNZSourceData!A86</f>
        <v>Horizon Energy</v>
      </c>
    </row>
    <row r="221" spans="1:11" s="120" customFormat="1">
      <c r="A221" s="124">
        <f>DNSPNZSourceData!B87</f>
        <v>2015</v>
      </c>
      <c r="B221" s="125">
        <f>DNSPNZSourceData!C87</f>
        <v>2015</v>
      </c>
      <c r="C221" s="124">
        <f>DNSPNZSourceData!D87</f>
        <v>2</v>
      </c>
      <c r="D221" s="103">
        <f>DNSPNZSourceData!E87</f>
        <v>7979.563466687965</v>
      </c>
      <c r="E221" s="118">
        <f>DNSPNZSourceData!F87</f>
        <v>1.2816685951411126</v>
      </c>
      <c r="F221" s="117">
        <f>DNSPNZSourceData!G87</f>
        <v>86.018084903376462</v>
      </c>
      <c r="G221" s="103">
        <f>DNSPNZSourceData!H87</f>
        <v>94.722459999999998</v>
      </c>
      <c r="H221" s="103">
        <f>DNSPNZSourceData!I87</f>
        <v>24760.333333333339</v>
      </c>
      <c r="I221" s="103">
        <f>DNSPNZSourceData!J87</f>
        <v>2494.3450499999999</v>
      </c>
      <c r="J221" s="118">
        <f>DNSPNZSourceData!L87</f>
        <v>0.21663467931190999</v>
      </c>
      <c r="K221" s="119" t="str">
        <f>DNSPNZSourceData!A87</f>
        <v>Horizon Energy</v>
      </c>
    </row>
    <row r="222" spans="1:11" s="120" customFormat="1">
      <c r="A222" s="126">
        <f>A221</f>
        <v>2015</v>
      </c>
      <c r="B222" s="127">
        <f>B221+1</f>
        <v>2016</v>
      </c>
      <c r="C222" s="126">
        <f>C221</f>
        <v>2</v>
      </c>
      <c r="D222" s="121">
        <f>DNSPNZSourceData!E88</f>
        <v>9004.5443851238888</v>
      </c>
      <c r="E222" s="122">
        <f>DNSPNZSourceData!F88</f>
        <v>1.2867539916420168</v>
      </c>
      <c r="F222" s="117">
        <f>DNSPNZSourceData!G88</f>
        <v>89.873634147567088</v>
      </c>
      <c r="G222" s="121">
        <f>DNSPNZSourceData!H88</f>
        <v>94.722459999999998</v>
      </c>
      <c r="H222" s="121">
        <f>DNSPNZSourceData!I88</f>
        <v>24818</v>
      </c>
      <c r="I222" s="121">
        <f>DNSPNZSourceData!J88</f>
        <v>2513.50479</v>
      </c>
      <c r="J222" s="122">
        <f>DNSPNZSourceData!L88</f>
        <v>0.21846820510733936</v>
      </c>
      <c r="K222" s="119" t="str">
        <f>DNSPNZSourceData!A88</f>
        <v>Horizon Energy</v>
      </c>
    </row>
    <row r="223" spans="1:11" s="120" customFormat="1">
      <c r="A223" s="126">
        <f>A222</f>
        <v>2015</v>
      </c>
      <c r="B223" s="127">
        <f>B222+1</f>
        <v>2017</v>
      </c>
      <c r="C223" s="126">
        <f>C222</f>
        <v>2</v>
      </c>
      <c r="D223" s="121">
        <f>DNSPNZSourceData!E89</f>
        <v>8723.8324934746033</v>
      </c>
      <c r="E223" s="122">
        <f>DNSPNZSourceData!F89</f>
        <v>1.3063682360796467</v>
      </c>
      <c r="F223" s="117">
        <f>DNSPNZSourceData!G89</f>
        <v>90.194528536311083</v>
      </c>
      <c r="G223" s="121">
        <f>DNSPNZSourceData!H89</f>
        <v>94.722459999999998</v>
      </c>
      <c r="H223" s="121">
        <f>DNSPNZSourceData!I89</f>
        <v>24913</v>
      </c>
      <c r="I223" s="121">
        <f>DNSPNZSourceData!J89</f>
        <v>2519.59184</v>
      </c>
      <c r="J223" s="122">
        <f>DNSPNZSourceData!L89</f>
        <v>0.22094857633766588</v>
      </c>
      <c r="K223" s="119" t="str">
        <f>DNSPNZSourceData!A89</f>
        <v>Horizon Energy</v>
      </c>
    </row>
    <row r="224" spans="1:11" s="120" customFormat="1">
      <c r="A224" s="126">
        <f>A223</f>
        <v>2015</v>
      </c>
      <c r="B224" s="127">
        <f>B223+1</f>
        <v>2018</v>
      </c>
      <c r="C224" s="126">
        <f>C223</f>
        <v>2</v>
      </c>
      <c r="D224" s="121">
        <f>DNSPNZSourceData!E90</f>
        <v>10330.5049915991</v>
      </c>
      <c r="E224" s="122">
        <f>DNSPNZSourceData!F90</f>
        <v>1.3404204496621166</v>
      </c>
      <c r="F224" s="117">
        <f>DNSPNZSourceData!G90</f>
        <v>91.727200794245903</v>
      </c>
      <c r="G224" s="121">
        <f>DNSPNZSourceData!H90</f>
        <v>94.722459999999998</v>
      </c>
      <c r="H224" s="121">
        <f>DNSPNZSourceData!I90</f>
        <v>25000</v>
      </c>
      <c r="I224" s="121">
        <f>DNSPNZSourceData!J90</f>
        <v>2522.0376099999999</v>
      </c>
      <c r="J224" s="122">
        <f>DNSPNZSourceData!L90</f>
        <v>0.22566535397543103</v>
      </c>
      <c r="K224" s="119" t="str">
        <f>DNSPNZSourceData!A90</f>
        <v>Horizon Energy</v>
      </c>
    </row>
    <row r="225" spans="1:11" s="120" customFormat="1">
      <c r="A225" s="126">
        <f>A224</f>
        <v>2015</v>
      </c>
      <c r="B225" s="127">
        <f>B224+1</f>
        <v>2019</v>
      </c>
      <c r="C225" s="126">
        <f>C224</f>
        <v>2</v>
      </c>
      <c r="D225" s="121">
        <f>DNSPNZSourceData!E91</f>
        <v>9468.8363742518395</v>
      </c>
      <c r="E225" s="122">
        <f>DNSPNZSourceData!F91</f>
        <v>1.3740587734764929</v>
      </c>
      <c r="F225" s="117">
        <f>DNSPNZSourceData!G91</f>
        <v>91.841553733260895</v>
      </c>
      <c r="G225" s="121">
        <f>DNSPNZSourceData!H91</f>
        <v>94.722459999999998</v>
      </c>
      <c r="H225" s="121">
        <f>DNSPNZSourceData!I91</f>
        <v>25136</v>
      </c>
      <c r="I225" s="121">
        <f>DNSPNZSourceData!J91</f>
        <v>2588</v>
      </c>
      <c r="J225" s="122">
        <f>DNSPNZSourceData!L91</f>
        <v>0.22179289026275115</v>
      </c>
      <c r="K225" s="119" t="str">
        <f>DNSPNZSourceData!A91</f>
        <v>Horizon Energy</v>
      </c>
    </row>
    <row r="226" spans="1:11" s="120" customFormat="1">
      <c r="A226" s="126">
        <f>A225</f>
        <v>2015</v>
      </c>
      <c r="B226" s="127">
        <f>B225+1</f>
        <v>2020</v>
      </c>
      <c r="C226" s="126">
        <f>C225</f>
        <v>2</v>
      </c>
      <c r="D226" s="121">
        <f>DNSPNZSourceData!E92</f>
        <v>10290.29167519387</v>
      </c>
      <c r="E226" s="122">
        <f>DNSPNZSourceData!F92</f>
        <v>1.4000516345247649</v>
      </c>
      <c r="F226" s="117">
        <f>DNSPNZSourceData!G92</f>
        <v>97.027540134065703</v>
      </c>
      <c r="G226" s="121">
        <f>DNSPNZSourceData!H92</f>
        <v>97.027540134065703</v>
      </c>
      <c r="H226" s="121">
        <f>DNSPNZSourceData!I92</f>
        <v>25255</v>
      </c>
      <c r="I226" s="121">
        <f>DNSPNZSourceData!J92</f>
        <v>2597.3216600000001</v>
      </c>
      <c r="J226" s="122">
        <f>DNSPNZSourceData!L92</f>
        <v>0.22858323600935893</v>
      </c>
      <c r="K226" s="119" t="str">
        <f>DNSPNZSourceData!A92</f>
        <v>Horizon Energy</v>
      </c>
    </row>
    <row r="227" spans="1:11" s="120" customFormat="1">
      <c r="A227" s="124">
        <f>DNSPNZSourceData!B108</f>
        <v>2016</v>
      </c>
      <c r="B227" s="125">
        <f>DNSPNZSourceData!C108</f>
        <v>2006</v>
      </c>
      <c r="C227" s="124">
        <f>DNSPNZSourceData!D108</f>
        <v>2</v>
      </c>
      <c r="D227" s="103">
        <f>DNSPNZSourceData!E108</f>
        <v>11879.706591849654</v>
      </c>
      <c r="E227" s="118">
        <f>DNSPNZSourceData!F108</f>
        <v>1</v>
      </c>
      <c r="F227" s="117">
        <f>DNSPNZSourceData!G108</f>
        <v>58.226000000000006</v>
      </c>
      <c r="G227" s="103">
        <f>DNSPNZSourceData!H108</f>
        <v>58.226000000000006</v>
      </c>
      <c r="H227" s="103">
        <f>DNSPNZSourceData!I108</f>
        <v>22547</v>
      </c>
      <c r="I227" s="103">
        <f>DNSPNZSourceData!J108</f>
        <v>3213</v>
      </c>
      <c r="J227" s="118">
        <f>DNSPNZSourceData!L108</f>
        <v>0.10550887021475257</v>
      </c>
      <c r="K227" s="119" t="str">
        <f>DNSPNZSourceData!A108</f>
        <v>Marlborough Lines</v>
      </c>
    </row>
    <row r="228" spans="1:11" s="120" customFormat="1">
      <c r="A228" s="124">
        <f>DNSPNZSourceData!B109</f>
        <v>2016</v>
      </c>
      <c r="B228" s="125">
        <f>DNSPNZSourceData!C109</f>
        <v>2007</v>
      </c>
      <c r="C228" s="124">
        <f>DNSPNZSourceData!D109</f>
        <v>2</v>
      </c>
      <c r="D228" s="103">
        <f>DNSPNZSourceData!E109</f>
        <v>13181.393296608938</v>
      </c>
      <c r="E228" s="118">
        <f>DNSPNZSourceData!F109</f>
        <v>1.0438528231223547</v>
      </c>
      <c r="F228" s="117">
        <f>DNSPNZSourceData!G109</f>
        <v>63.186000000000007</v>
      </c>
      <c r="G228" s="103">
        <f>DNSPNZSourceData!H109</f>
        <v>63.186000000000007</v>
      </c>
      <c r="H228" s="103">
        <f>DNSPNZSourceData!I109</f>
        <v>23033.5</v>
      </c>
      <c r="I228" s="103">
        <f>DNSPNZSourceData!J109</f>
        <v>3264</v>
      </c>
      <c r="J228" s="118">
        <f>DNSPNZSourceData!L109</f>
        <v>0.11427696078431372</v>
      </c>
      <c r="K228" s="119" t="str">
        <f>DNSPNZSourceData!A109</f>
        <v>Marlborough Lines</v>
      </c>
    </row>
    <row r="229" spans="1:11" s="120" customFormat="1">
      <c r="A229" s="124">
        <f>DNSPNZSourceData!B110</f>
        <v>2016</v>
      </c>
      <c r="B229" s="125">
        <f>DNSPNZSourceData!C110</f>
        <v>2008</v>
      </c>
      <c r="C229" s="124">
        <f>DNSPNZSourceData!D110</f>
        <v>2</v>
      </c>
      <c r="D229" s="103">
        <f>DNSPNZSourceData!E110</f>
        <v>13631</v>
      </c>
      <c r="E229" s="118">
        <f>DNSPNZSourceData!F110</f>
        <v>1.0903851002750273</v>
      </c>
      <c r="F229" s="117">
        <f>DNSPNZSourceData!G110</f>
        <v>70</v>
      </c>
      <c r="G229" s="103">
        <f>DNSPNZSourceData!H110</f>
        <v>70</v>
      </c>
      <c r="H229" s="103">
        <f>DNSPNZSourceData!I110</f>
        <v>23359.5</v>
      </c>
      <c r="I229" s="103">
        <f>DNSPNZSourceData!J110</f>
        <v>3463.654</v>
      </c>
      <c r="J229" s="118">
        <f>DNSPNZSourceData!L110</f>
        <v>0.13277885146726548</v>
      </c>
      <c r="K229" s="119" t="str">
        <f>DNSPNZSourceData!A110</f>
        <v>Marlborough Lines</v>
      </c>
    </row>
    <row r="230" spans="1:11" s="120" customFormat="1">
      <c r="A230" s="124">
        <f>DNSPNZSourceData!B111</f>
        <v>2016</v>
      </c>
      <c r="B230" s="125">
        <f>DNSPNZSourceData!C111</f>
        <v>2009</v>
      </c>
      <c r="C230" s="124">
        <f>DNSPNZSourceData!D111</f>
        <v>2</v>
      </c>
      <c r="D230" s="103">
        <f>DNSPNZSourceData!E111</f>
        <v>14018.584000000001</v>
      </c>
      <c r="E230" s="118">
        <f>DNSPNZSourceData!F111</f>
        <v>1.1562469092885455</v>
      </c>
      <c r="F230" s="117">
        <f>DNSPNZSourceData!G111</f>
        <v>69</v>
      </c>
      <c r="G230" s="103">
        <f>DNSPNZSourceData!H111</f>
        <v>70</v>
      </c>
      <c r="H230" s="103">
        <f>DNSPNZSourceData!I111</f>
        <v>23727</v>
      </c>
      <c r="I230" s="103">
        <f>DNSPNZSourceData!J111</f>
        <v>3320</v>
      </c>
      <c r="J230" s="118">
        <f>DNSPNZSourceData!L111</f>
        <v>0.1322289156626506</v>
      </c>
      <c r="K230" s="119" t="str">
        <f>DNSPNZSourceData!A111</f>
        <v>Marlborough Lines</v>
      </c>
    </row>
    <row r="231" spans="1:11" s="120" customFormat="1">
      <c r="A231" s="124">
        <f>DNSPNZSourceData!B112</f>
        <v>2016</v>
      </c>
      <c r="B231" s="125">
        <f>DNSPNZSourceData!C112</f>
        <v>2010</v>
      </c>
      <c r="C231" s="124">
        <f>DNSPNZSourceData!D112</f>
        <v>2</v>
      </c>
      <c r="D231" s="103">
        <f>DNSPNZSourceData!E112</f>
        <v>15641.800000000001</v>
      </c>
      <c r="E231" s="118">
        <f>DNSPNZSourceData!F112</f>
        <v>1.1601923412470114</v>
      </c>
      <c r="F231" s="117">
        <f>DNSPNZSourceData!G112</f>
        <v>71</v>
      </c>
      <c r="G231" s="103">
        <f>DNSPNZSourceData!H112</f>
        <v>71</v>
      </c>
      <c r="H231" s="103">
        <f>DNSPNZSourceData!I112</f>
        <v>23971.5</v>
      </c>
      <c r="I231" s="103">
        <f>DNSPNZSourceData!J112</f>
        <v>3334</v>
      </c>
      <c r="J231" s="118">
        <f>DNSPNZSourceData!L112</f>
        <v>0.13617276544691062</v>
      </c>
      <c r="K231" s="119" t="str">
        <f>DNSPNZSourceData!A112</f>
        <v>Marlborough Lines</v>
      </c>
    </row>
    <row r="232" spans="1:11" s="120" customFormat="1">
      <c r="A232" s="124">
        <f>DNSPNZSourceData!B113</f>
        <v>2016</v>
      </c>
      <c r="B232" s="125">
        <f>DNSPNZSourceData!C113</f>
        <v>2011</v>
      </c>
      <c r="C232" s="124">
        <f>DNSPNZSourceData!D113</f>
        <v>2</v>
      </c>
      <c r="D232" s="103">
        <f>DNSPNZSourceData!E113</f>
        <v>16664.400000000001</v>
      </c>
      <c r="E232" s="118">
        <f>DNSPNZSourceData!F113</f>
        <v>1.1900846681215445</v>
      </c>
      <c r="F232" s="117">
        <f>DNSPNZSourceData!G113</f>
        <v>68.010000000000005</v>
      </c>
      <c r="G232" s="103">
        <f>DNSPNZSourceData!H113</f>
        <v>71</v>
      </c>
      <c r="H232" s="103">
        <f>DNSPNZSourceData!I113</f>
        <v>24171.5</v>
      </c>
      <c r="I232" s="103">
        <f>DNSPNZSourceData!J113</f>
        <v>3349</v>
      </c>
      <c r="J232" s="118">
        <f>DNSPNZSourceData!L113</f>
        <v>0.14093759331143624</v>
      </c>
      <c r="K232" s="119" t="str">
        <f>DNSPNZSourceData!A113</f>
        <v>Marlborough Lines</v>
      </c>
    </row>
    <row r="233" spans="1:11" s="120" customFormat="1">
      <c r="A233" s="124">
        <f>DNSPNZSourceData!B114</f>
        <v>2016</v>
      </c>
      <c r="B233" s="125">
        <f>DNSPNZSourceData!C114</f>
        <v>2012</v>
      </c>
      <c r="C233" s="124">
        <f>DNSPNZSourceData!D114</f>
        <v>2</v>
      </c>
      <c r="D233" s="103">
        <f>DNSPNZSourceData!E114</f>
        <v>13603.999999999998</v>
      </c>
      <c r="E233" s="118">
        <f>DNSPNZSourceData!F114</f>
        <v>1.2216652483575092</v>
      </c>
      <c r="F233" s="117">
        <f>DNSPNZSourceData!G114</f>
        <v>70</v>
      </c>
      <c r="G233" s="103">
        <f>DNSPNZSourceData!H114</f>
        <v>71</v>
      </c>
      <c r="H233" s="103">
        <f>DNSPNZSourceData!I114</f>
        <v>24314.5</v>
      </c>
      <c r="I233" s="103">
        <f>DNSPNZSourceData!J114</f>
        <v>3369</v>
      </c>
      <c r="J233" s="118">
        <f>DNSPNZSourceData!L114</f>
        <v>0.14692787177203917</v>
      </c>
      <c r="K233" s="119" t="str">
        <f>DNSPNZSourceData!A114</f>
        <v>Marlborough Lines</v>
      </c>
    </row>
    <row r="234" spans="1:11" s="120" customFormat="1">
      <c r="A234" s="124">
        <f>DNSPNZSourceData!B115</f>
        <v>2016</v>
      </c>
      <c r="B234" s="125">
        <f>DNSPNZSourceData!C115</f>
        <v>2013</v>
      </c>
      <c r="C234" s="124">
        <f>DNSPNZSourceData!D115</f>
        <v>2</v>
      </c>
      <c r="D234" s="103">
        <f>DNSPNZSourceData!E115</f>
        <v>11574</v>
      </c>
      <c r="E234" s="118">
        <f>DNSPNZSourceData!F115</f>
        <v>1.2421813017565195</v>
      </c>
      <c r="F234" s="117">
        <f>DNSPNZSourceData!G115</f>
        <v>69.876636986301364</v>
      </c>
      <c r="G234" s="103">
        <f>DNSPNZSourceData!H115</f>
        <v>71</v>
      </c>
      <c r="H234" s="103">
        <f>DNSPNZSourceData!I115</f>
        <v>24445</v>
      </c>
      <c r="I234" s="103">
        <f>DNSPNZSourceData!J115</f>
        <v>3300.125</v>
      </c>
      <c r="J234" s="118">
        <f>DNSPNZSourceData!L115</f>
        <v>0.13418976553918413</v>
      </c>
      <c r="K234" s="119" t="str">
        <f>DNSPNZSourceData!A115</f>
        <v>Marlborough Lines</v>
      </c>
    </row>
    <row r="235" spans="1:11" s="120" customFormat="1">
      <c r="A235" s="124">
        <f>DNSPNZSourceData!B116</f>
        <v>2016</v>
      </c>
      <c r="B235" s="125">
        <f>DNSPNZSourceData!C116</f>
        <v>2014</v>
      </c>
      <c r="C235" s="124">
        <f>DNSPNZSourceData!D116</f>
        <v>2</v>
      </c>
      <c r="D235" s="103">
        <f>DNSPNZSourceData!E116</f>
        <v>12428</v>
      </c>
      <c r="E235" s="118">
        <f>DNSPNZSourceData!F116</f>
        <v>1.27237461042106</v>
      </c>
      <c r="F235" s="117">
        <f>DNSPNZSourceData!G116</f>
        <v>68.082191780821915</v>
      </c>
      <c r="G235" s="103">
        <f>DNSPNZSourceData!H116</f>
        <v>71</v>
      </c>
      <c r="H235" s="103">
        <f>DNSPNZSourceData!I116</f>
        <v>24522.666666666661</v>
      </c>
      <c r="I235" s="103">
        <f>DNSPNZSourceData!J116</f>
        <v>3371.226000000001</v>
      </c>
      <c r="J235" s="118">
        <f>DNSPNZSourceData!L116</f>
        <v>0.15347413670872259</v>
      </c>
      <c r="K235" s="119" t="str">
        <f>DNSPNZSourceData!A116</f>
        <v>Marlborough Lines</v>
      </c>
    </row>
    <row r="236" spans="1:11" s="120" customFormat="1">
      <c r="A236" s="124">
        <f>DNSPNZSourceData!B117</f>
        <v>2016</v>
      </c>
      <c r="B236" s="125">
        <f>DNSPNZSourceData!C117</f>
        <v>2015</v>
      </c>
      <c r="C236" s="124">
        <f>DNSPNZSourceData!D117</f>
        <v>2</v>
      </c>
      <c r="D236" s="103">
        <f>DNSPNZSourceData!E117</f>
        <v>12486</v>
      </c>
      <c r="E236" s="118">
        <f>DNSPNZSourceData!F117</f>
        <v>1.2816685951411126</v>
      </c>
      <c r="F236" s="117">
        <f>DNSPNZSourceData!G117</f>
        <v>69.61643835616438</v>
      </c>
      <c r="G236" s="103">
        <f>DNSPNZSourceData!H117</f>
        <v>71</v>
      </c>
      <c r="H236" s="103">
        <f>DNSPNZSourceData!I117</f>
        <v>24674.083333333339</v>
      </c>
      <c r="I236" s="103">
        <f>DNSPNZSourceData!J117</f>
        <v>3380.467000000001</v>
      </c>
      <c r="J236" s="118">
        <f>DNSPNZSourceData!L117</f>
        <v>0.15788114482407306</v>
      </c>
      <c r="K236" s="119" t="str">
        <f>DNSPNZSourceData!A117</f>
        <v>Marlborough Lines</v>
      </c>
    </row>
    <row r="237" spans="1:11" s="120" customFormat="1">
      <c r="A237" s="126">
        <f>A236</f>
        <v>2016</v>
      </c>
      <c r="B237" s="127">
        <f>B236+1</f>
        <v>2016</v>
      </c>
      <c r="C237" s="126">
        <f>C236</f>
        <v>2</v>
      </c>
      <c r="D237" s="121">
        <f>DNSPNZSourceData!E118</f>
        <v>13151</v>
      </c>
      <c r="E237" s="122">
        <f>DNSPNZSourceData!F118</f>
        <v>1.2867539916420168</v>
      </c>
      <c r="F237" s="117">
        <f>DNSPNZSourceData!G118</f>
        <v>68.183835616438358</v>
      </c>
      <c r="G237" s="121">
        <f>DNSPNZSourceData!H118</f>
        <v>71</v>
      </c>
      <c r="H237" s="121">
        <f>DNSPNZSourceData!I118</f>
        <v>24870</v>
      </c>
      <c r="I237" s="121">
        <f>DNSPNZSourceData!J118</f>
        <v>3383.2134000000001</v>
      </c>
      <c r="J237" s="122">
        <f>DNSPNZSourceData!L118</f>
        <v>0.16162545348159241</v>
      </c>
      <c r="K237" s="119" t="str">
        <f>DNSPNZSourceData!A118</f>
        <v>Marlborough Lines</v>
      </c>
    </row>
    <row r="238" spans="1:11" s="120" customFormat="1">
      <c r="A238" s="126">
        <f>A237</f>
        <v>2016</v>
      </c>
      <c r="B238" s="127">
        <f>B237+1</f>
        <v>2017</v>
      </c>
      <c r="C238" s="126">
        <f>C237</f>
        <v>2</v>
      </c>
      <c r="D238" s="121">
        <f>DNSPNZSourceData!E119</f>
        <v>16076</v>
      </c>
      <c r="E238" s="122">
        <f>DNSPNZSourceData!F119</f>
        <v>1.3063682360796467</v>
      </c>
      <c r="F238" s="117">
        <f>DNSPNZSourceData!G119</f>
        <v>68.082191780821915</v>
      </c>
      <c r="G238" s="121">
        <f>DNSPNZSourceData!H119</f>
        <v>71</v>
      </c>
      <c r="H238" s="121">
        <f>DNSPNZSourceData!I119</f>
        <v>25132.666666666661</v>
      </c>
      <c r="I238" s="121">
        <f>DNSPNZSourceData!J119</f>
        <v>3395.9438339459498</v>
      </c>
      <c r="J238" s="122">
        <f>DNSPNZSourceData!L119</f>
        <v>0.16085186986709241</v>
      </c>
      <c r="K238" s="119" t="str">
        <f>DNSPNZSourceData!A119</f>
        <v>Marlborough Lines</v>
      </c>
    </row>
    <row r="239" spans="1:11" s="120" customFormat="1">
      <c r="A239" s="126">
        <f>A238</f>
        <v>2016</v>
      </c>
      <c r="B239" s="127">
        <f>B238+1</f>
        <v>2018</v>
      </c>
      <c r="C239" s="126">
        <f>C238</f>
        <v>2</v>
      </c>
      <c r="D239" s="121">
        <f>DNSPNZSourceData!E120</f>
        <v>14956</v>
      </c>
      <c r="E239" s="122">
        <f>DNSPNZSourceData!F120</f>
        <v>1.3404204496621166</v>
      </c>
      <c r="F239" s="117">
        <f>DNSPNZSourceData!G120</f>
        <v>70.32027397260272</v>
      </c>
      <c r="G239" s="121">
        <f>DNSPNZSourceData!H120</f>
        <v>71</v>
      </c>
      <c r="H239" s="121">
        <f>DNSPNZSourceData!I120</f>
        <v>25374.083333333328</v>
      </c>
      <c r="I239" s="121">
        <f>DNSPNZSourceData!J120</f>
        <v>3385.6069770712679</v>
      </c>
      <c r="J239" s="122">
        <f>DNSPNZSourceData!L120</f>
        <v>0.16220312361322992</v>
      </c>
      <c r="K239" s="119" t="str">
        <f>DNSPNZSourceData!A120</f>
        <v>Marlborough Lines</v>
      </c>
    </row>
    <row r="240" spans="1:11" s="120" customFormat="1">
      <c r="A240" s="126">
        <f>A239</f>
        <v>2016</v>
      </c>
      <c r="B240" s="127">
        <f>B239+1</f>
        <v>2019</v>
      </c>
      <c r="C240" s="126">
        <f>C239</f>
        <v>2</v>
      </c>
      <c r="D240" s="121">
        <f>DNSPNZSourceData!E121</f>
        <v>15194</v>
      </c>
      <c r="E240" s="122">
        <f>DNSPNZSourceData!F121</f>
        <v>1.3740587734764929</v>
      </c>
      <c r="F240" s="117">
        <f>DNSPNZSourceData!G121</f>
        <v>75.786986301369851</v>
      </c>
      <c r="G240" s="121">
        <f>DNSPNZSourceData!H121</f>
        <v>75.786986301369851</v>
      </c>
      <c r="H240" s="121">
        <f>DNSPNZSourceData!I121</f>
        <v>25629</v>
      </c>
      <c r="I240" s="121">
        <f>DNSPNZSourceData!J121</f>
        <v>3359.8644887701412</v>
      </c>
      <c r="J240" s="122">
        <f>DNSPNZSourceData!L121</f>
        <v>0.16131488725408583</v>
      </c>
      <c r="K240" s="119" t="str">
        <f>DNSPNZSourceData!A121</f>
        <v>Marlborough Lines</v>
      </c>
    </row>
    <row r="241" spans="1:11" s="120" customFormat="1">
      <c r="A241" s="126">
        <f>A240</f>
        <v>2016</v>
      </c>
      <c r="B241" s="127">
        <f>B240+1</f>
        <v>2020</v>
      </c>
      <c r="C241" s="126">
        <f>C240</f>
        <v>2</v>
      </c>
      <c r="D241" s="121">
        <f>DNSPNZSourceData!E122</f>
        <v>16437</v>
      </c>
      <c r="E241" s="122">
        <f>DNSPNZSourceData!F122</f>
        <v>1.4000516345247649</v>
      </c>
      <c r="F241" s="117">
        <f>DNSPNZSourceData!G122</f>
        <v>71.352054794520541</v>
      </c>
      <c r="G241" s="121">
        <f>DNSPNZSourceData!H122</f>
        <v>75.786986301369851</v>
      </c>
      <c r="H241" s="121">
        <f>DNSPNZSourceData!I122</f>
        <v>25854.75</v>
      </c>
      <c r="I241" s="121">
        <f>DNSPNZSourceData!J122</f>
        <v>3412</v>
      </c>
      <c r="J241" s="122">
        <f>DNSPNZSourceData!L122</f>
        <v>0.17057444314185227</v>
      </c>
      <c r="K241" s="119" t="str">
        <f>DNSPNZSourceData!A122</f>
        <v>Marlborough Lines</v>
      </c>
    </row>
    <row r="242" spans="1:11" s="120" customFormat="1">
      <c r="A242" s="124">
        <f>DNSPNZSourceData!B168</f>
        <v>2017</v>
      </c>
      <c r="B242" s="125">
        <f>DNSPNZSourceData!C168</f>
        <v>2006</v>
      </c>
      <c r="C242" s="124">
        <f>DNSPNZSourceData!D168</f>
        <v>2</v>
      </c>
      <c r="D242" s="103">
        <f>DNSPNZSourceData!E168</f>
        <v>4519.7889212407272</v>
      </c>
      <c r="E242" s="118">
        <f>DNSPNZSourceData!F168</f>
        <v>1</v>
      </c>
      <c r="F242" s="117">
        <f>DNSPNZSourceData!G168</f>
        <v>65.983076923076936</v>
      </c>
      <c r="G242" s="103">
        <f>DNSPNZSourceData!H168</f>
        <v>65.983076923076936</v>
      </c>
      <c r="H242" s="103">
        <f>DNSPNZSourceData!I168</f>
        <v>25535</v>
      </c>
      <c r="I242" s="103">
        <f>DNSPNZSourceData!J168</f>
        <v>4409.1000000000004</v>
      </c>
      <c r="J242" s="118">
        <f>DNSPNZSourceData!L168</f>
        <v>5.6133904878546637E-2</v>
      </c>
      <c r="K242" s="119" t="str">
        <f>DNSPNZSourceData!A168</f>
        <v>The Lines Company</v>
      </c>
    </row>
    <row r="243" spans="1:11" s="120" customFormat="1">
      <c r="A243" s="124">
        <f>DNSPNZSourceData!B169</f>
        <v>2017</v>
      </c>
      <c r="B243" s="125">
        <f>DNSPNZSourceData!C169</f>
        <v>2007</v>
      </c>
      <c r="C243" s="124">
        <f>DNSPNZSourceData!D169</f>
        <v>2</v>
      </c>
      <c r="D243" s="103">
        <f>DNSPNZSourceData!E169</f>
        <v>4681.9796633850283</v>
      </c>
      <c r="E243" s="118">
        <f>DNSPNZSourceData!F169</f>
        <v>1.0438528231223547</v>
      </c>
      <c r="F243" s="117">
        <f>DNSPNZSourceData!G169</f>
        <v>69.228923076923081</v>
      </c>
      <c r="G243" s="103">
        <f>DNSPNZSourceData!H169</f>
        <v>69.228923076923081</v>
      </c>
      <c r="H243" s="103">
        <f>DNSPNZSourceData!I169</f>
        <v>24770</v>
      </c>
      <c r="I243" s="103">
        <f>DNSPNZSourceData!J169</f>
        <v>4380.8</v>
      </c>
      <c r="J243" s="118">
        <f>DNSPNZSourceData!L169</f>
        <v>5.5241051862673481E-2</v>
      </c>
      <c r="K243" s="119" t="str">
        <f>DNSPNZSourceData!A169</f>
        <v>The Lines Company</v>
      </c>
    </row>
    <row r="244" spans="1:11" s="120" customFormat="1">
      <c r="A244" s="124">
        <f>DNSPNZSourceData!B170</f>
        <v>2017</v>
      </c>
      <c r="B244" s="125">
        <f>DNSPNZSourceData!C170</f>
        <v>2008</v>
      </c>
      <c r="C244" s="124">
        <f>DNSPNZSourceData!D170</f>
        <v>2</v>
      </c>
      <c r="D244" s="103">
        <f>DNSPNZSourceData!E170</f>
        <v>5531.9999999999991</v>
      </c>
      <c r="E244" s="118">
        <f>DNSPNZSourceData!F170</f>
        <v>1.0903851002750273</v>
      </c>
      <c r="F244" s="117">
        <f>DNSPNZSourceData!G170</f>
        <v>77</v>
      </c>
      <c r="G244" s="103">
        <f>DNSPNZSourceData!H170</f>
        <v>77</v>
      </c>
      <c r="H244" s="103">
        <f>DNSPNZSourceData!I170</f>
        <v>23293.5</v>
      </c>
      <c r="I244" s="103">
        <f>DNSPNZSourceData!J170</f>
        <v>4359.96</v>
      </c>
      <c r="J244" s="118">
        <f>DNSPNZSourceData!L170</f>
        <v>4.8151817906586299E-2</v>
      </c>
      <c r="K244" s="119" t="str">
        <f>DNSPNZSourceData!A170</f>
        <v>The Lines Company</v>
      </c>
    </row>
    <row r="245" spans="1:11" s="120" customFormat="1">
      <c r="A245" s="124">
        <f>DNSPNZSourceData!B171</f>
        <v>2017</v>
      </c>
      <c r="B245" s="125">
        <f>DNSPNZSourceData!C171</f>
        <v>2009</v>
      </c>
      <c r="C245" s="124">
        <f>DNSPNZSourceData!D171</f>
        <v>2</v>
      </c>
      <c r="D245" s="103">
        <f>DNSPNZSourceData!E171</f>
        <v>6598.9999999999991</v>
      </c>
      <c r="E245" s="118">
        <f>DNSPNZSourceData!F171</f>
        <v>1.1562469092885455</v>
      </c>
      <c r="F245" s="117">
        <f>DNSPNZSourceData!G171</f>
        <v>75</v>
      </c>
      <c r="G245" s="103">
        <f>DNSPNZSourceData!H171</f>
        <v>77</v>
      </c>
      <c r="H245" s="103">
        <f>DNSPNZSourceData!I171</f>
        <v>23706.5</v>
      </c>
      <c r="I245" s="103">
        <f>DNSPNZSourceData!J171</f>
        <v>4416.79</v>
      </c>
      <c r="J245" s="118">
        <f>DNSPNZSourceData!L171</f>
        <v>6.1762048908822927E-2</v>
      </c>
      <c r="K245" s="119" t="str">
        <f>DNSPNZSourceData!A171</f>
        <v>The Lines Company</v>
      </c>
    </row>
    <row r="246" spans="1:11" s="120" customFormat="1">
      <c r="A246" s="124">
        <f>DNSPNZSourceData!B172</f>
        <v>2017</v>
      </c>
      <c r="B246" s="125">
        <f>DNSPNZSourceData!C172</f>
        <v>2010</v>
      </c>
      <c r="C246" s="124">
        <f>DNSPNZSourceData!D172</f>
        <v>2</v>
      </c>
      <c r="D246" s="103">
        <f>DNSPNZSourceData!E172</f>
        <v>6869</v>
      </c>
      <c r="E246" s="118">
        <f>DNSPNZSourceData!F172</f>
        <v>1.1601923412470114</v>
      </c>
      <c r="F246" s="117">
        <f>DNSPNZSourceData!G172</f>
        <v>79.88</v>
      </c>
      <c r="G246" s="103">
        <f>DNSPNZSourceData!H172</f>
        <v>79.88</v>
      </c>
      <c r="H246" s="103">
        <f>DNSPNZSourceData!I172</f>
        <v>24310</v>
      </c>
      <c r="I246" s="103">
        <f>DNSPNZSourceData!J172</f>
        <v>4490.8999999999996</v>
      </c>
      <c r="J246" s="118">
        <f>DNSPNZSourceData!L172</f>
        <v>6.3439399674898131E-2</v>
      </c>
      <c r="K246" s="119" t="str">
        <f>DNSPNZSourceData!A172</f>
        <v>The Lines Company</v>
      </c>
    </row>
    <row r="247" spans="1:11" s="120" customFormat="1">
      <c r="A247" s="124">
        <f>DNSPNZSourceData!B173</f>
        <v>2017</v>
      </c>
      <c r="B247" s="125">
        <f>DNSPNZSourceData!C173</f>
        <v>2011</v>
      </c>
      <c r="C247" s="124">
        <f>DNSPNZSourceData!D173</f>
        <v>2</v>
      </c>
      <c r="D247" s="103">
        <f>DNSPNZSourceData!E173</f>
        <v>7147.3181249999998</v>
      </c>
      <c r="E247" s="118">
        <f>DNSPNZSourceData!F173</f>
        <v>1.1900846681215445</v>
      </c>
      <c r="F247" s="117">
        <f>DNSPNZSourceData!G173</f>
        <v>79.88</v>
      </c>
      <c r="G247" s="103">
        <f>DNSPNZSourceData!H173</f>
        <v>79.88</v>
      </c>
      <c r="H247" s="103">
        <f>DNSPNZSourceData!I173</f>
        <v>24454.5</v>
      </c>
      <c r="I247" s="103">
        <f>DNSPNZSourceData!J173</f>
        <v>5001</v>
      </c>
      <c r="J247" s="118">
        <f>DNSPNZSourceData!L173</f>
        <v>5.8788242351529692E-2</v>
      </c>
      <c r="K247" s="119" t="str">
        <f>DNSPNZSourceData!A173</f>
        <v>The Lines Company</v>
      </c>
    </row>
    <row r="248" spans="1:11" s="120" customFormat="1">
      <c r="A248" s="124">
        <f>DNSPNZSourceData!B174</f>
        <v>2017</v>
      </c>
      <c r="B248" s="125">
        <f>DNSPNZSourceData!C174</f>
        <v>2012</v>
      </c>
      <c r="C248" s="124">
        <f>DNSPNZSourceData!D174</f>
        <v>2</v>
      </c>
      <c r="D248" s="103">
        <f>DNSPNZSourceData!E174</f>
        <v>8671.8429840000099</v>
      </c>
      <c r="E248" s="118">
        <f>DNSPNZSourceData!F174</f>
        <v>1.2216652483575092</v>
      </c>
      <c r="F248" s="117">
        <f>DNSPNZSourceData!G174</f>
        <v>70</v>
      </c>
      <c r="G248" s="103">
        <f>DNSPNZSourceData!H174</f>
        <v>79.88</v>
      </c>
      <c r="H248" s="103">
        <f>DNSPNZSourceData!I174</f>
        <v>24394.5</v>
      </c>
      <c r="I248" s="103">
        <f>DNSPNZSourceData!J174</f>
        <v>4417.7</v>
      </c>
      <c r="J248" s="118">
        <f>DNSPNZSourceData!L174</f>
        <v>6.6935283065848741E-2</v>
      </c>
      <c r="K248" s="119" t="str">
        <f>DNSPNZSourceData!A174</f>
        <v>The Lines Company</v>
      </c>
    </row>
    <row r="249" spans="1:11" s="120" customFormat="1">
      <c r="A249" s="124">
        <f>DNSPNZSourceData!B175</f>
        <v>2017</v>
      </c>
      <c r="B249" s="125">
        <f>DNSPNZSourceData!C175</f>
        <v>2013</v>
      </c>
      <c r="C249" s="124">
        <f>DNSPNZSourceData!D175</f>
        <v>2</v>
      </c>
      <c r="D249" s="103">
        <f>DNSPNZSourceData!E175</f>
        <v>9736.5836439999948</v>
      </c>
      <c r="E249" s="118">
        <f>DNSPNZSourceData!F175</f>
        <v>1.2421813017565195</v>
      </c>
      <c r="F249" s="117">
        <f>DNSPNZSourceData!G175</f>
        <v>66.443457695433523</v>
      </c>
      <c r="G249" s="103">
        <f>DNSPNZSourceData!H175</f>
        <v>79.88</v>
      </c>
      <c r="H249" s="103">
        <f>DNSPNZSourceData!I175</f>
        <v>23508</v>
      </c>
      <c r="I249" s="103">
        <f>DNSPNZSourceData!J175</f>
        <v>4340.0304100000103</v>
      </c>
      <c r="J249" s="118">
        <f>DNSPNZSourceData!L175</f>
        <v>6.8945719668355804E-2</v>
      </c>
      <c r="K249" s="119" t="str">
        <f>DNSPNZSourceData!A175</f>
        <v>The Lines Company</v>
      </c>
    </row>
    <row r="250" spans="1:11" s="120" customFormat="1">
      <c r="A250" s="124">
        <f>DNSPNZSourceData!B176</f>
        <v>2017</v>
      </c>
      <c r="B250" s="125">
        <f>DNSPNZSourceData!C176</f>
        <v>2014</v>
      </c>
      <c r="C250" s="124">
        <f>DNSPNZSourceData!D176</f>
        <v>2</v>
      </c>
      <c r="D250" s="103">
        <f>DNSPNZSourceData!E176</f>
        <v>10693</v>
      </c>
      <c r="E250" s="118">
        <f>DNSPNZSourceData!F176</f>
        <v>1.27237461042106</v>
      </c>
      <c r="F250" s="117">
        <f>DNSPNZSourceData!G176</f>
        <v>65.882352941176464</v>
      </c>
      <c r="G250" s="103">
        <f>DNSPNZSourceData!H176</f>
        <v>79.88</v>
      </c>
      <c r="H250" s="103">
        <f>DNSPNZSourceData!I176</f>
        <v>23595</v>
      </c>
      <c r="I250" s="103">
        <f>DNSPNZSourceData!J176</f>
        <v>4250.6271400000151</v>
      </c>
      <c r="J250" s="118">
        <f>DNSPNZSourceData!L176</f>
        <v>5.9353832197100005E-2</v>
      </c>
      <c r="K250" s="119" t="str">
        <f>DNSPNZSourceData!A176</f>
        <v>The Lines Company</v>
      </c>
    </row>
    <row r="251" spans="1:11" s="120" customFormat="1">
      <c r="A251" s="124">
        <f>DNSPNZSourceData!B177</f>
        <v>2017</v>
      </c>
      <c r="B251" s="125">
        <f>DNSPNZSourceData!C177</f>
        <v>2015</v>
      </c>
      <c r="C251" s="124">
        <f>DNSPNZSourceData!D177</f>
        <v>2</v>
      </c>
      <c r="D251" s="103">
        <f>DNSPNZSourceData!E177</f>
        <v>10062</v>
      </c>
      <c r="E251" s="118">
        <f>DNSPNZSourceData!F177</f>
        <v>1.2816685951411126</v>
      </c>
      <c r="F251" s="117">
        <f>DNSPNZSourceData!G177</f>
        <v>64.947203279411752</v>
      </c>
      <c r="G251" s="103">
        <f>DNSPNZSourceData!H177</f>
        <v>79.88</v>
      </c>
      <c r="H251" s="103">
        <f>DNSPNZSourceData!I177</f>
        <v>23584</v>
      </c>
      <c r="I251" s="103">
        <f>DNSPNZSourceData!J177</f>
        <v>4330.1400389689588</v>
      </c>
      <c r="J251" s="118">
        <f>DNSPNZSourceData!L177</f>
        <v>6.9664287363746955E-2</v>
      </c>
      <c r="K251" s="119" t="str">
        <f>DNSPNZSourceData!A177</f>
        <v>The Lines Company</v>
      </c>
    </row>
    <row r="252" spans="1:11" s="120" customFormat="1">
      <c r="A252" s="126">
        <f>A251</f>
        <v>2017</v>
      </c>
      <c r="B252" s="127">
        <f>B251+1</f>
        <v>2016</v>
      </c>
      <c r="C252" s="126">
        <f>C251</f>
        <v>2</v>
      </c>
      <c r="D252" s="121">
        <f>DNSPNZSourceData!E178</f>
        <v>11215</v>
      </c>
      <c r="E252" s="122">
        <f>DNSPNZSourceData!F178</f>
        <v>1.2867539916420168</v>
      </c>
      <c r="F252" s="117">
        <f>DNSPNZSourceData!G178</f>
        <v>74.262955828571776</v>
      </c>
      <c r="G252" s="121">
        <f>DNSPNZSourceData!H178</f>
        <v>79.88</v>
      </c>
      <c r="H252" s="121">
        <f>DNSPNZSourceData!I178</f>
        <v>23652</v>
      </c>
      <c r="I252" s="121">
        <f>DNSPNZSourceData!J178</f>
        <v>4368.7104365912592</v>
      </c>
      <c r="J252" s="122">
        <f>DNSPNZSourceData!L178</f>
        <v>7.0400436115875153E-2</v>
      </c>
      <c r="K252" s="119" t="str">
        <f>DNSPNZSourceData!A178</f>
        <v>The Lines Company</v>
      </c>
    </row>
    <row r="253" spans="1:11" s="120" customFormat="1">
      <c r="A253" s="126">
        <f>A252</f>
        <v>2017</v>
      </c>
      <c r="B253" s="127">
        <f>B252+1</f>
        <v>2017</v>
      </c>
      <c r="C253" s="126">
        <f>C252</f>
        <v>2</v>
      </c>
      <c r="D253" s="121">
        <f>DNSPNZSourceData!E179</f>
        <v>11785.4843055</v>
      </c>
      <c r="E253" s="122">
        <f>DNSPNZSourceData!F179</f>
        <v>1.3063682360796467</v>
      </c>
      <c r="F253" s="117">
        <f>DNSPNZSourceData!G179</f>
        <v>83.189877065837834</v>
      </c>
      <c r="G253" s="121">
        <f>DNSPNZSourceData!H179</f>
        <v>83.189877065837834</v>
      </c>
      <c r="H253" s="121">
        <f>DNSPNZSourceData!I179</f>
        <v>23691</v>
      </c>
      <c r="I253" s="121">
        <f>DNSPNZSourceData!J179</f>
        <v>4346.5890500000014</v>
      </c>
      <c r="J253" s="122">
        <f>DNSPNZSourceData!L179</f>
        <v>7.1164795300811767E-2</v>
      </c>
      <c r="K253" s="119" t="str">
        <f>DNSPNZSourceData!A179</f>
        <v>The Lines Company</v>
      </c>
    </row>
    <row r="254" spans="1:11" s="120" customFormat="1">
      <c r="A254" s="126">
        <f>A253</f>
        <v>2017</v>
      </c>
      <c r="B254" s="127">
        <f>B253+1</f>
        <v>2018</v>
      </c>
      <c r="C254" s="126">
        <f>C253</f>
        <v>2</v>
      </c>
      <c r="D254" s="121">
        <f>DNSPNZSourceData!E180</f>
        <v>12200</v>
      </c>
      <c r="E254" s="122">
        <f>DNSPNZSourceData!F180</f>
        <v>1.3404204496621166</v>
      </c>
      <c r="F254" s="117">
        <f>DNSPNZSourceData!G180</f>
        <v>77.819032460405481</v>
      </c>
      <c r="G254" s="121">
        <f>DNSPNZSourceData!H180</f>
        <v>83.189877065837834</v>
      </c>
      <c r="H254" s="121">
        <f>DNSPNZSourceData!I180</f>
        <v>23768</v>
      </c>
      <c r="I254" s="121">
        <f>DNSPNZSourceData!J180</f>
        <v>4423.0749300000007</v>
      </c>
      <c r="J254" s="122">
        <f>DNSPNZSourceData!L180</f>
        <v>7.1849816028325783E-2</v>
      </c>
      <c r="K254" s="119" t="str">
        <f>DNSPNZSourceData!A180</f>
        <v>The Lines Company</v>
      </c>
    </row>
    <row r="255" spans="1:11" s="120" customFormat="1">
      <c r="A255" s="126">
        <f>A254</f>
        <v>2017</v>
      </c>
      <c r="B255" s="127">
        <f>B254+1</f>
        <v>2019</v>
      </c>
      <c r="C255" s="126">
        <f>C254</f>
        <v>2</v>
      </c>
      <c r="D255" s="121">
        <f>DNSPNZSourceData!E181</f>
        <v>14172.532937452999</v>
      </c>
      <c r="E255" s="122">
        <f>DNSPNZSourceData!F181</f>
        <v>1.3740587734764929</v>
      </c>
      <c r="F255" s="117">
        <f>DNSPNZSourceData!G181</f>
        <v>74.817798479813732</v>
      </c>
      <c r="G255" s="121">
        <f>DNSPNZSourceData!H181</f>
        <v>83.189877065837834</v>
      </c>
      <c r="H255" s="121">
        <f>DNSPNZSourceData!I181</f>
        <v>23579</v>
      </c>
      <c r="I255" s="121">
        <f>DNSPNZSourceData!J181</f>
        <v>4384.6258900000003</v>
      </c>
      <c r="J255" s="122">
        <f>DNSPNZSourceData!L181</f>
        <v>7.2989378804219934E-2</v>
      </c>
      <c r="K255" s="119" t="str">
        <f>DNSPNZSourceData!A181</f>
        <v>The Lines Company</v>
      </c>
    </row>
    <row r="256" spans="1:11" s="120" customFormat="1">
      <c r="A256" s="126">
        <f>A255</f>
        <v>2017</v>
      </c>
      <c r="B256" s="127">
        <f>B255+1</f>
        <v>2020</v>
      </c>
      <c r="C256" s="126">
        <f>C255</f>
        <v>2</v>
      </c>
      <c r="D256" s="121">
        <f>DNSPNZSourceData!E182</f>
        <v>15991.2442477</v>
      </c>
      <c r="E256" s="122">
        <f>DNSPNZSourceData!F182</f>
        <v>1.4000516345247649</v>
      </c>
      <c r="F256" s="117">
        <f>DNSPNZSourceData!G182</f>
        <v>80.962848647058834</v>
      </c>
      <c r="G256" s="121">
        <f>DNSPNZSourceData!H182</f>
        <v>83.189877065837834</v>
      </c>
      <c r="H256" s="121">
        <f>DNSPNZSourceData!I182</f>
        <v>23687</v>
      </c>
      <c r="I256" s="121">
        <f>DNSPNZSourceData!J182</f>
        <v>4313.7070000000003</v>
      </c>
      <c r="J256" s="122">
        <f>DNSPNZSourceData!L182</f>
        <v>7.4900543778239917E-2</v>
      </c>
      <c r="K256" s="119" t="str">
        <f>DNSPNZSourceData!A182</f>
        <v>The Lines Company</v>
      </c>
    </row>
    <row r="257" spans="1:11" s="120" customFormat="1">
      <c r="A257" s="124">
        <f>DNSPNZSourceData!B243</f>
        <v>2018</v>
      </c>
      <c r="B257" s="125">
        <f>DNSPNZSourceData!C243</f>
        <v>2006</v>
      </c>
      <c r="C257" s="124">
        <f>DNSPNZSourceData!D243</f>
        <v>2</v>
      </c>
      <c r="D257" s="103">
        <f>DNSPNZSourceData!E243</f>
        <v>4078.3200000000011</v>
      </c>
      <c r="E257" s="118">
        <f>DNSPNZSourceData!F243</f>
        <v>1</v>
      </c>
      <c r="F257" s="117">
        <f>DNSPNZSourceData!G243</f>
        <v>59.484828891544481</v>
      </c>
      <c r="G257" s="103">
        <f>DNSPNZSourceData!H243</f>
        <v>59.484828891544481</v>
      </c>
      <c r="H257" s="103">
        <f>DNSPNZSourceData!I243</f>
        <v>21107</v>
      </c>
      <c r="I257" s="103">
        <f>DNSPNZSourceData!J243</f>
        <v>1955</v>
      </c>
      <c r="J257" s="118">
        <f>DNSPNZSourceData!L243</f>
        <v>0.11867007672634271</v>
      </c>
      <c r="K257" s="119" t="str">
        <f>DNSPNZSourceData!A243</f>
        <v>Waipa Networks</v>
      </c>
    </row>
    <row r="258" spans="1:11" s="120" customFormat="1">
      <c r="A258" s="124">
        <f>DNSPNZSourceData!B244</f>
        <v>2018</v>
      </c>
      <c r="B258" s="125">
        <f>DNSPNZSourceData!C244</f>
        <v>2007</v>
      </c>
      <c r="C258" s="124">
        <f>DNSPNZSourceData!D244</f>
        <v>2</v>
      </c>
      <c r="D258" s="103">
        <f>DNSPNZSourceData!E244</f>
        <v>4121.9240000000009</v>
      </c>
      <c r="E258" s="118">
        <f>DNSPNZSourceData!F244</f>
        <v>1.0438528231223547</v>
      </c>
      <c r="F258" s="117">
        <f>DNSPNZSourceData!G244</f>
        <v>58.887266250292505</v>
      </c>
      <c r="G258" s="103">
        <f>DNSPNZSourceData!H244</f>
        <v>59.484828891544481</v>
      </c>
      <c r="H258" s="103">
        <f>DNSPNZSourceData!I244</f>
        <v>21772</v>
      </c>
      <c r="I258" s="103">
        <f>DNSPNZSourceData!J244</f>
        <v>1981</v>
      </c>
      <c r="J258" s="118">
        <f>DNSPNZSourceData!L244</f>
        <v>0.12821807168096921</v>
      </c>
      <c r="K258" s="119" t="str">
        <f>DNSPNZSourceData!A244</f>
        <v>Waipa Networks</v>
      </c>
    </row>
    <row r="259" spans="1:11" s="120" customFormat="1">
      <c r="A259" s="124">
        <f>DNSPNZSourceData!B245</f>
        <v>2018</v>
      </c>
      <c r="B259" s="125">
        <f>DNSPNZSourceData!C245</f>
        <v>2008</v>
      </c>
      <c r="C259" s="124">
        <f>DNSPNZSourceData!D245</f>
        <v>2</v>
      </c>
      <c r="D259" s="103">
        <f>DNSPNZSourceData!E245</f>
        <v>3946.5791000000004</v>
      </c>
      <c r="E259" s="118">
        <f>DNSPNZSourceData!F245</f>
        <v>1.0903851002750273</v>
      </c>
      <c r="F259" s="117">
        <f>DNSPNZSourceData!G245</f>
        <v>61.548000000000002</v>
      </c>
      <c r="G259" s="103">
        <f>DNSPNZSourceData!H245</f>
        <v>61.548000000000002</v>
      </c>
      <c r="H259" s="103">
        <f>DNSPNZSourceData!I245</f>
        <v>22354</v>
      </c>
      <c r="I259" s="103">
        <f>DNSPNZSourceData!J245</f>
        <v>2009.37941</v>
      </c>
      <c r="J259" s="118">
        <f>DNSPNZSourceData!L245</f>
        <v>0.14197485979016775</v>
      </c>
      <c r="K259" s="119" t="str">
        <f>DNSPNZSourceData!A245</f>
        <v>Waipa Networks</v>
      </c>
    </row>
    <row r="260" spans="1:11" s="120" customFormat="1">
      <c r="A260" s="124">
        <f>DNSPNZSourceData!B246</f>
        <v>2018</v>
      </c>
      <c r="B260" s="125">
        <f>DNSPNZSourceData!C246</f>
        <v>2009</v>
      </c>
      <c r="C260" s="124">
        <f>DNSPNZSourceData!D246</f>
        <v>2</v>
      </c>
      <c r="D260" s="103">
        <f>DNSPNZSourceData!E246</f>
        <v>4650.2636299999995</v>
      </c>
      <c r="E260" s="118">
        <f>DNSPNZSourceData!F246</f>
        <v>1.1562469092885455</v>
      </c>
      <c r="F260" s="117">
        <f>DNSPNZSourceData!G246</f>
        <v>62.595999999999997</v>
      </c>
      <c r="G260" s="103">
        <f>DNSPNZSourceData!H246</f>
        <v>62.595999999999997</v>
      </c>
      <c r="H260" s="103">
        <f>DNSPNZSourceData!I246</f>
        <v>22799.5</v>
      </c>
      <c r="I260" s="103">
        <f>DNSPNZSourceData!J246</f>
        <v>2057.8510099999999</v>
      </c>
      <c r="J260" s="118">
        <f>DNSPNZSourceData!L246</f>
        <v>0.15684129629967722</v>
      </c>
      <c r="K260" s="119" t="str">
        <f>DNSPNZSourceData!A246</f>
        <v>Waipa Networks</v>
      </c>
    </row>
    <row r="261" spans="1:11" s="120" customFormat="1">
      <c r="A261" s="124">
        <f>DNSPNZSourceData!B247</f>
        <v>2018</v>
      </c>
      <c r="B261" s="125">
        <f>DNSPNZSourceData!C247</f>
        <v>2010</v>
      </c>
      <c r="C261" s="124">
        <f>DNSPNZSourceData!D247</f>
        <v>2</v>
      </c>
      <c r="D261" s="103">
        <f>DNSPNZSourceData!E247</f>
        <v>5054.5727300000008</v>
      </c>
      <c r="E261" s="118">
        <f>DNSPNZSourceData!F247</f>
        <v>1.1601923412470114</v>
      </c>
      <c r="F261" s="117">
        <f>DNSPNZSourceData!G247</f>
        <v>76.284000000000006</v>
      </c>
      <c r="G261" s="103">
        <f>DNSPNZSourceData!H247</f>
        <v>76.284000000000006</v>
      </c>
      <c r="H261" s="103">
        <f>DNSPNZSourceData!I247</f>
        <v>23036.5</v>
      </c>
      <c r="I261" s="103">
        <f>DNSPNZSourceData!J247</f>
        <v>2072.49575</v>
      </c>
      <c r="J261" s="118">
        <f>DNSPNZSourceData!L247</f>
        <v>0.16409523155837594</v>
      </c>
      <c r="K261" s="119" t="str">
        <f>DNSPNZSourceData!A247</f>
        <v>Waipa Networks</v>
      </c>
    </row>
    <row r="262" spans="1:11" s="120" customFormat="1">
      <c r="A262" s="124">
        <f>DNSPNZSourceData!B248</f>
        <v>2018</v>
      </c>
      <c r="B262" s="125">
        <f>DNSPNZSourceData!C248</f>
        <v>2011</v>
      </c>
      <c r="C262" s="124">
        <f>DNSPNZSourceData!D248</f>
        <v>2</v>
      </c>
      <c r="D262" s="103">
        <f>DNSPNZSourceData!E248</f>
        <v>5418.0295599999999</v>
      </c>
      <c r="E262" s="118">
        <f>DNSPNZSourceData!F248</f>
        <v>1.1900846681215445</v>
      </c>
      <c r="F262" s="117">
        <f>DNSPNZSourceData!G248</f>
        <v>72.451999999999998</v>
      </c>
      <c r="G262" s="103">
        <f>DNSPNZSourceData!H248</f>
        <v>76.284000000000006</v>
      </c>
      <c r="H262" s="103">
        <f>DNSPNZSourceData!I248</f>
        <v>23343</v>
      </c>
      <c r="I262" s="103">
        <f>DNSPNZSourceData!J248</f>
        <v>2084.11267</v>
      </c>
      <c r="J262" s="118">
        <f>DNSPNZSourceData!L248</f>
        <v>0.16733443206791696</v>
      </c>
      <c r="K262" s="119" t="str">
        <f>DNSPNZSourceData!A248</f>
        <v>Waipa Networks</v>
      </c>
    </row>
    <row r="263" spans="1:11" s="120" customFormat="1">
      <c r="A263" s="124">
        <f>DNSPNZSourceData!B249</f>
        <v>2018</v>
      </c>
      <c r="B263" s="125">
        <f>DNSPNZSourceData!C249</f>
        <v>2012</v>
      </c>
      <c r="C263" s="124">
        <f>DNSPNZSourceData!D249</f>
        <v>2</v>
      </c>
      <c r="D263" s="103">
        <f>DNSPNZSourceData!E249</f>
        <v>4677.3650099999995</v>
      </c>
      <c r="E263" s="118">
        <f>DNSPNZSourceData!F249</f>
        <v>1.2216652483575092</v>
      </c>
      <c r="F263" s="117">
        <f>DNSPNZSourceData!G249</f>
        <v>70.16</v>
      </c>
      <c r="G263" s="103">
        <f>DNSPNZSourceData!H249</f>
        <v>76.284000000000006</v>
      </c>
      <c r="H263" s="103">
        <f>DNSPNZSourceData!I249</f>
        <v>23634.5</v>
      </c>
      <c r="I263" s="103">
        <f>DNSPNZSourceData!J249</f>
        <v>2087.49197</v>
      </c>
      <c r="J263" s="118">
        <f>DNSPNZSourceData!L249</f>
        <v>0.16879346367018599</v>
      </c>
      <c r="K263" s="119" t="str">
        <f>DNSPNZSourceData!A249</f>
        <v>Waipa Networks</v>
      </c>
    </row>
    <row r="264" spans="1:11" s="120" customFormat="1">
      <c r="A264" s="124">
        <f>DNSPNZSourceData!B250</f>
        <v>2018</v>
      </c>
      <c r="B264" s="125">
        <f>DNSPNZSourceData!C250</f>
        <v>2013</v>
      </c>
      <c r="C264" s="124">
        <f>DNSPNZSourceData!D250</f>
        <v>2</v>
      </c>
      <c r="D264" s="103">
        <f>DNSPNZSourceData!E250</f>
        <v>4753</v>
      </c>
      <c r="E264" s="118">
        <f>DNSPNZSourceData!F250</f>
        <v>1.2421813017565195</v>
      </c>
      <c r="F264" s="117">
        <f>DNSPNZSourceData!G250</f>
        <v>68.405799290536663</v>
      </c>
      <c r="G264" s="103">
        <f>DNSPNZSourceData!H250</f>
        <v>76.284000000000006</v>
      </c>
      <c r="H264" s="103">
        <f>DNSPNZSourceData!I250</f>
        <v>23832</v>
      </c>
      <c r="I264" s="103">
        <f>DNSPNZSourceData!J250</f>
        <v>2076.4400399999981</v>
      </c>
      <c r="J264" s="118">
        <f>DNSPNZSourceData!L250</f>
        <v>0.16936579107769489</v>
      </c>
      <c r="K264" s="119" t="str">
        <f>DNSPNZSourceData!A250</f>
        <v>Waipa Networks</v>
      </c>
    </row>
    <row r="265" spans="1:11" s="120" customFormat="1">
      <c r="A265" s="124">
        <f>DNSPNZSourceData!B251</f>
        <v>2018</v>
      </c>
      <c r="B265" s="125">
        <f>DNSPNZSourceData!C251</f>
        <v>2014</v>
      </c>
      <c r="C265" s="124">
        <f>DNSPNZSourceData!D251</f>
        <v>2</v>
      </c>
      <c r="D265" s="103">
        <f>DNSPNZSourceData!E251</f>
        <v>4548</v>
      </c>
      <c r="E265" s="118">
        <f>DNSPNZSourceData!F251</f>
        <v>1.27237461042106</v>
      </c>
      <c r="F265" s="117">
        <f>DNSPNZSourceData!G251</f>
        <v>68.425890307815521</v>
      </c>
      <c r="G265" s="103">
        <f>DNSPNZSourceData!H251</f>
        <v>76.284000000000006</v>
      </c>
      <c r="H265" s="103">
        <f>DNSPNZSourceData!I251</f>
        <v>24203</v>
      </c>
      <c r="I265" s="103">
        <f>DNSPNZSourceData!J251</f>
        <v>2099.591619999997</v>
      </c>
      <c r="J265" s="118">
        <f>DNSPNZSourceData!L251</f>
        <v>0.17662641937959375</v>
      </c>
      <c r="K265" s="119" t="str">
        <f>DNSPNZSourceData!A251</f>
        <v>Waipa Networks</v>
      </c>
    </row>
    <row r="266" spans="1:11" s="120" customFormat="1">
      <c r="A266" s="124">
        <f>DNSPNZSourceData!B252</f>
        <v>2018</v>
      </c>
      <c r="B266" s="125">
        <f>DNSPNZSourceData!C252</f>
        <v>2015</v>
      </c>
      <c r="C266" s="124">
        <f>DNSPNZSourceData!D252</f>
        <v>2</v>
      </c>
      <c r="D266" s="103">
        <f>DNSPNZSourceData!E252</f>
        <v>5242</v>
      </c>
      <c r="E266" s="118">
        <f>DNSPNZSourceData!F252</f>
        <v>1.2816685951411126</v>
      </c>
      <c r="F266" s="117">
        <f>DNSPNZSourceData!G252</f>
        <v>69.246109600640779</v>
      </c>
      <c r="G266" s="103">
        <f>DNSPNZSourceData!H252</f>
        <v>76.284000000000006</v>
      </c>
      <c r="H266" s="103">
        <f>DNSPNZSourceData!I252</f>
        <v>24598</v>
      </c>
      <c r="I266" s="103">
        <f>DNSPNZSourceData!J252</f>
        <v>2116.7104899999981</v>
      </c>
      <c r="J266" s="118">
        <f>DNSPNZSourceData!L252</f>
        <v>0.18383082232469139</v>
      </c>
      <c r="K266" s="119" t="str">
        <f>DNSPNZSourceData!A252</f>
        <v>Waipa Networks</v>
      </c>
    </row>
    <row r="267" spans="1:11" s="120" customFormat="1">
      <c r="A267" s="126">
        <f>A266</f>
        <v>2018</v>
      </c>
      <c r="B267" s="127">
        <f>B266+1</f>
        <v>2016</v>
      </c>
      <c r="C267" s="126">
        <f>C266</f>
        <v>2</v>
      </c>
      <c r="D267" s="121">
        <f>DNSPNZSourceData!E253</f>
        <v>5736</v>
      </c>
      <c r="E267" s="122">
        <f>DNSPNZSourceData!F253</f>
        <v>1.2867539916420168</v>
      </c>
      <c r="F267" s="117">
        <f>DNSPNZSourceData!G253</f>
        <v>73.100152786359956</v>
      </c>
      <c r="G267" s="121">
        <f>DNSPNZSourceData!H253</f>
        <v>76.284000000000006</v>
      </c>
      <c r="H267" s="121">
        <f>DNSPNZSourceData!I253</f>
        <v>25099</v>
      </c>
      <c r="I267" s="121">
        <f>DNSPNZSourceData!J253</f>
        <v>2135.9465699999978</v>
      </c>
      <c r="J267" s="122">
        <f>DNSPNZSourceData!L253</f>
        <v>0.18786262523411365</v>
      </c>
      <c r="K267" s="119" t="str">
        <f>DNSPNZSourceData!A253</f>
        <v>Waipa Networks</v>
      </c>
    </row>
    <row r="268" spans="1:11" s="120" customFormat="1">
      <c r="A268" s="126">
        <f>A267</f>
        <v>2018</v>
      </c>
      <c r="B268" s="127">
        <f>B267+1</f>
        <v>2017</v>
      </c>
      <c r="C268" s="126">
        <f>C267</f>
        <v>2</v>
      </c>
      <c r="D268" s="121">
        <f>DNSPNZSourceData!E254</f>
        <v>6263</v>
      </c>
      <c r="E268" s="122">
        <f>DNSPNZSourceData!F254</f>
        <v>1.3063682360796467</v>
      </c>
      <c r="F268" s="117">
        <f>DNSPNZSourceData!G254</f>
        <v>73.574067971163714</v>
      </c>
      <c r="G268" s="121">
        <f>DNSPNZSourceData!H254</f>
        <v>76.284000000000006</v>
      </c>
      <c r="H268" s="121">
        <f>DNSPNZSourceData!I254</f>
        <v>25614</v>
      </c>
      <c r="I268" s="121">
        <f>DNSPNZSourceData!J254</f>
        <v>2187.1608499999979</v>
      </c>
      <c r="J268" s="122">
        <f>DNSPNZSourceData!L254</f>
        <v>0.19116871994119711</v>
      </c>
      <c r="K268" s="119" t="str">
        <f>DNSPNZSourceData!A254</f>
        <v>Waipa Networks</v>
      </c>
    </row>
    <row r="269" spans="1:11" s="120" customFormat="1">
      <c r="A269" s="126">
        <f>A268</f>
        <v>2018</v>
      </c>
      <c r="B269" s="127">
        <f>B268+1</f>
        <v>2018</v>
      </c>
      <c r="C269" s="126">
        <f>C268</f>
        <v>2</v>
      </c>
      <c r="D269" s="121">
        <f>DNSPNZSourceData!E255</f>
        <v>6550</v>
      </c>
      <c r="E269" s="122">
        <f>DNSPNZSourceData!F255</f>
        <v>1.3404204496621166</v>
      </c>
      <c r="F269" s="117">
        <f>DNSPNZSourceData!G255</f>
        <v>74.313040073234902</v>
      </c>
      <c r="G269" s="121">
        <f>DNSPNZSourceData!H255</f>
        <v>76.284000000000006</v>
      </c>
      <c r="H269" s="121">
        <f>DNSPNZSourceData!I255</f>
        <v>26077</v>
      </c>
      <c r="I269" s="121">
        <f>DNSPNZSourceData!J255</f>
        <v>2211.7859399999979</v>
      </c>
      <c r="J269" s="122">
        <f>DNSPNZSourceData!L255</f>
        <v>0.19980726977584487</v>
      </c>
      <c r="K269" s="119" t="str">
        <f>DNSPNZSourceData!A255</f>
        <v>Waipa Networks</v>
      </c>
    </row>
    <row r="270" spans="1:11" s="120" customFormat="1">
      <c r="A270" s="126">
        <f>A269</f>
        <v>2018</v>
      </c>
      <c r="B270" s="127">
        <f>B269+1</f>
        <v>2019</v>
      </c>
      <c r="C270" s="126">
        <f>C269</f>
        <v>2</v>
      </c>
      <c r="D270" s="121">
        <f>DNSPNZSourceData!E256</f>
        <v>8007</v>
      </c>
      <c r="E270" s="122">
        <f>DNSPNZSourceData!F256</f>
        <v>1.3740587734764929</v>
      </c>
      <c r="F270" s="117">
        <f>DNSPNZSourceData!G256</f>
        <v>74.256480146469826</v>
      </c>
      <c r="G270" s="121">
        <f>DNSPNZSourceData!H256</f>
        <v>76.284000000000006</v>
      </c>
      <c r="H270" s="121">
        <f>DNSPNZSourceData!I256</f>
        <v>26672</v>
      </c>
      <c r="I270" s="121">
        <f>DNSPNZSourceData!J256</f>
        <v>2230.6557299999981</v>
      </c>
      <c r="J270" s="122">
        <f>DNSPNZSourceData!L256</f>
        <v>0.20562623081240805</v>
      </c>
      <c r="K270" s="119" t="str">
        <f>DNSPNZSourceData!A256</f>
        <v>Waipa Networks</v>
      </c>
    </row>
    <row r="271" spans="1:11" s="120" customFormat="1">
      <c r="A271" s="126">
        <f>A270</f>
        <v>2018</v>
      </c>
      <c r="B271" s="127">
        <f>B270+1</f>
        <v>2020</v>
      </c>
      <c r="C271" s="126">
        <f>C270</f>
        <v>2</v>
      </c>
      <c r="D271" s="121">
        <f>DNSPNZSourceData!E257</f>
        <v>8321</v>
      </c>
      <c r="E271" s="122">
        <f>DNSPNZSourceData!F257</f>
        <v>1.4000516345247649</v>
      </c>
      <c r="F271" s="117">
        <f>DNSPNZSourceData!G257</f>
        <v>72.078782469390063</v>
      </c>
      <c r="G271" s="121">
        <f>DNSPNZSourceData!H257</f>
        <v>76.284000000000006</v>
      </c>
      <c r="H271" s="121">
        <f>DNSPNZSourceData!I257</f>
        <v>27217</v>
      </c>
      <c r="I271" s="121">
        <f>DNSPNZSourceData!J257</f>
        <v>2268.1144199999972</v>
      </c>
      <c r="J271" s="122">
        <f>DNSPNZSourceData!L257</f>
        <v>0.21683698832089818</v>
      </c>
      <c r="K271" s="119" t="str">
        <f>DNSPNZSourceData!A257</f>
        <v>Waipa Networks</v>
      </c>
    </row>
    <row r="272" spans="1:11" s="120" customFormat="1">
      <c r="A272" s="124">
        <v>2019</v>
      </c>
      <c r="B272" s="125">
        <f>DNSPNZSourceData!C258</f>
        <v>2006</v>
      </c>
      <c r="C272" s="124">
        <v>2</v>
      </c>
      <c r="D272" s="121">
        <f>DNSPNZSourceData!E228*DNSPNZSourceData!E$277/(DNSPNZSourceData!E$277+DNSPNZSourceData!E$232)</f>
        <v>25353.847397930782</v>
      </c>
      <c r="E272" s="122">
        <f>E257</f>
        <v>1</v>
      </c>
      <c r="F272" s="121">
        <f>DNSPNZSourceData!G228*DNSPNZSourceData!G$277/(DNSPNZSourceData!G$277+DNSPNZSourceData!G$232)</f>
        <v>538.99368310611817</v>
      </c>
      <c r="G272" s="103">
        <f>F272</f>
        <v>538.99368310611817</v>
      </c>
      <c r="H272" s="121">
        <f>DNSPNZSourceData!I228*DNSPNZSourceData!I$276/(DNSPNZSourceData!I$276+DNSPNZSourceData!I$231)</f>
        <v>154941.94368621247</v>
      </c>
      <c r="I272" s="121">
        <f>DNSPNZSourceData!J228*DNSPNZSourceData!J$276/(DNSPNZSourceData!J$276+DNSPNZSourceData!J$231)</f>
        <v>4481.7792926193233</v>
      </c>
      <c r="J272" s="122">
        <f>DNSPNZSourceData!K228*DNSPNZSourceData!K$276/(DNSPNZSourceData!K$276+DNSPNZSourceData!K$231)/I272</f>
        <v>0.59850974025107695</v>
      </c>
      <c r="K272" s="101" t="s">
        <v>367</v>
      </c>
    </row>
    <row r="273" spans="1:11" s="120" customFormat="1">
      <c r="A273" s="124">
        <v>2019</v>
      </c>
      <c r="B273" s="125">
        <f>DNSPNZSourceData!C259</f>
        <v>2007</v>
      </c>
      <c r="C273" s="124">
        <v>2</v>
      </c>
      <c r="D273" s="121">
        <f>DNSPNZSourceData!E229*DNSPNZSourceData!E$277/(DNSPNZSourceData!E$277+DNSPNZSourceData!E$232)</f>
        <v>27427.426134020516</v>
      </c>
      <c r="E273" s="122">
        <f>E258</f>
        <v>1.0438528231223547</v>
      </c>
      <c r="F273" s="121">
        <f>DNSPNZSourceData!G229*DNSPNZSourceData!G$277/(DNSPNZSourceData!G$277+DNSPNZSourceData!G$232)</f>
        <v>578.45661359500809</v>
      </c>
      <c r="G273" s="103">
        <f>MAX(F273,G272)</f>
        <v>578.45661359500809</v>
      </c>
      <c r="H273" s="121">
        <f>DNSPNZSourceData!I229*DNSPNZSourceData!I$276/(DNSPNZSourceData!I$276+DNSPNZSourceData!I$231)</f>
        <v>158515.00963028197</v>
      </c>
      <c r="I273" s="121">
        <f>DNSPNZSourceData!J229*DNSPNZSourceData!J$276/(DNSPNZSourceData!J$276+DNSPNZSourceData!J$231)</f>
        <v>4510.3089575942186</v>
      </c>
      <c r="J273" s="122">
        <f>DNSPNZSourceData!K229*DNSPNZSourceData!K$276/(DNSPNZSourceData!K$276+DNSPNZSourceData!K$231)/I273</f>
        <v>0.60122740966684518</v>
      </c>
      <c r="K273" s="101" t="s">
        <v>367</v>
      </c>
    </row>
    <row r="274" spans="1:11" s="120" customFormat="1">
      <c r="A274" s="124">
        <v>2019</v>
      </c>
      <c r="B274" s="125">
        <f>DNSPNZSourceData!C260</f>
        <v>2008</v>
      </c>
      <c r="C274" s="124">
        <v>2</v>
      </c>
      <c r="D274" s="121">
        <f>DNSPNZSourceData!E230*DNSPNZSourceData!E$277/(DNSPNZSourceData!E$277+DNSPNZSourceData!E$232)</f>
        <v>29670.866560078961</v>
      </c>
      <c r="E274" s="122">
        <f>E259</f>
        <v>1.0903851002750273</v>
      </c>
      <c r="F274" s="121">
        <f>DNSPNZSourceData!G230*DNSPNZSourceData!G$277/(DNSPNZSourceData!G$277+DNSPNZSourceData!G$232)</f>
        <v>573.28564805997189</v>
      </c>
      <c r="G274" s="103">
        <f t="shared" ref="G274:G275" si="3">MAX(F274,G273)</f>
        <v>578.45661359500809</v>
      </c>
      <c r="H274" s="121">
        <f>DNSPNZSourceData!I230*DNSPNZSourceData!I$276/(DNSPNZSourceData!I$276+DNSPNZSourceData!I$231)</f>
        <v>160807.60294269296</v>
      </c>
      <c r="I274" s="121">
        <f>DNSPNZSourceData!J230*DNSPNZSourceData!J$276/(DNSPNZSourceData!J$276+DNSPNZSourceData!J$231)</f>
        <v>4565.5512171268192</v>
      </c>
      <c r="J274" s="122">
        <f>DNSPNZSourceData!K230*DNSPNZSourceData!K$276/(DNSPNZSourceData!K$276+DNSPNZSourceData!K$231)/I274</f>
        <v>0.60923157770598502</v>
      </c>
      <c r="K274" s="101" t="s">
        <v>367</v>
      </c>
    </row>
    <row r="275" spans="1:11" s="120" customFormat="1">
      <c r="A275" s="124">
        <v>2019</v>
      </c>
      <c r="B275" s="125">
        <v>2009</v>
      </c>
      <c r="C275" s="124">
        <v>2</v>
      </c>
      <c r="D275" s="121">
        <f>DNSPNZSourceData!E231*DNSPNZSourceData!E$277/(DNSPNZSourceData!E$277+DNSPNZSourceData!E$232)</f>
        <v>24045.954813038876</v>
      </c>
      <c r="E275" s="122">
        <f>DNSPNZSourceData!F276</f>
        <v>1.1562469092885455</v>
      </c>
      <c r="F275" s="121">
        <f>DNSPNZSourceData!G231*DNSPNZSourceData!G$277/(DNSPNZSourceData!G$277+DNSPNZSourceData!G$232)</f>
        <v>572.54656041743658</v>
      </c>
      <c r="G275" s="103">
        <f t="shared" si="3"/>
        <v>578.45661359500809</v>
      </c>
      <c r="H275" s="103">
        <f>DNSPNZSourceData!I276</f>
        <v>162325.0868595253</v>
      </c>
      <c r="I275" s="103">
        <f>DNSPNZSourceData!J276</f>
        <v>4589.7</v>
      </c>
      <c r="J275" s="118">
        <f>DNSPNZSourceData!L276</f>
        <v>0.61402706059219558</v>
      </c>
      <c r="K275" s="101" t="s">
        <v>367</v>
      </c>
    </row>
    <row r="276" spans="1:11" s="120" customFormat="1">
      <c r="A276" s="124">
        <v>2019</v>
      </c>
      <c r="B276" s="125">
        <v>2010</v>
      </c>
      <c r="C276" s="124">
        <v>2</v>
      </c>
      <c r="D276" s="103">
        <f>DNSPNZSourceData!E277</f>
        <v>31183.654699999999</v>
      </c>
      <c r="E276" s="122">
        <f>DNSPNZSourceData!F277</f>
        <v>1.1601923412470114</v>
      </c>
      <c r="F276" s="103">
        <f>DNSPNZSourceData!G277</f>
        <v>606.06882205611055</v>
      </c>
      <c r="G276" s="103">
        <f>MAX(F276,G275)</f>
        <v>606.06882205611055</v>
      </c>
      <c r="H276" s="103">
        <f>DNSPNZSourceData!I277</f>
        <v>163479</v>
      </c>
      <c r="I276" s="103">
        <f>DNSPNZSourceData!J277</f>
        <v>4609.8999999999996</v>
      </c>
      <c r="J276" s="118">
        <f>DNSPNZSourceData!L277</f>
        <v>0.61560988307772413</v>
      </c>
      <c r="K276" s="101" t="s">
        <v>367</v>
      </c>
    </row>
    <row r="277" spans="1:11" s="120" customFormat="1">
      <c r="A277" s="124">
        <v>2019</v>
      </c>
      <c r="B277" s="125">
        <v>2011</v>
      </c>
      <c r="C277" s="124">
        <v>2</v>
      </c>
      <c r="D277" s="103">
        <f>DNSPNZSourceData!E278</f>
        <v>31607.715759999999</v>
      </c>
      <c r="E277" s="122">
        <f>DNSPNZSourceData!F278</f>
        <v>1.1900846681215445</v>
      </c>
      <c r="F277" s="103">
        <f>DNSPNZSourceData!G278</f>
        <v>580</v>
      </c>
      <c r="G277" s="103">
        <f t="shared" ref="G277:G284" si="4">MAX(F277,G276)</f>
        <v>606.06882205611055</v>
      </c>
      <c r="H277" s="103">
        <f>DNSPNZSourceData!I278</f>
        <v>164154</v>
      </c>
      <c r="I277" s="103">
        <f>DNSPNZSourceData!J278</f>
        <v>4604.4217264244699</v>
      </c>
      <c r="J277" s="118">
        <f>DNSPNZSourceData!L278</f>
        <v>0.61799066703916239</v>
      </c>
      <c r="K277" s="101" t="s">
        <v>367</v>
      </c>
    </row>
    <row r="278" spans="1:11" s="120" customFormat="1">
      <c r="A278" s="124">
        <v>2019</v>
      </c>
      <c r="B278" s="125">
        <v>2012</v>
      </c>
      <c r="C278" s="124">
        <v>2</v>
      </c>
      <c r="D278" s="103">
        <f>DNSPNZSourceData!E279</f>
        <v>31114.921340000001</v>
      </c>
      <c r="E278" s="122">
        <f>DNSPNZSourceData!F279</f>
        <v>1.2216652483575092</v>
      </c>
      <c r="F278" s="103">
        <f>DNSPNZSourceData!G279</f>
        <v>622.15712731687063</v>
      </c>
      <c r="G278" s="103">
        <f t="shared" si="4"/>
        <v>622.15712731687063</v>
      </c>
      <c r="H278" s="103">
        <f>DNSPNZSourceData!I279</f>
        <v>164351.5</v>
      </c>
      <c r="I278" s="103">
        <f>DNSPNZSourceData!J279</f>
        <v>4625.0382088342703</v>
      </c>
      <c r="J278" s="118">
        <f>DNSPNZSourceData!L279</f>
        <v>0.62119231865944136</v>
      </c>
      <c r="K278" s="101" t="s">
        <v>367</v>
      </c>
    </row>
    <row r="279" spans="1:11" s="120" customFormat="1">
      <c r="A279" s="124">
        <v>2019</v>
      </c>
      <c r="B279" s="125">
        <v>2013</v>
      </c>
      <c r="C279" s="124">
        <v>2</v>
      </c>
      <c r="D279" s="103">
        <f>DNSPNZSourceData!E280</f>
        <v>28298.361239999998</v>
      </c>
      <c r="E279" s="122">
        <f>DNSPNZSourceData!F280</f>
        <v>1.2421813017565195</v>
      </c>
      <c r="F279" s="103">
        <f>DNSPNZSourceData!G280</f>
        <v>558.74109521543926</v>
      </c>
      <c r="G279" s="103">
        <f t="shared" si="4"/>
        <v>622.15712731687063</v>
      </c>
      <c r="H279" s="103">
        <f>DNSPNZSourceData!I280</f>
        <v>164804.16666666669</v>
      </c>
      <c r="I279" s="103">
        <f>DNSPNZSourceData!J280</f>
        <v>4628.6880571315642</v>
      </c>
      <c r="J279" s="118">
        <f>DNSPNZSourceData!L280</f>
        <v>0.62172260925449585</v>
      </c>
      <c r="K279" s="101" t="s">
        <v>367</v>
      </c>
    </row>
    <row r="280" spans="1:11" s="120" customFormat="1">
      <c r="A280" s="124">
        <v>2019</v>
      </c>
      <c r="B280" s="125">
        <v>2014</v>
      </c>
      <c r="C280" s="124">
        <v>2</v>
      </c>
      <c r="D280" s="103">
        <f>DNSPNZSourceData!E281</f>
        <v>29611.046129999999</v>
      </c>
      <c r="E280" s="122">
        <f>DNSPNZSourceData!F281</f>
        <v>1.27237461042106</v>
      </c>
      <c r="F280" s="103">
        <f>DNSPNZSourceData!G281</f>
        <v>565.5230510825063</v>
      </c>
      <c r="G280" s="103">
        <f t="shared" si="4"/>
        <v>622.15712731687063</v>
      </c>
      <c r="H280" s="103">
        <f>DNSPNZSourceData!I281</f>
        <v>164797.3315068493</v>
      </c>
      <c r="I280" s="103">
        <f>DNSPNZSourceData!J281</f>
        <v>4638.7299271932034</v>
      </c>
      <c r="J280" s="118">
        <f>DNSPNZSourceData!L281</f>
        <v>0.6233442037485708</v>
      </c>
      <c r="K280" s="101" t="s">
        <v>367</v>
      </c>
    </row>
    <row r="281" spans="1:11" s="120" customFormat="1">
      <c r="A281" s="124">
        <v>2019</v>
      </c>
      <c r="B281" s="125">
        <v>2015</v>
      </c>
      <c r="C281" s="124">
        <v>2</v>
      </c>
      <c r="D281" s="103">
        <f>DNSPNZSourceData!E282</f>
        <v>25555.800360000001</v>
      </c>
      <c r="E281" s="122">
        <f>DNSPNZSourceData!F282</f>
        <v>1.2816685951411126</v>
      </c>
      <c r="F281" s="103">
        <f>DNSPNZSourceData!G282</f>
        <v>549.81641279776693</v>
      </c>
      <c r="G281" s="103">
        <f t="shared" si="4"/>
        <v>622.15712731687063</v>
      </c>
      <c r="H281" s="103">
        <f>DNSPNZSourceData!I282</f>
        <v>165689.90934065939</v>
      </c>
      <c r="I281" s="103">
        <f>DNSPNZSourceData!J282</f>
        <v>4683.5934141183134</v>
      </c>
      <c r="J281" s="118">
        <f>DNSPNZSourceData!L282</f>
        <v>0.62746231517564899</v>
      </c>
      <c r="K281" s="101" t="s">
        <v>367</v>
      </c>
    </row>
    <row r="282" spans="1:11" s="120" customFormat="1">
      <c r="A282" s="124">
        <v>2019</v>
      </c>
      <c r="B282" s="125">
        <v>2016</v>
      </c>
      <c r="C282" s="124">
        <v>2</v>
      </c>
      <c r="D282" s="103">
        <f>DNSPNZSourceData!E283</f>
        <v>29622.250530000001</v>
      </c>
      <c r="E282" s="122">
        <f>DNSPNZSourceData!F283</f>
        <v>1.2867539916420168</v>
      </c>
      <c r="F282" s="103">
        <f>DNSPNZSourceData!G283</f>
        <v>562.05549095604692</v>
      </c>
      <c r="G282" s="103">
        <f t="shared" si="4"/>
        <v>622.15712731687063</v>
      </c>
      <c r="H282" s="103">
        <f>DNSPNZSourceData!I283</f>
        <v>166590.52602739731</v>
      </c>
      <c r="I282" s="103">
        <f>DNSPNZSourceData!J283</f>
        <v>4697.4754011353334</v>
      </c>
      <c r="J282" s="118">
        <f>DNSPNZSourceData!L283</f>
        <v>0.62999764665117208</v>
      </c>
      <c r="K282" s="101" t="s">
        <v>367</v>
      </c>
    </row>
    <row r="283" spans="1:11" s="120" customFormat="1">
      <c r="A283" s="124">
        <v>2019</v>
      </c>
      <c r="B283" s="125">
        <v>2017</v>
      </c>
      <c r="C283" s="124">
        <v>2</v>
      </c>
      <c r="D283" s="103">
        <f>DNSPNZSourceData!E284</f>
        <v>30075.05891</v>
      </c>
      <c r="E283" s="122">
        <f>DNSPNZSourceData!F284</f>
        <v>1.3063682360796467</v>
      </c>
      <c r="F283" s="103">
        <f>DNSPNZSourceData!G284</f>
        <v>526.94525091815683</v>
      </c>
      <c r="G283" s="103">
        <f t="shared" si="4"/>
        <v>622.15712731687063</v>
      </c>
      <c r="H283" s="103">
        <f>DNSPNZSourceData!I284</f>
        <v>166344</v>
      </c>
      <c r="I283" s="103">
        <f>DNSPNZSourceData!J284</f>
        <v>4700.9699995854571</v>
      </c>
      <c r="J283" s="118">
        <f>DNSPNZSourceData!L284</f>
        <v>0.63100626230703105</v>
      </c>
      <c r="K283" s="101" t="s">
        <v>367</v>
      </c>
    </row>
    <row r="284" spans="1:11" s="120" customFormat="1">
      <c r="A284" s="124">
        <v>2019</v>
      </c>
      <c r="B284" s="125">
        <v>2018</v>
      </c>
      <c r="C284" s="124">
        <v>2</v>
      </c>
      <c r="D284" s="103">
        <f>DNSPNZSourceData!E285</f>
        <v>33310.525000000001</v>
      </c>
      <c r="E284" s="122">
        <f>DNSPNZSourceData!F285</f>
        <v>1.3404204496621166</v>
      </c>
      <c r="F284" s="103">
        <f>DNSPNZSourceData!G285</f>
        <v>526.96947939996835</v>
      </c>
      <c r="G284" s="103">
        <f t="shared" si="4"/>
        <v>622.15712731687063</v>
      </c>
      <c r="H284" s="103">
        <f>DNSPNZSourceData!I285</f>
        <v>166909.58333333331</v>
      </c>
      <c r="I284" s="103">
        <f>DNSPNZSourceData!J285</f>
        <v>4724.5552152841228</v>
      </c>
      <c r="J284" s="118">
        <f>DNSPNZSourceData!L285</f>
        <v>0.63334546044317697</v>
      </c>
      <c r="K284" s="101" t="s">
        <v>367</v>
      </c>
    </row>
    <row r="285" spans="1:11">
      <c r="A285" s="124">
        <v>2019</v>
      </c>
      <c r="B285" s="125">
        <v>2019</v>
      </c>
      <c r="C285" s="124">
        <v>2</v>
      </c>
      <c r="D285" s="103">
        <f>DNSPNZSourceData!E286</f>
        <v>34017.113664792967</v>
      </c>
      <c r="E285" s="122">
        <f>DNSPNZSourceData!F286</f>
        <v>1.3740587734764929</v>
      </c>
      <c r="F285" s="103">
        <f>DNSPNZSourceData!G286</f>
        <v>550.46101155636154</v>
      </c>
      <c r="G285" s="103">
        <f t="shared" ref="G285" si="5">MAX(F285,G284)</f>
        <v>622.15712731687063</v>
      </c>
      <c r="H285" s="103">
        <f>DNSPNZSourceData!I286</f>
        <v>167924.77777777781</v>
      </c>
      <c r="I285" s="103">
        <f>DNSPNZSourceData!J286</f>
        <v>4745.5310250958164</v>
      </c>
      <c r="J285" s="118">
        <f>DNSPNZSourceData!L286</f>
        <v>0.63621494696959102</v>
      </c>
      <c r="K285" s="101" t="s">
        <v>367</v>
      </c>
    </row>
    <row r="286" spans="1:11">
      <c r="A286" s="124">
        <v>2019</v>
      </c>
      <c r="B286" s="125">
        <v>2020</v>
      </c>
      <c r="C286" s="124">
        <v>2</v>
      </c>
      <c r="D286" s="103">
        <f>DNSPNZSourceData!E287</f>
        <v>32190.232476399429</v>
      </c>
      <c r="E286" s="122">
        <f>DNSPNZSourceData!F287</f>
        <v>1.4000516345247649</v>
      </c>
      <c r="F286" s="103">
        <f>DNSPNZSourceData!G287</f>
        <v>525.95995932448943</v>
      </c>
      <c r="G286" s="103">
        <f t="shared" ref="G286" si="6">MAX(F286,G285)</f>
        <v>622.15712731687063</v>
      </c>
      <c r="H286" s="103">
        <f>DNSPNZSourceData!I287</f>
        <v>169045.16666666669</v>
      </c>
      <c r="I286" s="103">
        <f>DNSPNZSourceData!J287</f>
        <v>4764.9287489763756</v>
      </c>
      <c r="J286" s="118">
        <f>DNSPNZSourceData!L287</f>
        <v>0.63839914235197659</v>
      </c>
      <c r="K286" s="101" t="s">
        <v>367</v>
      </c>
    </row>
  </sheetData>
  <pageMargins left="0.75" right="0.75" top="1" bottom="1" header="0.5" footer="0.5"/>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85C7A-456D-4428-8CE9-3A0264FEB735}">
  <sheetPr>
    <tabColor rgb="FF7030A0"/>
    <pageSetUpPr fitToPage="1"/>
  </sheetPr>
  <dimension ref="A1:N1244"/>
  <sheetViews>
    <sheetView zoomScale="85" zoomScaleNormal="85" workbookViewId="0">
      <pane xSplit="3" ySplit="2" topLeftCell="D3" activePane="bottomRight" state="frozen"/>
      <selection pane="topRight" activeCell="D1" sqref="D1"/>
      <selection pane="bottomLeft" activeCell="A3" sqref="A3"/>
      <selection pane="bottomRight" sqref="A1:XFD1048576"/>
    </sheetView>
  </sheetViews>
  <sheetFormatPr baseColWidth="10" defaultColWidth="8.83203125" defaultRowHeight="15"/>
  <cols>
    <col min="1" max="1" width="48.6640625" customWidth="1"/>
    <col min="5" max="5" width="14.83203125" style="14" bestFit="1" customWidth="1"/>
    <col min="6" max="6" width="9.1640625" style="13"/>
    <col min="7" max="7" width="10.5" style="12" customWidth="1"/>
    <col min="8" max="8" width="10.5" style="1" customWidth="1"/>
    <col min="9" max="9" width="11.1640625" customWidth="1"/>
    <col min="11" max="11" width="12.1640625" customWidth="1"/>
    <col min="12" max="12" width="12.83203125" style="5" customWidth="1"/>
  </cols>
  <sheetData>
    <row r="1" spans="1:12" s="40" customFormat="1" ht="48">
      <c r="A1" s="40" t="s">
        <v>14</v>
      </c>
      <c r="B1" s="40" t="s">
        <v>16</v>
      </c>
      <c r="C1" s="40" t="s">
        <v>17</v>
      </c>
      <c r="D1" s="40" t="s">
        <v>18</v>
      </c>
      <c r="E1" s="40" t="s">
        <v>2</v>
      </c>
      <c r="F1" s="40" t="s">
        <v>3</v>
      </c>
      <c r="G1" s="40" t="s">
        <v>1</v>
      </c>
      <c r="H1" s="40" t="s">
        <v>4</v>
      </c>
      <c r="I1" s="40" t="s">
        <v>0</v>
      </c>
      <c r="J1" s="40" t="s">
        <v>5</v>
      </c>
      <c r="K1" s="40" t="s">
        <v>322</v>
      </c>
      <c r="L1" s="110" t="s">
        <v>6</v>
      </c>
    </row>
    <row r="2" spans="1:12">
      <c r="A2" t="s">
        <v>15</v>
      </c>
      <c r="B2" t="s">
        <v>7</v>
      </c>
      <c r="C2" t="s">
        <v>7</v>
      </c>
      <c r="D2" t="s">
        <v>7</v>
      </c>
      <c r="E2" s="14" t="s">
        <v>8</v>
      </c>
      <c r="F2" s="13" t="s">
        <v>10</v>
      </c>
      <c r="G2" s="12" t="s">
        <v>9</v>
      </c>
      <c r="H2" s="1" t="s">
        <v>9</v>
      </c>
      <c r="I2" t="s">
        <v>7</v>
      </c>
      <c r="J2" t="s">
        <v>12</v>
      </c>
      <c r="K2" t="s">
        <v>12</v>
      </c>
      <c r="L2" s="5" t="s">
        <v>13</v>
      </c>
    </row>
    <row r="3" spans="1:12" s="9" customFormat="1">
      <c r="A3" t="s">
        <v>321</v>
      </c>
      <c r="B3">
        <v>3003</v>
      </c>
      <c r="C3">
        <f>C18</f>
        <v>2005</v>
      </c>
      <c r="D3">
        <v>3</v>
      </c>
      <c r="E3" s="14"/>
      <c r="F3" s="13"/>
      <c r="G3" s="14"/>
      <c r="H3" s="1"/>
      <c r="I3" s="3"/>
      <c r="J3" s="3"/>
      <c r="L3" s="5"/>
    </row>
    <row r="4" spans="1:12" s="9" customFormat="1">
      <c r="A4" s="15" t="s">
        <v>321</v>
      </c>
      <c r="B4" s="15">
        <v>3003</v>
      </c>
      <c r="C4" s="15">
        <f t="shared" ref="C4:C17" si="0">C19</f>
        <v>2006</v>
      </c>
      <c r="D4" s="15">
        <v>3</v>
      </c>
      <c r="E4" s="17"/>
      <c r="F4" s="41"/>
      <c r="G4" s="17"/>
      <c r="H4" s="16"/>
      <c r="I4" s="18"/>
      <c r="J4" s="18"/>
      <c r="K4" s="42"/>
      <c r="L4" s="19"/>
    </row>
    <row r="5" spans="1:12" s="9" customFormat="1">
      <c r="A5" s="15" t="s">
        <v>321</v>
      </c>
      <c r="B5" s="15">
        <v>3003</v>
      </c>
      <c r="C5" s="15">
        <f t="shared" si="0"/>
        <v>2007</v>
      </c>
      <c r="D5" s="15">
        <v>3</v>
      </c>
      <c r="E5" s="17"/>
      <c r="F5" s="41"/>
      <c r="G5" s="17"/>
      <c r="H5" s="16"/>
      <c r="I5" s="18"/>
      <c r="J5" s="18"/>
      <c r="K5" s="42"/>
      <c r="L5" s="19"/>
    </row>
    <row r="6" spans="1:12" s="9" customFormat="1">
      <c r="A6" s="15" t="s">
        <v>321</v>
      </c>
      <c r="B6" s="15">
        <v>3003</v>
      </c>
      <c r="C6" s="15">
        <f t="shared" si="0"/>
        <v>2008</v>
      </c>
      <c r="D6" s="15">
        <v>3</v>
      </c>
      <c r="E6" s="17"/>
      <c r="F6" s="41"/>
      <c r="G6" s="17"/>
      <c r="H6" s="16"/>
      <c r="I6" s="18"/>
      <c r="J6" s="18"/>
      <c r="K6" s="42"/>
      <c r="L6" s="19"/>
    </row>
    <row r="7" spans="1:12" s="9" customFormat="1">
      <c r="A7" s="15" t="s">
        <v>321</v>
      </c>
      <c r="B7" s="15">
        <v>3003</v>
      </c>
      <c r="C7" s="15">
        <f t="shared" si="0"/>
        <v>2009</v>
      </c>
      <c r="D7" s="15">
        <v>3</v>
      </c>
      <c r="E7" s="17"/>
      <c r="F7" s="41"/>
      <c r="G7" s="17"/>
      <c r="H7" s="16"/>
      <c r="I7" s="18"/>
      <c r="J7" s="18"/>
      <c r="K7" s="42"/>
      <c r="L7" s="19"/>
    </row>
    <row r="8" spans="1:12" s="9" customFormat="1">
      <c r="A8" s="15" t="s">
        <v>321</v>
      </c>
      <c r="B8" s="15">
        <v>3003</v>
      </c>
      <c r="C8" s="15">
        <f t="shared" si="0"/>
        <v>2010</v>
      </c>
      <c r="D8" s="15">
        <v>3</v>
      </c>
      <c r="E8" s="17"/>
      <c r="F8" s="41"/>
      <c r="G8" s="17"/>
      <c r="H8" s="16"/>
      <c r="I8" s="18"/>
      <c r="J8" s="18"/>
      <c r="K8" s="42"/>
      <c r="L8" s="19"/>
    </row>
    <row r="9" spans="1:12" s="9" customFormat="1">
      <c r="A9" s="15" t="s">
        <v>321</v>
      </c>
      <c r="B9" s="15">
        <v>3003</v>
      </c>
      <c r="C9" s="15">
        <f t="shared" si="0"/>
        <v>2011</v>
      </c>
      <c r="D9" s="15">
        <v>3</v>
      </c>
      <c r="E9" s="17"/>
      <c r="F9" s="41"/>
      <c r="G9" s="17"/>
      <c r="H9" s="16"/>
      <c r="I9" s="18"/>
      <c r="J9" s="18"/>
      <c r="K9" s="42"/>
      <c r="L9" s="19"/>
    </row>
    <row r="10" spans="1:12" s="9" customFormat="1">
      <c r="A10" s="15" t="s">
        <v>321</v>
      </c>
      <c r="B10" s="15">
        <v>3003</v>
      </c>
      <c r="C10" s="15">
        <f t="shared" si="0"/>
        <v>2012</v>
      </c>
      <c r="D10" s="15">
        <v>3</v>
      </c>
      <c r="E10" s="17"/>
      <c r="F10" s="41"/>
      <c r="G10" s="17"/>
      <c r="H10" s="16"/>
      <c r="I10" s="18"/>
      <c r="J10" s="18"/>
      <c r="K10" s="42"/>
      <c r="L10" s="19"/>
    </row>
    <row r="11" spans="1:12" s="9" customFormat="1">
      <c r="A11" s="15" t="s">
        <v>321</v>
      </c>
      <c r="B11" s="15">
        <v>3003</v>
      </c>
      <c r="C11" s="15">
        <f t="shared" si="0"/>
        <v>2013</v>
      </c>
      <c r="D11" s="15">
        <v>3</v>
      </c>
      <c r="E11" s="17"/>
      <c r="F11" s="41"/>
      <c r="G11" s="17"/>
      <c r="H11" s="16"/>
      <c r="I11" s="18"/>
      <c r="J11" s="18"/>
      <c r="K11" s="42"/>
      <c r="L11" s="19"/>
    </row>
    <row r="12" spans="1:12" s="9" customFormat="1">
      <c r="A12" s="15" t="s">
        <v>321</v>
      </c>
      <c r="B12" s="15">
        <v>3003</v>
      </c>
      <c r="C12" s="15">
        <f t="shared" si="0"/>
        <v>2014</v>
      </c>
      <c r="D12" s="15">
        <v>3</v>
      </c>
      <c r="E12" s="17"/>
      <c r="F12" s="41"/>
      <c r="G12" s="17"/>
      <c r="H12" s="16"/>
      <c r="I12" s="18"/>
      <c r="J12" s="18"/>
      <c r="K12" s="42"/>
      <c r="L12" s="19"/>
    </row>
    <row r="13" spans="1:12" s="9" customFormat="1">
      <c r="A13" s="15" t="s">
        <v>321</v>
      </c>
      <c r="B13" s="15">
        <v>3003</v>
      </c>
      <c r="C13" s="15">
        <f t="shared" si="0"/>
        <v>2015</v>
      </c>
      <c r="D13" s="15">
        <v>3</v>
      </c>
      <c r="E13" s="17"/>
      <c r="F13" s="41"/>
      <c r="G13" s="17"/>
      <c r="H13" s="16"/>
      <c r="I13" s="18"/>
      <c r="J13" s="18"/>
      <c r="K13" s="42"/>
      <c r="L13" s="19"/>
    </row>
    <row r="14" spans="1:12" s="9" customFormat="1">
      <c r="A14" s="15" t="s">
        <v>321</v>
      </c>
      <c r="B14" s="15">
        <v>3003</v>
      </c>
      <c r="C14" s="15">
        <f t="shared" si="0"/>
        <v>2016</v>
      </c>
      <c r="D14" s="15">
        <v>3</v>
      </c>
      <c r="E14" s="17"/>
      <c r="F14" s="41"/>
      <c r="G14" s="17"/>
      <c r="H14" s="16"/>
      <c r="I14" s="18"/>
      <c r="J14" s="18"/>
      <c r="K14" s="42"/>
      <c r="L14" s="19"/>
    </row>
    <row r="15" spans="1:12" s="9" customFormat="1">
      <c r="A15" s="15" t="s">
        <v>321</v>
      </c>
      <c r="B15" s="15">
        <v>3003</v>
      </c>
      <c r="C15" s="15">
        <f t="shared" si="0"/>
        <v>2017</v>
      </c>
      <c r="D15" s="15">
        <v>3</v>
      </c>
      <c r="E15" s="17">
        <f>'[14]2017 Benchmarking Calculations'!$I$9/1000</f>
        <v>253135.39759000001</v>
      </c>
      <c r="F15" s="41">
        <f t="shared" ref="F15:F17" si="1">F30</f>
        <v>1.2674505553724562</v>
      </c>
      <c r="G15" s="17">
        <f>[15]General!$B$20/1000</f>
        <v>4721.2539999999999</v>
      </c>
      <c r="H15" s="16">
        <f t="shared" ref="H15:H17" si="2">MAX(H14,G15)</f>
        <v>4721.2539999999999</v>
      </c>
      <c r="I15" s="18">
        <f>'[14]2017 Benchmarking Calculations'!$I$56</f>
        <v>982023</v>
      </c>
      <c r="J15" s="18">
        <f>[15]General!$B$17</f>
        <v>19779</v>
      </c>
      <c r="K15" s="18">
        <f>J15*L15</f>
        <v>13167</v>
      </c>
      <c r="L15" s="19">
        <f>[15]General!$B$16/[15]General!$B$17</f>
        <v>0.66570605187319887</v>
      </c>
    </row>
    <row r="16" spans="1:12" s="9" customFormat="1">
      <c r="A16" s="15" t="s">
        <v>321</v>
      </c>
      <c r="B16" s="15">
        <v>3003</v>
      </c>
      <c r="C16" s="15">
        <f t="shared" si="0"/>
        <v>2018</v>
      </c>
      <c r="D16" s="15">
        <v>3</v>
      </c>
      <c r="E16" s="17">
        <f>'[16]2018 Benchmarking Calculations'!$I$10/1000</f>
        <v>226830.29759</v>
      </c>
      <c r="F16" s="41">
        <f t="shared" si="1"/>
        <v>1.2994718602728874</v>
      </c>
      <c r="G16" s="17">
        <f>'[16]2018 Benchmarking Calculations'!$I$61/1000</f>
        <v>5106.3159999999998</v>
      </c>
      <c r="H16" s="16">
        <f t="shared" si="2"/>
        <v>5106.3159999999998</v>
      </c>
      <c r="I16" s="18">
        <f>'[16]2018 Benchmarking Calculations'!$I$57</f>
        <v>991103</v>
      </c>
      <c r="J16" s="18">
        <f>'[16]2018 Utility Characteristics'!$C$103</f>
        <v>19897</v>
      </c>
      <c r="K16" s="18">
        <f>'[16]2018 Utility Characteristics'!$C$105</f>
        <v>13321</v>
      </c>
      <c r="L16" s="19">
        <f>K16/J16</f>
        <v>0.66949791425843097</v>
      </c>
    </row>
    <row r="17" spans="1:14" s="9" customFormat="1">
      <c r="A17" s="15" t="s">
        <v>321</v>
      </c>
      <c r="B17" s="15">
        <v>3003</v>
      </c>
      <c r="C17" s="15">
        <f t="shared" si="0"/>
        <v>2019</v>
      </c>
      <c r="D17" s="15">
        <v>3</v>
      </c>
      <c r="E17" s="17">
        <f>'[17]2019 Benchmarking Calculations'!$I$10/1000</f>
        <v>257552.39223</v>
      </c>
      <c r="F17" s="41">
        <f t="shared" si="1"/>
        <v>1.3352608354138498</v>
      </c>
      <c r="G17" s="17">
        <f>'[17]2019 Benchmarking Calculations'!$I$61/1000</f>
        <v>4962.2169999999996</v>
      </c>
      <c r="H17" s="16">
        <f t="shared" si="2"/>
        <v>5106.3159999999998</v>
      </c>
      <c r="I17" s="18">
        <f>'[17]2019 Benchmarking Calculations'!$I$57</f>
        <v>1054614</v>
      </c>
      <c r="J17" s="18">
        <f>'[17]2019 Utility Characteristics'!$C$16+'[17]2019 Utility Characteristics'!$C$18</f>
        <v>21112</v>
      </c>
      <c r="K17" s="18">
        <f>'[17]2019 Utility Characteristics'!$C$18</f>
        <v>14149</v>
      </c>
      <c r="L17" s="19">
        <f>K17/J17</f>
        <v>0.67018757104964</v>
      </c>
    </row>
    <row r="18" spans="1:14">
      <c r="A18" s="15" t="str">
        <f>'[18]2. BM Database'!B6</f>
        <v>ALGOMA POWER INC.</v>
      </c>
      <c r="B18" s="15">
        <v>3046</v>
      </c>
      <c r="C18" s="43">
        <f>'[18]2. BM Database'!C6</f>
        <v>2005</v>
      </c>
      <c r="D18" s="15">
        <v>3</v>
      </c>
      <c r="E18" s="17">
        <f>'[18]2. BM Database'!F6/1000</f>
        <v>7352.77351</v>
      </c>
      <c r="F18" s="41">
        <f>'Ont Opex Price'!W14</f>
        <v>1</v>
      </c>
      <c r="G18" s="44">
        <f>'[18]2. BM Database'!P6/1000</f>
        <v>44.521000000000001</v>
      </c>
      <c r="H18" s="16">
        <f>G18</f>
        <v>44.521000000000001</v>
      </c>
      <c r="I18" s="18">
        <f>'[18]2. BM Database'!L6</f>
        <v>11457</v>
      </c>
      <c r="J18" s="18">
        <f>'[18]2. BM Database'!R6</f>
        <v>1832</v>
      </c>
      <c r="K18" s="18">
        <f t="shared" ref="K18:K70" si="3">J18*L18</f>
        <v>1</v>
      </c>
      <c r="L18" s="19">
        <f>'[18]2. BM Database'!T6</f>
        <v>5.4585152838427945E-4</v>
      </c>
      <c r="M18" s="9"/>
      <c r="N18" s="9"/>
    </row>
    <row r="19" spans="1:14">
      <c r="A19" s="15" t="str">
        <f>'[18]2. BM Database'!B7</f>
        <v>ALGOMA POWER INC.</v>
      </c>
      <c r="B19" s="15">
        <v>3046</v>
      </c>
      <c r="C19" s="43">
        <f>'[18]2. BM Database'!C7</f>
        <v>2006</v>
      </c>
      <c r="D19" s="15">
        <v>3</v>
      </c>
      <c r="E19" s="17">
        <f>'[18]2. BM Database'!F7/1000</f>
        <v>7529.8135300000004</v>
      </c>
      <c r="F19" s="41">
        <f>'Ont Opex Price'!W15</f>
        <v>1.0181607380073696</v>
      </c>
      <c r="G19" s="44">
        <f>'[18]2. BM Database'!P7/1000</f>
        <v>37.030999999999999</v>
      </c>
      <c r="H19" s="16">
        <f>MAX(G19,H18)</f>
        <v>44.521000000000001</v>
      </c>
      <c r="I19" s="18">
        <f>'[18]2. BM Database'!L7</f>
        <v>11491</v>
      </c>
      <c r="J19" s="18">
        <f>'[18]2. BM Database'!R7</f>
        <v>1832</v>
      </c>
      <c r="K19" s="18">
        <f t="shared" si="3"/>
        <v>1</v>
      </c>
      <c r="L19" s="19">
        <f>'[18]2. BM Database'!T7</f>
        <v>5.4585152838427945E-4</v>
      </c>
      <c r="M19" s="9"/>
      <c r="N19" s="9"/>
    </row>
    <row r="20" spans="1:14">
      <c r="A20" s="15" t="str">
        <f>'[18]2. BM Database'!B8</f>
        <v>ALGOMA POWER INC.</v>
      </c>
      <c r="B20" s="15">
        <v>3046</v>
      </c>
      <c r="C20" s="43">
        <f>'[18]2. BM Database'!C8</f>
        <v>2007</v>
      </c>
      <c r="D20" s="15">
        <v>3</v>
      </c>
      <c r="E20" s="17">
        <f>'[18]2. BM Database'!F8/1000</f>
        <v>7957.4229500000001</v>
      </c>
      <c r="F20" s="41">
        <f>'Ont Opex Price'!W16</f>
        <v>1.0531931014872313</v>
      </c>
      <c r="G20" s="44">
        <f>'[18]2. BM Database'!P8/1000</f>
        <v>41.804000000000002</v>
      </c>
      <c r="H20" s="16">
        <f t="shared" ref="H20:H32" si="4">MAX(G20,H19)</f>
        <v>44.521000000000001</v>
      </c>
      <c r="I20" s="18">
        <f>'[18]2. BM Database'!L8</f>
        <v>11522</v>
      </c>
      <c r="J20" s="18">
        <f>'[18]2. BM Database'!R8</f>
        <v>1823</v>
      </c>
      <c r="K20" s="18">
        <f t="shared" si="3"/>
        <v>1</v>
      </c>
      <c r="L20" s="19">
        <f>'[18]2. BM Database'!T8</f>
        <v>5.4854635216675812E-4</v>
      </c>
      <c r="M20" s="9"/>
      <c r="N20" s="9"/>
    </row>
    <row r="21" spans="1:14">
      <c r="A21" s="15" t="str">
        <f>'[18]2. BM Database'!B9</f>
        <v>ALGOMA POWER INC.</v>
      </c>
      <c r="B21" s="15">
        <v>3046</v>
      </c>
      <c r="C21" s="43">
        <f>'[18]2. BM Database'!C9</f>
        <v>2008</v>
      </c>
      <c r="D21" s="15">
        <v>3</v>
      </c>
      <c r="E21" s="17">
        <f>'[18]2. BM Database'!F9/1000</f>
        <v>8468.1532799999986</v>
      </c>
      <c r="F21" s="41">
        <f>'Ont Opex Price'!W17</f>
        <v>1.078564603993923</v>
      </c>
      <c r="G21" s="44">
        <f>'[18]2. BM Database'!P9/1000</f>
        <v>39.582999999999998</v>
      </c>
      <c r="H21" s="16">
        <f t="shared" si="4"/>
        <v>44.521000000000001</v>
      </c>
      <c r="I21" s="18">
        <f>'[18]2. BM Database'!L9</f>
        <v>11587</v>
      </c>
      <c r="J21" s="18">
        <f>'[18]2. BM Database'!R9</f>
        <v>1845</v>
      </c>
      <c r="K21" s="18">
        <f t="shared" si="3"/>
        <v>4</v>
      </c>
      <c r="L21" s="19">
        <f>'[18]2. BM Database'!T9</f>
        <v>2.1680216802168022E-3</v>
      </c>
      <c r="M21" s="9"/>
      <c r="N21" s="9"/>
    </row>
    <row r="22" spans="1:14">
      <c r="A22" s="15" t="str">
        <f>'[18]2. BM Database'!B10</f>
        <v>ALGOMA POWER INC.</v>
      </c>
      <c r="B22" s="15">
        <v>3046</v>
      </c>
      <c r="C22" s="43">
        <f>'[18]2. BM Database'!C10</f>
        <v>2009</v>
      </c>
      <c r="D22" s="15">
        <v>3</v>
      </c>
      <c r="E22" s="17">
        <f>'[18]2. BM Database'!F10/1000</f>
        <v>8568.6523799999995</v>
      </c>
      <c r="F22" s="41">
        <f>'Ont Opex Price'!W18</f>
        <v>1.0915070880241431</v>
      </c>
      <c r="G22" s="44">
        <f>'[18]2. BM Database'!P10/1000</f>
        <v>41.137</v>
      </c>
      <c r="H22" s="16">
        <f t="shared" si="4"/>
        <v>44.521000000000001</v>
      </c>
      <c r="I22" s="18">
        <f>'[18]2. BM Database'!L10</f>
        <v>11688</v>
      </c>
      <c r="J22" s="18">
        <f>'[18]2. BM Database'!R10</f>
        <v>1845</v>
      </c>
      <c r="K22" s="18">
        <f t="shared" si="3"/>
        <v>4</v>
      </c>
      <c r="L22" s="19">
        <f>'[18]2. BM Database'!T10</f>
        <v>2.1680216802168022E-3</v>
      </c>
      <c r="M22" s="9"/>
      <c r="N22" s="9"/>
    </row>
    <row r="23" spans="1:14">
      <c r="A23" s="15" t="str">
        <f>'[18]2. BM Database'!B11</f>
        <v>ALGOMA POWER INC.</v>
      </c>
      <c r="B23" s="15">
        <v>3046</v>
      </c>
      <c r="C23" s="43">
        <f>'[18]2. BM Database'!C11</f>
        <v>2010</v>
      </c>
      <c r="D23" s="15">
        <v>3</v>
      </c>
      <c r="E23" s="17">
        <f>'[18]2. BM Database'!F11/1000</f>
        <v>8596.2797899999987</v>
      </c>
      <c r="F23" s="41">
        <f>'Ont Opex Price'!W19</f>
        <v>1.1243125351578573</v>
      </c>
      <c r="G23" s="44">
        <f>'[18]2. BM Database'!P11/1000</f>
        <v>39.57</v>
      </c>
      <c r="H23" s="16">
        <f t="shared" si="4"/>
        <v>44.521000000000001</v>
      </c>
      <c r="I23" s="18">
        <f>'[18]2. BM Database'!L11</f>
        <v>11612</v>
      </c>
      <c r="J23" s="18">
        <f>'[18]2. BM Database'!R11</f>
        <v>1848</v>
      </c>
      <c r="K23" s="18">
        <f t="shared" si="3"/>
        <v>4</v>
      </c>
      <c r="L23" s="19">
        <f>'[18]2. BM Database'!T11</f>
        <v>2.1645021645021645E-3</v>
      </c>
      <c r="M23" s="9"/>
      <c r="N23" s="9"/>
    </row>
    <row r="24" spans="1:14">
      <c r="A24" s="15" t="str">
        <f>'[18]2. BM Database'!B12</f>
        <v>ALGOMA POWER INC.</v>
      </c>
      <c r="B24" s="15">
        <v>3046</v>
      </c>
      <c r="C24" s="43">
        <f>'[18]2. BM Database'!C12</f>
        <v>2011</v>
      </c>
      <c r="D24" s="15">
        <v>3</v>
      </c>
      <c r="E24" s="17">
        <f>'[18]2. BM Database'!F12/1000</f>
        <v>9643.8413731396213</v>
      </c>
      <c r="F24" s="41">
        <f>'Ont Opex Price'!W20</f>
        <v>1.1430978626415853</v>
      </c>
      <c r="G24" s="44">
        <f>'[18]2. BM Database'!P12/1000</f>
        <v>42.341999999999999</v>
      </c>
      <c r="H24" s="16">
        <f t="shared" si="4"/>
        <v>44.521000000000001</v>
      </c>
      <c r="I24" s="18">
        <f>'[18]2. BM Database'!L12</f>
        <v>11581</v>
      </c>
      <c r="J24" s="18">
        <f>'[18]2. BM Database'!R12</f>
        <v>1848</v>
      </c>
      <c r="K24" s="18">
        <f t="shared" si="3"/>
        <v>4</v>
      </c>
      <c r="L24" s="19">
        <f>'[18]2. BM Database'!T12</f>
        <v>2.1645021645021645E-3</v>
      </c>
      <c r="M24" s="9"/>
      <c r="N24" s="9"/>
    </row>
    <row r="25" spans="1:14">
      <c r="A25" s="15" t="str">
        <f>'[18]2. BM Database'!B13</f>
        <v>ALGOMA POWER INC.</v>
      </c>
      <c r="B25" s="15">
        <v>3046</v>
      </c>
      <c r="C25" s="43">
        <f>'[18]2. BM Database'!C13</f>
        <v>2012</v>
      </c>
      <c r="D25" s="15">
        <v>3</v>
      </c>
      <c r="E25" s="17">
        <f>'[18]2. BM Database'!F13/1000</f>
        <v>9344.9541799999988</v>
      </c>
      <c r="F25" s="41">
        <f>'Ont Opex Price'!W21</f>
        <v>1.160126854517312</v>
      </c>
      <c r="G25" s="44">
        <f>'[18]2. BM Database'!P13/1000</f>
        <v>38.076000000000001</v>
      </c>
      <c r="H25" s="16">
        <f t="shared" si="4"/>
        <v>44.521000000000001</v>
      </c>
      <c r="I25" s="18">
        <f>'[18]2. BM Database'!L13</f>
        <v>11609</v>
      </c>
      <c r="J25" s="18">
        <f>'[18]2. BM Database'!R13</f>
        <v>1848</v>
      </c>
      <c r="K25" s="18">
        <f t="shared" si="3"/>
        <v>4</v>
      </c>
      <c r="L25" s="19">
        <f>'[18]2. BM Database'!T13</f>
        <v>2.1645021645021645E-3</v>
      </c>
      <c r="M25" s="9"/>
      <c r="N25" s="9"/>
    </row>
    <row r="26" spans="1:14" s="15" customFormat="1">
      <c r="A26" s="15" t="s">
        <v>25</v>
      </c>
      <c r="B26" s="15">
        <v>3046</v>
      </c>
      <c r="C26" s="43">
        <v>2013</v>
      </c>
      <c r="D26" s="15">
        <v>3</v>
      </c>
      <c r="E26" s="17">
        <f>HLOOKUP(A26,'[19]2013 Benchmarking Calculations'!$I$3:$CC$76,6,FALSE)/1000</f>
        <v>10672.392270000002</v>
      </c>
      <c r="F26" s="41">
        <f>'Ont Opex Price'!W22</f>
        <v>1.178602141578931</v>
      </c>
      <c r="G26" s="44">
        <f>HLOOKUP(A26,'[19]2013 Benchmarking Calculations'!$I$3:$CC$76,57,FALSE)/1000</f>
        <v>43.003</v>
      </c>
      <c r="H26" s="16">
        <f t="shared" si="4"/>
        <v>44.521000000000001</v>
      </c>
      <c r="I26" s="18">
        <f>HLOOKUP(A26,'[19]2013 Benchmarking Calculations'!$I$3:$CC$76,53,FALSE)</f>
        <v>11645</v>
      </c>
      <c r="J26" s="18">
        <f>HLOOKUP(A26,'[19]2013 Benchmarking Calculations'!$I$3:$CC$76,71,FALSE)</f>
        <v>1848</v>
      </c>
      <c r="K26" s="18">
        <f t="shared" si="3"/>
        <v>14</v>
      </c>
      <c r="L26" s="19">
        <f>HLOOKUP(A26,'[19]2013 PBR data '!B$42:BV$68,15,FALSE)/HLOOKUP(A26,'[19]2013 PBR data '!B$42:BV$68,13,FALSE)</f>
        <v>7.575757575757576E-3</v>
      </c>
      <c r="M26" s="9"/>
      <c r="N26" s="9"/>
    </row>
    <row r="27" spans="1:14" s="15" customFormat="1">
      <c r="A27" s="15" t="s">
        <v>25</v>
      </c>
      <c r="B27" s="15">
        <v>3046</v>
      </c>
      <c r="C27" s="43">
        <v>2014</v>
      </c>
      <c r="D27" s="15">
        <v>3</v>
      </c>
      <c r="E27" s="17">
        <f>VLOOKUP(A27,[20]Result!$B$12:$D$84,2,FALSE)/10^3</f>
        <v>11031.281000000001</v>
      </c>
      <c r="F27" s="41">
        <f>'Ont Opex Price'!W23</f>
        <v>1.2030671041042156</v>
      </c>
      <c r="G27" s="44">
        <f>VLOOKUP(A27,'[21]General transpose'!$A$1:$AF$73,26,FALSE)/10^3</f>
        <v>42.87</v>
      </c>
      <c r="H27" s="16">
        <f t="shared" si="4"/>
        <v>44.521000000000001</v>
      </c>
      <c r="I27" s="18">
        <f>VLOOKUP(A27,'[21]General transpose'!$A$1:$AF$73,8,FALSE)</f>
        <v>11650</v>
      </c>
      <c r="J27" s="18">
        <f>VLOOKUP(A27,'[21]General transpose'!$A$1:$AF$73,16,FALSE)</f>
        <v>1848</v>
      </c>
      <c r="K27" s="18">
        <f t="shared" si="3"/>
        <v>14</v>
      </c>
      <c r="L27" s="19">
        <f>VLOOKUP(A27,'[21]General transpose'!$A$1:$AF$73,17,FALSE)</f>
        <v>7.575757575757576E-3</v>
      </c>
      <c r="M27" s="9"/>
      <c r="N27" s="9"/>
    </row>
    <row r="28" spans="1:14" s="15" customFormat="1">
      <c r="A28" s="15" t="s">
        <v>25</v>
      </c>
      <c r="B28" s="15">
        <v>3046</v>
      </c>
      <c r="C28" s="43">
        <v>2015</v>
      </c>
      <c r="D28" s="15">
        <v>3</v>
      </c>
      <c r="E28" s="17">
        <f>VLOOKUP(A27,[20]Result!$B$12:$D$84,3,FALSE)/10^3</f>
        <v>11595.831</v>
      </c>
      <c r="F28" s="41">
        <f>'Ont Opex Price'!W24</f>
        <v>1.2312762402864634</v>
      </c>
      <c r="G28" s="44">
        <f>VLOOKUP(A27,'[22]General transpose'!$A$1:$AF$73,26,FALSE)/10^3</f>
        <v>44.71</v>
      </c>
      <c r="H28" s="16">
        <f t="shared" si="4"/>
        <v>44.71</v>
      </c>
      <c r="I28" s="18">
        <f>VLOOKUP(A27,'[22]General transpose'!$A$1:$AF$73,8,FALSE)</f>
        <v>11678</v>
      </c>
      <c r="J28" s="18">
        <f>VLOOKUP(A27,'[22]General transpose'!$A$1:$AF$73,16,FALSE)</f>
        <v>1849</v>
      </c>
      <c r="K28" s="18">
        <f t="shared" si="3"/>
        <v>14</v>
      </c>
      <c r="L28" s="19">
        <f>VLOOKUP(A27,'[22]General transpose'!$A$1:$AF$73,17,FALSE)</f>
        <v>7.5716603569497025E-3</v>
      </c>
      <c r="M28" s="9"/>
      <c r="N28" s="9"/>
    </row>
    <row r="29" spans="1:14" s="15" customFormat="1">
      <c r="A29" s="15" t="s">
        <v>25</v>
      </c>
      <c r="B29" s="15">
        <v>3046</v>
      </c>
      <c r="C29" s="43">
        <v>2016</v>
      </c>
      <c r="D29" s="15">
        <v>3</v>
      </c>
      <c r="E29" s="17">
        <f>'[14]2016 Benchmarking Calculations'!$I$8/1000</f>
        <v>11621.712579999999</v>
      </c>
      <c r="F29" s="41">
        <f>'Ont Opex Price'!W25</f>
        <v>1.2455044937824149</v>
      </c>
      <c r="G29" s="44">
        <f>HLOOKUP(A29,[23]General!$A$1:$BQ$23,22,FALSE)/10^3</f>
        <v>40.591999999999999</v>
      </c>
      <c r="H29" s="16">
        <f t="shared" si="4"/>
        <v>44.71</v>
      </c>
      <c r="I29" s="18">
        <f>HLOOKUP(A29,[23]General!$A$1:$BQ$23,9,FALSE)</f>
        <v>11707</v>
      </c>
      <c r="J29" s="18">
        <f>HLOOKUP(A29,[23]General!$A$1:$BQ$23,17,FALSE)</f>
        <v>1850</v>
      </c>
      <c r="K29" s="18">
        <f t="shared" si="3"/>
        <v>14</v>
      </c>
      <c r="L29" s="19">
        <f>HLOOKUP(A29,[23]General!$A$1:$BQ$23,18,FALSE)</f>
        <v>7.5675675675675675E-3</v>
      </c>
      <c r="M29" s="9"/>
      <c r="N29" s="9"/>
    </row>
    <row r="30" spans="1:14" s="15" customFormat="1">
      <c r="A30" s="15" t="s">
        <v>25</v>
      </c>
      <c r="B30" s="15">
        <v>3046</v>
      </c>
      <c r="C30" s="43">
        <v>2017</v>
      </c>
      <c r="D30" s="15">
        <v>3</v>
      </c>
      <c r="E30" s="17">
        <f>'[14]2017 Benchmarking Calculations'!$J$9/1000</f>
        <v>11949.456149999996</v>
      </c>
      <c r="F30" s="41">
        <f>'Ont Opex Price'!W26</f>
        <v>1.2674505553724562</v>
      </c>
      <c r="G30" s="44">
        <f>'[14]2017 Benchmarking Calculations'!$J$60/1000</f>
        <v>41.832000000000001</v>
      </c>
      <c r="H30" s="16">
        <f t="shared" si="4"/>
        <v>44.71</v>
      </c>
      <c r="I30" s="18">
        <f>'[14]2017 Benchmarking Calculations'!$J$56</f>
        <v>11724</v>
      </c>
      <c r="J30" s="18">
        <f>'[14]2017 Utility Characteristics'!$C$79</f>
        <v>1850</v>
      </c>
      <c r="K30" s="15">
        <f>'[14]2017 Utility Characteristics'!$C$81</f>
        <v>14</v>
      </c>
      <c r="L30" s="19">
        <f>K30/J30</f>
        <v>7.5675675675675675E-3</v>
      </c>
      <c r="M30" s="9"/>
      <c r="N30" s="9"/>
    </row>
    <row r="31" spans="1:14" s="15" customFormat="1">
      <c r="A31" s="15" t="s">
        <v>25</v>
      </c>
      <c r="B31" s="15">
        <v>3046</v>
      </c>
      <c r="C31" s="43">
        <v>2018</v>
      </c>
      <c r="D31" s="15">
        <v>3</v>
      </c>
      <c r="E31" s="17">
        <f>'[16]2018 Benchmarking Calculations'!$J$10/1000</f>
        <v>11930.620429999999</v>
      </c>
      <c r="F31" s="41">
        <f>'Ont Opex Price'!W27</f>
        <v>1.2994718602728874</v>
      </c>
      <c r="G31" s="44">
        <f>'[16]2018 Benchmarking Calculations'!$J$61/1000</f>
        <v>44.182000000000002</v>
      </c>
      <c r="H31" s="16">
        <f t="shared" si="4"/>
        <v>44.71</v>
      </c>
      <c r="I31" s="18">
        <f>'[16]2018 Benchmarking Calculations'!$J$57</f>
        <v>11721</v>
      </c>
      <c r="J31" s="18">
        <f>'[16]2018 Utility Characteristics'!$D$103</f>
        <v>1849</v>
      </c>
      <c r="K31" s="18">
        <f>'[16]2018 Utility Characteristics'!$D$105</f>
        <v>14</v>
      </c>
      <c r="L31" s="19">
        <f>K31/J31</f>
        <v>7.5716603569497025E-3</v>
      </c>
      <c r="M31" s="9"/>
      <c r="N31" s="9"/>
    </row>
    <row r="32" spans="1:14" s="15" customFormat="1">
      <c r="A32" s="15" t="s">
        <v>25</v>
      </c>
      <c r="B32" s="15">
        <v>3046</v>
      </c>
      <c r="C32" s="43">
        <v>2019</v>
      </c>
      <c r="D32" s="15">
        <v>3</v>
      </c>
      <c r="E32" s="17">
        <f>'[17]2019 Benchmarking Calculations'!$J$10/1000</f>
        <v>11990.934029999999</v>
      </c>
      <c r="F32" s="41">
        <f>'Ont Opex Price'!W28</f>
        <v>1.3352608354138498</v>
      </c>
      <c r="G32" s="44">
        <f>'[17]2019 Benchmarking Calculations'!$J$61/1000</f>
        <v>48.304000000000002</v>
      </c>
      <c r="H32" s="16">
        <f t="shared" si="4"/>
        <v>48.304000000000002</v>
      </c>
      <c r="I32" s="18">
        <f>'[17]2019 Benchmarking Calculations'!$J$57</f>
        <v>11732</v>
      </c>
      <c r="J32" s="18">
        <f>'[17]2019 Utility Characteristics'!$D$16+'[17]2019 Utility Characteristics'!$D$18</f>
        <v>1851</v>
      </c>
      <c r="K32" s="18">
        <f>'[17]2019 Utility Characteristics'!$D$18</f>
        <v>16</v>
      </c>
      <c r="L32" s="19">
        <f>K32/J32</f>
        <v>8.6439762290653702E-3</v>
      </c>
      <c r="M32" s="9"/>
      <c r="N32" s="9"/>
    </row>
    <row r="33" spans="1:14">
      <c r="A33" s="15" t="str">
        <f>'[18]2. BM Database'!B17</f>
        <v>ATIKOKAN HYDRO INC.</v>
      </c>
      <c r="B33" s="15">
        <v>3071</v>
      </c>
      <c r="C33" s="43">
        <f>'[18]2. BM Database'!C17</f>
        <v>2005</v>
      </c>
      <c r="D33" s="15">
        <v>3</v>
      </c>
      <c r="E33" s="17">
        <f>'[18]2. BM Database'!F17/1000</f>
        <v>658.72725000000003</v>
      </c>
      <c r="F33" s="41">
        <f t="shared" ref="F33:F47" si="5">F18</f>
        <v>1</v>
      </c>
      <c r="G33" s="44">
        <f>'[18]2. BM Database'!P17/1000</f>
        <v>8.0709999999999997</v>
      </c>
      <c r="H33" s="16">
        <f>G33</f>
        <v>8.0709999999999997</v>
      </c>
      <c r="I33" s="18">
        <f>'[18]2. BM Database'!L17</f>
        <v>1765</v>
      </c>
      <c r="J33" s="18">
        <f>'[18]2. BM Database'!R17</f>
        <v>92</v>
      </c>
      <c r="K33" s="18">
        <f t="shared" si="3"/>
        <v>0</v>
      </c>
      <c r="L33" s="19">
        <f>'[18]2. BM Database'!T17/1848</f>
        <v>0</v>
      </c>
      <c r="M33" s="9"/>
      <c r="N33" s="9"/>
    </row>
    <row r="34" spans="1:14">
      <c r="A34" s="15" t="str">
        <f>'[18]2. BM Database'!B18</f>
        <v>ATIKOKAN HYDRO INC.</v>
      </c>
      <c r="B34" s="15">
        <v>3071</v>
      </c>
      <c r="C34" s="43">
        <f>'[18]2. BM Database'!C18</f>
        <v>2006</v>
      </c>
      <c r="D34" s="15">
        <v>3</v>
      </c>
      <c r="E34" s="17">
        <f>'[18]2. BM Database'!F18/1000</f>
        <v>649.44206999999994</v>
      </c>
      <c r="F34" s="41">
        <f t="shared" si="5"/>
        <v>1.0181607380073696</v>
      </c>
      <c r="G34" s="44">
        <f>'[18]2. BM Database'!P18/1000</f>
        <v>7.57</v>
      </c>
      <c r="H34" s="16">
        <f>MAX(G34,H33)</f>
        <v>8.0709999999999997</v>
      </c>
      <c r="I34" s="18">
        <f>'[18]2. BM Database'!L18</f>
        <v>1720</v>
      </c>
      <c r="J34" s="18">
        <f>'[18]2. BM Database'!R18</f>
        <v>92</v>
      </c>
      <c r="K34" s="18">
        <f t="shared" si="3"/>
        <v>0</v>
      </c>
      <c r="L34" s="19">
        <f>'[18]2. BM Database'!T18</f>
        <v>0</v>
      </c>
      <c r="M34" s="9"/>
      <c r="N34" s="9"/>
    </row>
    <row r="35" spans="1:14">
      <c r="A35" s="15" t="str">
        <f>'[18]2. BM Database'!B19</f>
        <v>ATIKOKAN HYDRO INC.</v>
      </c>
      <c r="B35" s="15">
        <v>3071</v>
      </c>
      <c r="C35" s="43">
        <f>'[18]2. BM Database'!C19</f>
        <v>2007</v>
      </c>
      <c r="D35" s="15">
        <v>3</v>
      </c>
      <c r="E35" s="17">
        <f>'[18]2. BM Database'!F19/1000</f>
        <v>758.52587999999992</v>
      </c>
      <c r="F35" s="41">
        <f t="shared" si="5"/>
        <v>1.0531931014872313</v>
      </c>
      <c r="G35" s="44">
        <f>'[18]2. BM Database'!P19/1000</f>
        <v>7.7220000000000004</v>
      </c>
      <c r="H35" s="16">
        <f t="shared" ref="H35:H47" si="6">MAX(G35,H34)</f>
        <v>8.0709999999999997</v>
      </c>
      <c r="I35" s="18">
        <f>'[18]2. BM Database'!L19</f>
        <v>1711</v>
      </c>
      <c r="J35" s="18">
        <f>'[18]2. BM Database'!R19</f>
        <v>92</v>
      </c>
      <c r="K35" s="18">
        <f t="shared" si="3"/>
        <v>0</v>
      </c>
      <c r="L35" s="19">
        <f>'[18]2. BM Database'!T19</f>
        <v>0</v>
      </c>
      <c r="M35" s="9"/>
      <c r="N35" s="9"/>
    </row>
    <row r="36" spans="1:14">
      <c r="A36" s="15" t="str">
        <f>'[18]2. BM Database'!B20</f>
        <v>ATIKOKAN HYDRO INC.</v>
      </c>
      <c r="B36" s="15">
        <v>3071</v>
      </c>
      <c r="C36" s="43">
        <f>'[18]2. BM Database'!C20</f>
        <v>2008</v>
      </c>
      <c r="D36" s="15">
        <v>3</v>
      </c>
      <c r="E36" s="17">
        <f>'[18]2. BM Database'!F20/1000</f>
        <v>838.66886</v>
      </c>
      <c r="F36" s="41">
        <f t="shared" si="5"/>
        <v>1.078564603993923</v>
      </c>
      <c r="G36" s="44">
        <f>'[18]2. BM Database'!P20/1000</f>
        <v>4.9480000000000004</v>
      </c>
      <c r="H36" s="16">
        <f t="shared" si="6"/>
        <v>8.0709999999999997</v>
      </c>
      <c r="I36" s="18">
        <f>'[18]2. BM Database'!L20</f>
        <v>1676</v>
      </c>
      <c r="J36" s="18">
        <f>'[18]2. BM Database'!R20</f>
        <v>92</v>
      </c>
      <c r="K36" s="18">
        <f t="shared" si="3"/>
        <v>0</v>
      </c>
      <c r="L36" s="19">
        <f>'[18]2. BM Database'!T20</f>
        <v>0</v>
      </c>
      <c r="M36" s="9"/>
      <c r="N36" s="9"/>
    </row>
    <row r="37" spans="1:14">
      <c r="A37" s="15" t="str">
        <f>'[18]2. BM Database'!B21</f>
        <v>ATIKOKAN HYDRO INC.</v>
      </c>
      <c r="B37" s="15">
        <v>3071</v>
      </c>
      <c r="C37" s="43">
        <f>'[18]2. BM Database'!C21</f>
        <v>2009</v>
      </c>
      <c r="D37" s="15">
        <v>3</v>
      </c>
      <c r="E37" s="17">
        <f>'[18]2. BM Database'!F21/1000</f>
        <v>865.06242000000009</v>
      </c>
      <c r="F37" s="41">
        <f t="shared" si="5"/>
        <v>1.0915070880241431</v>
      </c>
      <c r="G37" s="44">
        <f>'[18]2. BM Database'!P21/1000</f>
        <v>5.0650000000000004</v>
      </c>
      <c r="H37" s="16">
        <f t="shared" si="6"/>
        <v>8.0709999999999997</v>
      </c>
      <c r="I37" s="18">
        <f>'[18]2. BM Database'!L21</f>
        <v>1662</v>
      </c>
      <c r="J37" s="18">
        <f>'[18]2. BM Database'!R21</f>
        <v>92</v>
      </c>
      <c r="K37" s="18">
        <f t="shared" si="3"/>
        <v>0</v>
      </c>
      <c r="L37" s="19">
        <f>'[18]2. BM Database'!T21</f>
        <v>0</v>
      </c>
      <c r="M37" s="9"/>
      <c r="N37" s="9"/>
    </row>
    <row r="38" spans="1:14">
      <c r="A38" s="15" t="str">
        <f>'[18]2. BM Database'!B22</f>
        <v>ATIKOKAN HYDRO INC.</v>
      </c>
      <c r="B38" s="15">
        <v>3071</v>
      </c>
      <c r="C38" s="43">
        <f>'[18]2. BM Database'!C22</f>
        <v>2010</v>
      </c>
      <c r="D38" s="15">
        <v>3</v>
      </c>
      <c r="E38" s="17">
        <f>'[18]2. BM Database'!F22/1000</f>
        <v>996.78856000000007</v>
      </c>
      <c r="F38" s="41">
        <f t="shared" si="5"/>
        <v>1.1243125351578573</v>
      </c>
      <c r="G38" s="44">
        <f>'[18]2. BM Database'!P22/1000</f>
        <v>4.6219999999999999</v>
      </c>
      <c r="H38" s="16">
        <f t="shared" si="6"/>
        <v>8.0709999999999997</v>
      </c>
      <c r="I38" s="18">
        <f>'[18]2. BM Database'!L22</f>
        <v>1663</v>
      </c>
      <c r="J38" s="18">
        <f>'[18]2. BM Database'!R22</f>
        <v>92</v>
      </c>
      <c r="K38" s="18">
        <f t="shared" si="3"/>
        <v>0</v>
      </c>
      <c r="L38" s="19">
        <f>'[18]2. BM Database'!T22</f>
        <v>0</v>
      </c>
      <c r="M38" s="9"/>
      <c r="N38" s="9"/>
    </row>
    <row r="39" spans="1:14">
      <c r="A39" s="15" t="str">
        <f>'[18]2. BM Database'!B23</f>
        <v>ATIKOKAN HYDRO INC.</v>
      </c>
      <c r="B39" s="15">
        <v>3071</v>
      </c>
      <c r="C39" s="43">
        <f>'[18]2. BM Database'!C23</f>
        <v>2011</v>
      </c>
      <c r="D39" s="15">
        <v>3</v>
      </c>
      <c r="E39" s="17">
        <f>'[18]2. BM Database'!F23/1000</f>
        <v>933.66863999999998</v>
      </c>
      <c r="F39" s="41">
        <f t="shared" si="5"/>
        <v>1.1430978626415853</v>
      </c>
      <c r="G39" s="44">
        <f>'[18]2. BM Database'!P23/1000</f>
        <v>4.5030000000000001</v>
      </c>
      <c r="H39" s="16">
        <f t="shared" si="6"/>
        <v>8.0709999999999997</v>
      </c>
      <c r="I39" s="18">
        <f>'[18]2. BM Database'!L23</f>
        <v>1661</v>
      </c>
      <c r="J39" s="18">
        <f>'[18]2. BM Database'!R23</f>
        <v>92</v>
      </c>
      <c r="K39" s="18">
        <f t="shared" si="3"/>
        <v>0</v>
      </c>
      <c r="L39" s="19">
        <f>'[18]2. BM Database'!T23</f>
        <v>0</v>
      </c>
      <c r="M39" s="9"/>
      <c r="N39" s="9"/>
    </row>
    <row r="40" spans="1:14">
      <c r="A40" s="15" t="str">
        <f>'[18]2. BM Database'!B24</f>
        <v>ATIKOKAN HYDRO INC.</v>
      </c>
      <c r="B40" s="15">
        <v>3071</v>
      </c>
      <c r="C40" s="43">
        <f>'[18]2. BM Database'!C24</f>
        <v>2012</v>
      </c>
      <c r="D40" s="15">
        <v>3</v>
      </c>
      <c r="E40" s="17">
        <f>'[18]2. BM Database'!F24/1000</f>
        <v>1276.6788620189745</v>
      </c>
      <c r="F40" s="41">
        <f t="shared" si="5"/>
        <v>1.160126854517312</v>
      </c>
      <c r="G40" s="44">
        <f>'[18]2. BM Database'!P24/1000</f>
        <v>4.3559999999999999</v>
      </c>
      <c r="H40" s="16">
        <f t="shared" si="6"/>
        <v>8.0709999999999997</v>
      </c>
      <c r="I40" s="18">
        <f>'[18]2. BM Database'!L24</f>
        <v>1660</v>
      </c>
      <c r="J40" s="18">
        <f>'[18]2. BM Database'!R24</f>
        <v>92</v>
      </c>
      <c r="K40" s="18">
        <f t="shared" si="3"/>
        <v>0</v>
      </c>
      <c r="L40" s="19">
        <f>'[18]2. BM Database'!T24</f>
        <v>0</v>
      </c>
      <c r="M40" s="9"/>
      <c r="N40" s="9"/>
    </row>
    <row r="41" spans="1:14" s="15" customFormat="1">
      <c r="A41" s="15" t="s">
        <v>26</v>
      </c>
      <c r="B41" s="15">
        <v>3071</v>
      </c>
      <c r="C41" s="43">
        <v>2013</v>
      </c>
      <c r="D41" s="15">
        <v>3</v>
      </c>
      <c r="E41" s="17">
        <f>HLOOKUP(A41,'[19]2013 Benchmarking Calculations'!$I$3:$CC$76,6,FALSE)/1000</f>
        <v>1031.67536</v>
      </c>
      <c r="F41" s="41">
        <f t="shared" si="5"/>
        <v>1.178602141578931</v>
      </c>
      <c r="G41" s="44">
        <f>HLOOKUP(A41,'[19]2013 Benchmarking Calculations'!$I$3:$CC$76,57,FALSE)/1000</f>
        <v>3.6259999999999999</v>
      </c>
      <c r="H41" s="16">
        <f t="shared" si="6"/>
        <v>8.0709999999999997</v>
      </c>
      <c r="I41" s="18">
        <f>HLOOKUP(A41,'[19]2013 Benchmarking Calculations'!$I$3:$CC$76,53,FALSE)</f>
        <v>1665</v>
      </c>
      <c r="J41" s="18">
        <f>HLOOKUP(A41,'[19]2013 Benchmarking Calculations'!$I$3:$CC$76,71,FALSE)</f>
        <v>92</v>
      </c>
      <c r="K41" s="18">
        <f t="shared" si="3"/>
        <v>0</v>
      </c>
      <c r="L41" s="19">
        <f>HLOOKUP(A41,'[19]2013 PBR data '!B$42:BV$68,15,FALSE)/HLOOKUP(A41,'[19]2013 PBR data '!B$42:BV$68,13,FALSE)</f>
        <v>0</v>
      </c>
      <c r="M41" s="9"/>
      <c r="N41" s="9"/>
    </row>
    <row r="42" spans="1:14" s="15" customFormat="1">
      <c r="A42" s="15" t="s">
        <v>26</v>
      </c>
      <c r="B42" s="15">
        <v>3071</v>
      </c>
      <c r="C42" s="43">
        <v>2014</v>
      </c>
      <c r="D42" s="15">
        <v>3</v>
      </c>
      <c r="E42" s="17">
        <f>VLOOKUP(A42,[20]Result!$B$12:$D$84,2,FALSE)/10^3</f>
        <v>825.68</v>
      </c>
      <c r="F42" s="41">
        <f t="shared" si="5"/>
        <v>1.2030671041042156</v>
      </c>
      <c r="G42" s="44">
        <f>VLOOKUP(A42,'[21]General transpose'!$A$1:$AF$73,26,FALSE)/10^3</f>
        <v>4.9269999999999996</v>
      </c>
      <c r="H42" s="16">
        <f t="shared" si="6"/>
        <v>8.0709999999999997</v>
      </c>
      <c r="I42" s="18">
        <f>VLOOKUP(A42,'[21]General transpose'!$A$1:$AF$73,8,FALSE)</f>
        <v>1663</v>
      </c>
      <c r="J42" s="18">
        <f>VLOOKUP(A42,'[21]General transpose'!$A$1:$AF$73,16,FALSE)</f>
        <v>92</v>
      </c>
      <c r="K42" s="18">
        <f t="shared" si="3"/>
        <v>0</v>
      </c>
      <c r="L42" s="19">
        <f>VLOOKUP(A42,'[21]General transpose'!$A$1:$AF$73,17,FALSE)</f>
        <v>0</v>
      </c>
      <c r="M42" s="9"/>
      <c r="N42" s="9"/>
    </row>
    <row r="43" spans="1:14" s="15" customFormat="1">
      <c r="A43" s="15" t="s">
        <v>26</v>
      </c>
      <c r="B43" s="15">
        <v>3071</v>
      </c>
      <c r="C43" s="43">
        <v>2015</v>
      </c>
      <c r="D43" s="15">
        <v>3</v>
      </c>
      <c r="E43" s="17">
        <f>VLOOKUP(A42,[20]Result!$B$12:$D$84,3,FALSE)/10^3</f>
        <v>1025.877</v>
      </c>
      <c r="F43" s="41">
        <f t="shared" si="5"/>
        <v>1.2312762402864634</v>
      </c>
      <c r="G43" s="44">
        <f>VLOOKUP(A42,'[22]General transpose'!$A$1:$AF$73,26,FALSE)/10^3</f>
        <v>5.9050000000000002</v>
      </c>
      <c r="H43" s="16">
        <f t="shared" si="6"/>
        <v>8.0709999999999997</v>
      </c>
      <c r="I43" s="18">
        <f>VLOOKUP(A42,'[22]General transpose'!$A$1:$AF$73,8,FALSE)</f>
        <v>1653</v>
      </c>
      <c r="J43" s="18">
        <f>VLOOKUP(A42,'[22]General transpose'!$A$1:$AF$73,16,FALSE)</f>
        <v>92</v>
      </c>
      <c r="K43" s="18">
        <f t="shared" si="3"/>
        <v>2</v>
      </c>
      <c r="L43" s="19">
        <f>VLOOKUP(A42,'[22]General transpose'!$A$1:$AF$73,17,FALSE)</f>
        <v>2.1739130434782608E-2</v>
      </c>
      <c r="M43" s="9"/>
      <c r="N43" s="9"/>
    </row>
    <row r="44" spans="1:14" s="15" customFormat="1">
      <c r="A44" s="15" t="s">
        <v>26</v>
      </c>
      <c r="B44" s="15">
        <v>3071</v>
      </c>
      <c r="C44" s="43">
        <v>2016</v>
      </c>
      <c r="D44" s="15">
        <v>3</v>
      </c>
      <c r="E44" s="17">
        <f>'[14]2016 Benchmarking Calculations'!$J$8/1000</f>
        <v>1064.0797399999997</v>
      </c>
      <c r="F44" s="41">
        <f t="shared" si="5"/>
        <v>1.2455044937824149</v>
      </c>
      <c r="G44" s="44">
        <f>HLOOKUP(A44,[23]General!$A$1:$BQ$23,22,FALSE)/10^3</f>
        <v>6.7450000000000001</v>
      </c>
      <c r="H44" s="16">
        <f t="shared" si="6"/>
        <v>8.0709999999999997</v>
      </c>
      <c r="I44" s="18">
        <f>HLOOKUP(A44,[23]General!$A$1:$BQ$23,9,FALSE)</f>
        <v>1639</v>
      </c>
      <c r="J44" s="18">
        <f>HLOOKUP(A44,[23]General!$A$1:$BQ$23,17,FALSE)</f>
        <v>92</v>
      </c>
      <c r="K44" s="18">
        <f t="shared" si="3"/>
        <v>2</v>
      </c>
      <c r="L44" s="19">
        <f>HLOOKUP(A44,[23]General!$A$1:$BQ$23,18,FALSE)</f>
        <v>2.1739130434782608E-2</v>
      </c>
      <c r="M44" s="9"/>
      <c r="N44" s="9"/>
    </row>
    <row r="45" spans="1:14" s="15" customFormat="1">
      <c r="A45" s="15" t="s">
        <v>26</v>
      </c>
      <c r="B45" s="15">
        <v>3071</v>
      </c>
      <c r="C45" s="43">
        <v>2017</v>
      </c>
      <c r="D45" s="15">
        <v>3</v>
      </c>
      <c r="E45" s="17">
        <f>'[14]2017 Benchmarking Calculations'!$K$9/1000</f>
        <v>1128.0409999999999</v>
      </c>
      <c r="F45" s="41">
        <f t="shared" si="5"/>
        <v>1.2674505553724562</v>
      </c>
      <c r="G45" s="44">
        <f>'[14]2017 Benchmarking Calculations'!$K$60/1000</f>
        <v>8.6340000000000003</v>
      </c>
      <c r="H45" s="16">
        <f t="shared" si="6"/>
        <v>8.6340000000000003</v>
      </c>
      <c r="I45" s="18">
        <f>'[14]2017 Benchmarking Calculations'!$K$56</f>
        <v>1637</v>
      </c>
      <c r="J45" s="18">
        <f>'[14]2017 Utility Characteristics'!$D$79</f>
        <v>92</v>
      </c>
      <c r="K45" s="15">
        <f>'[14]2017 Utility Characteristics'!$D$81</f>
        <v>2</v>
      </c>
      <c r="L45" s="19">
        <f>K45/J45</f>
        <v>2.1739130434782608E-2</v>
      </c>
      <c r="M45" s="9"/>
      <c r="N45" s="9"/>
    </row>
    <row r="46" spans="1:14" s="15" customFormat="1">
      <c r="A46" s="15" t="s">
        <v>26</v>
      </c>
      <c r="B46" s="15">
        <v>3071</v>
      </c>
      <c r="C46" s="43">
        <v>2018</v>
      </c>
      <c r="D46" s="15">
        <v>3</v>
      </c>
      <c r="E46" s="17">
        <f>'[16]2018 Benchmarking Calculations'!$K$10/1000</f>
        <v>1087.0973199999999</v>
      </c>
      <c r="F46" s="41">
        <f t="shared" si="5"/>
        <v>1.2994718602728874</v>
      </c>
      <c r="G46" s="44">
        <f>'[16]2018 Benchmarking Calculations'!$K$61/1000</f>
        <v>6.2560000000000002</v>
      </c>
      <c r="H46" s="16">
        <f t="shared" si="6"/>
        <v>8.6340000000000003</v>
      </c>
      <c r="I46" s="18">
        <f>'[16]2018 Benchmarking Calculations'!$K$57</f>
        <v>1636</v>
      </c>
      <c r="J46" s="18">
        <f>'[16]2018 Utility Characteristics'!$E$103</f>
        <v>92</v>
      </c>
      <c r="K46" s="18">
        <f>'[16]2018 Utility Characteristics'!$E$105</f>
        <v>2</v>
      </c>
      <c r="L46" s="19">
        <f>K46/J46</f>
        <v>2.1739130434782608E-2</v>
      </c>
      <c r="M46" s="9"/>
      <c r="N46" s="9"/>
    </row>
    <row r="47" spans="1:14" s="15" customFormat="1">
      <c r="A47" s="15" t="s">
        <v>26</v>
      </c>
      <c r="B47" s="15">
        <v>3071</v>
      </c>
      <c r="C47" s="43">
        <v>2019</v>
      </c>
      <c r="D47" s="15">
        <v>3</v>
      </c>
      <c r="E47" s="17">
        <f>'[17]2019 Benchmarking Calculations'!$K$10/1000</f>
        <v>1083.37724</v>
      </c>
      <c r="F47" s="41">
        <f t="shared" si="5"/>
        <v>1.3352608354138498</v>
      </c>
      <c r="G47" s="44">
        <f>'[17]2019 Benchmarking Calculations'!$K$61/1000</f>
        <v>6.2949999999999999</v>
      </c>
      <c r="H47" s="16">
        <f t="shared" si="6"/>
        <v>8.6340000000000003</v>
      </c>
      <c r="I47" s="18">
        <f>'[17]2019 Benchmarking Calculations'!$K$57</f>
        <v>1629</v>
      </c>
      <c r="J47" s="18">
        <f>'[17]2019 Utility Characteristics'!$E$16+'[17]2019 Utility Characteristics'!$E$18</f>
        <v>92</v>
      </c>
      <c r="K47" s="18">
        <f>'[17]2019 Utility Characteristics'!$E$18</f>
        <v>2</v>
      </c>
      <c r="L47" s="19">
        <f>K47/J47</f>
        <v>2.1739130434782608E-2</v>
      </c>
      <c r="M47" s="9"/>
      <c r="N47" s="9"/>
    </row>
    <row r="48" spans="1:14">
      <c r="A48" s="15" t="str">
        <f>'[18]2. BM Database'!B28</f>
        <v>BLUEWATER POWER DISTRIBUTION CORPORATION</v>
      </c>
      <c r="B48" s="15">
        <v>3024</v>
      </c>
      <c r="C48" s="43">
        <f>'[18]2. BM Database'!C28</f>
        <v>2005</v>
      </c>
      <c r="D48" s="15">
        <v>3</v>
      </c>
      <c r="E48" s="17">
        <f>'[18]2. BM Database'!F28/1000</f>
        <v>8698.0769999999993</v>
      </c>
      <c r="F48" s="41">
        <f t="shared" ref="F48:F62" si="7">F33</f>
        <v>1</v>
      </c>
      <c r="G48" s="44">
        <f>'[18]2. BM Database'!P28/1000</f>
        <v>211.24</v>
      </c>
      <c r="H48" s="16">
        <f>G48</f>
        <v>211.24</v>
      </c>
      <c r="I48" s="18">
        <f>'[18]2. BM Database'!L28</f>
        <v>35208</v>
      </c>
      <c r="J48" s="18">
        <f>'[18]2. BM Database'!R28</f>
        <v>785</v>
      </c>
      <c r="K48" s="18">
        <f t="shared" si="3"/>
        <v>180</v>
      </c>
      <c r="L48" s="19">
        <f>'[18]2. BM Database'!T28</f>
        <v>0.22929936305732485</v>
      </c>
      <c r="M48" s="9"/>
      <c r="N48" s="9"/>
    </row>
    <row r="49" spans="1:14">
      <c r="A49" s="15" t="str">
        <f>'[18]2. BM Database'!B29</f>
        <v>BLUEWATER POWER DISTRIBUTION CORPORATION</v>
      </c>
      <c r="B49" s="15">
        <v>3024</v>
      </c>
      <c r="C49" s="43">
        <f>'[18]2. BM Database'!C29</f>
        <v>2006</v>
      </c>
      <c r="D49" s="15">
        <v>3</v>
      </c>
      <c r="E49" s="17">
        <f>'[18]2. BM Database'!F29/1000</f>
        <v>9274.7750599999999</v>
      </c>
      <c r="F49" s="41">
        <f t="shared" si="7"/>
        <v>1.0181607380073696</v>
      </c>
      <c r="G49" s="44">
        <f>'[18]2. BM Database'!P29/1000</f>
        <v>219.364</v>
      </c>
      <c r="H49" s="16">
        <f>MAX(G49,H48)</f>
        <v>219.364</v>
      </c>
      <c r="I49" s="18">
        <f>'[18]2. BM Database'!L29</f>
        <v>35510</v>
      </c>
      <c r="J49" s="18">
        <f>'[18]2. BM Database'!R29</f>
        <v>746</v>
      </c>
      <c r="K49" s="18">
        <f t="shared" si="3"/>
        <v>163</v>
      </c>
      <c r="L49" s="19">
        <f>'[18]2. BM Database'!T29</f>
        <v>0.21849865951742628</v>
      </c>
      <c r="M49" s="9"/>
      <c r="N49" s="9"/>
    </row>
    <row r="50" spans="1:14">
      <c r="A50" s="15" t="str">
        <f>'[18]2. BM Database'!B30</f>
        <v>BLUEWATER POWER DISTRIBUTION CORPORATION</v>
      </c>
      <c r="B50" s="15">
        <v>3024</v>
      </c>
      <c r="C50" s="43">
        <f>'[18]2. BM Database'!C30</f>
        <v>2007</v>
      </c>
      <c r="D50" s="15">
        <v>3</v>
      </c>
      <c r="E50" s="17">
        <f>'[18]2. BM Database'!F30/1000</f>
        <v>8868.7673799999993</v>
      </c>
      <c r="F50" s="41">
        <f t="shared" si="7"/>
        <v>1.0531931014872313</v>
      </c>
      <c r="G50" s="44">
        <f>'[18]2. BM Database'!P30/1000</f>
        <v>208.36600000000001</v>
      </c>
      <c r="H50" s="16">
        <f t="shared" ref="H50:H62" si="8">MAX(G50,H49)</f>
        <v>219.364</v>
      </c>
      <c r="I50" s="18">
        <f>'[18]2. BM Database'!L30</f>
        <v>35906</v>
      </c>
      <c r="J50" s="18">
        <f>'[18]2. BM Database'!R30</f>
        <v>746</v>
      </c>
      <c r="K50" s="18">
        <f t="shared" si="3"/>
        <v>169</v>
      </c>
      <c r="L50" s="19">
        <f>'[18]2. BM Database'!T30</f>
        <v>0.22654155495978553</v>
      </c>
      <c r="M50" s="9"/>
      <c r="N50" s="9"/>
    </row>
    <row r="51" spans="1:14">
      <c r="A51" s="15" t="str">
        <f>'[18]2. BM Database'!B31</f>
        <v>BLUEWATER POWER DISTRIBUTION CORPORATION</v>
      </c>
      <c r="B51" s="15">
        <v>3024</v>
      </c>
      <c r="C51" s="43">
        <f>'[18]2. BM Database'!C31</f>
        <v>2008</v>
      </c>
      <c r="D51" s="15">
        <v>3</v>
      </c>
      <c r="E51" s="17">
        <f>'[18]2. BM Database'!F31/1000</f>
        <v>9004.0126099999998</v>
      </c>
      <c r="F51" s="41">
        <f t="shared" si="7"/>
        <v>1.078564603993923</v>
      </c>
      <c r="G51" s="44">
        <f>'[18]2. BM Database'!P31/1000</f>
        <v>191.64</v>
      </c>
      <c r="H51" s="16">
        <f t="shared" si="8"/>
        <v>219.364</v>
      </c>
      <c r="I51" s="18">
        <f>'[18]2. BM Database'!L31</f>
        <v>36218</v>
      </c>
      <c r="J51" s="18">
        <f>'[18]2. BM Database'!R31</f>
        <v>747</v>
      </c>
      <c r="K51" s="18">
        <f t="shared" si="3"/>
        <v>173</v>
      </c>
      <c r="L51" s="19">
        <f>'[18]2. BM Database'!T31</f>
        <v>0.23159303882195448</v>
      </c>
      <c r="M51" s="9"/>
      <c r="N51" s="9"/>
    </row>
    <row r="52" spans="1:14">
      <c r="A52" s="15" t="str">
        <f>'[18]2. BM Database'!B32</f>
        <v>BLUEWATER POWER DISTRIBUTION CORPORATION</v>
      </c>
      <c r="B52" s="15">
        <v>3024</v>
      </c>
      <c r="C52" s="43">
        <f>'[18]2. BM Database'!C32</f>
        <v>2009</v>
      </c>
      <c r="D52" s="15">
        <v>3</v>
      </c>
      <c r="E52" s="17">
        <f>'[18]2. BM Database'!F32/1000</f>
        <v>9864.0449800000006</v>
      </c>
      <c r="F52" s="41">
        <f t="shared" si="7"/>
        <v>1.0915070880241431</v>
      </c>
      <c r="G52" s="44">
        <f>'[18]2. BM Database'!P32/1000</f>
        <v>168.89400000000001</v>
      </c>
      <c r="H52" s="16">
        <f t="shared" si="8"/>
        <v>219.364</v>
      </c>
      <c r="I52" s="18">
        <f>'[18]2. BM Database'!L32</f>
        <v>35323</v>
      </c>
      <c r="J52" s="18">
        <f>'[18]2. BM Database'!R32</f>
        <v>751</v>
      </c>
      <c r="K52" s="18">
        <f t="shared" si="3"/>
        <v>177</v>
      </c>
      <c r="L52" s="19">
        <f>'[18]2. BM Database'!T32</f>
        <v>0.23568575233022637</v>
      </c>
      <c r="M52" s="9"/>
      <c r="N52" s="9"/>
    </row>
    <row r="53" spans="1:14">
      <c r="A53" s="15" t="str">
        <f>'[18]2. BM Database'!B33</f>
        <v>BLUEWATER POWER DISTRIBUTION CORPORATION</v>
      </c>
      <c r="B53" s="15">
        <v>3024</v>
      </c>
      <c r="C53" s="43">
        <f>'[18]2. BM Database'!C33</f>
        <v>2010</v>
      </c>
      <c r="D53" s="15">
        <v>3</v>
      </c>
      <c r="E53" s="17">
        <f>'[18]2. BM Database'!F33/1000</f>
        <v>9775.8886000000002</v>
      </c>
      <c r="F53" s="41">
        <f t="shared" si="7"/>
        <v>1.1243125351578573</v>
      </c>
      <c r="G53" s="44">
        <f>'[18]2. BM Database'!P33/1000</f>
        <v>188.56200000000001</v>
      </c>
      <c r="H53" s="16">
        <f t="shared" si="8"/>
        <v>219.364</v>
      </c>
      <c r="I53" s="18">
        <f>'[18]2. BM Database'!L33</f>
        <v>35688</v>
      </c>
      <c r="J53" s="18">
        <f>'[18]2. BM Database'!R33</f>
        <v>752</v>
      </c>
      <c r="K53" s="18">
        <f t="shared" si="3"/>
        <v>178</v>
      </c>
      <c r="L53" s="19">
        <f>'[18]2. BM Database'!T33</f>
        <v>0.23670212765957446</v>
      </c>
      <c r="M53" s="9"/>
      <c r="N53" s="9"/>
    </row>
    <row r="54" spans="1:14">
      <c r="A54" s="15" t="str">
        <f>'[18]2. BM Database'!B34</f>
        <v>BLUEWATER POWER DISTRIBUTION CORPORATION</v>
      </c>
      <c r="B54" s="15">
        <v>3024</v>
      </c>
      <c r="C54" s="43">
        <f>'[18]2. BM Database'!C34</f>
        <v>2011</v>
      </c>
      <c r="D54" s="15">
        <v>3</v>
      </c>
      <c r="E54" s="17">
        <f>'[18]2. BM Database'!F34/1000</f>
        <v>10893.95379</v>
      </c>
      <c r="F54" s="41">
        <f t="shared" si="7"/>
        <v>1.1430978626415853</v>
      </c>
      <c r="G54" s="44">
        <f>'[18]2. BM Database'!P34/1000</f>
        <v>187.65799999999999</v>
      </c>
      <c r="H54" s="16">
        <f t="shared" si="8"/>
        <v>219.364</v>
      </c>
      <c r="I54" s="18">
        <f>'[18]2. BM Database'!L34</f>
        <v>35772</v>
      </c>
      <c r="J54" s="18">
        <f>'[18]2. BM Database'!R34</f>
        <v>777</v>
      </c>
      <c r="K54" s="18">
        <f t="shared" si="3"/>
        <v>195.99999999999997</v>
      </c>
      <c r="L54" s="19">
        <f>'[18]2. BM Database'!T34</f>
        <v>0.25225225225225223</v>
      </c>
      <c r="M54" s="9"/>
      <c r="N54" s="9"/>
    </row>
    <row r="55" spans="1:14">
      <c r="A55" s="15" t="str">
        <f>'[18]2. BM Database'!B35</f>
        <v>BLUEWATER POWER DISTRIBUTION CORPORATION</v>
      </c>
      <c r="B55" s="15">
        <v>3024</v>
      </c>
      <c r="C55" s="43">
        <f>'[18]2. BM Database'!C35</f>
        <v>2012</v>
      </c>
      <c r="D55" s="15">
        <v>3</v>
      </c>
      <c r="E55" s="17">
        <f>'[18]2. BM Database'!F35/1000</f>
        <v>10898.384141100001</v>
      </c>
      <c r="F55" s="41">
        <f t="shared" si="7"/>
        <v>1.160126854517312</v>
      </c>
      <c r="G55" s="44">
        <f>'[18]2. BM Database'!P35/1000</f>
        <v>182.50899999999999</v>
      </c>
      <c r="H55" s="16">
        <f t="shared" si="8"/>
        <v>219.364</v>
      </c>
      <c r="I55" s="18">
        <f>'[18]2. BM Database'!L35</f>
        <v>35820</v>
      </c>
      <c r="J55" s="18">
        <f>'[18]2. BM Database'!R35</f>
        <v>797</v>
      </c>
      <c r="K55" s="18">
        <f t="shared" si="3"/>
        <v>211.99999999999997</v>
      </c>
      <c r="L55" s="19">
        <f>'[18]2. BM Database'!T35</f>
        <v>0.26599749058971139</v>
      </c>
      <c r="M55" s="9"/>
      <c r="N55" s="9"/>
    </row>
    <row r="56" spans="1:14" s="15" customFormat="1">
      <c r="A56" s="15" t="s">
        <v>27</v>
      </c>
      <c r="B56" s="15">
        <v>3024</v>
      </c>
      <c r="C56" s="43">
        <v>2013</v>
      </c>
      <c r="D56" s="15">
        <v>3</v>
      </c>
      <c r="E56" s="17">
        <f>HLOOKUP(A56,'[19]2013 Benchmarking Calculations'!$I$3:$CC$76,6,FALSE)/1000</f>
        <v>11982.29343</v>
      </c>
      <c r="F56" s="41">
        <f t="shared" si="7"/>
        <v>1.178602141578931</v>
      </c>
      <c r="G56" s="44">
        <f>HLOOKUP(A56,'[19]2013 Benchmarking Calculations'!$I$3:$CC$76,57,FALSE)/1000</f>
        <v>176.33099999999999</v>
      </c>
      <c r="H56" s="16">
        <f t="shared" si="8"/>
        <v>219.364</v>
      </c>
      <c r="I56" s="18">
        <f>HLOOKUP(A56,'[19]2013 Benchmarking Calculations'!$I$3:$CC$76,53,FALSE)</f>
        <v>35982</v>
      </c>
      <c r="J56" s="18">
        <f>HLOOKUP(A56,'[19]2013 Benchmarking Calculations'!$I$3:$CC$76,71,FALSE)</f>
        <v>801</v>
      </c>
      <c r="K56" s="18">
        <f t="shared" si="3"/>
        <v>215</v>
      </c>
      <c r="L56" s="19">
        <f>HLOOKUP(A56,'[19]2013 PBR data '!B$42:BV$68,15,FALSE)/HLOOKUP(A56,'[19]2013 PBR data '!B$42:BV$68,13,FALSE)</f>
        <v>0.26841448189762795</v>
      </c>
      <c r="M56" s="9"/>
      <c r="N56" s="9"/>
    </row>
    <row r="57" spans="1:14" s="15" customFormat="1">
      <c r="A57" s="15" t="s">
        <v>27</v>
      </c>
      <c r="B57" s="15">
        <v>3024</v>
      </c>
      <c r="C57" s="43">
        <v>2014</v>
      </c>
      <c r="D57" s="15">
        <v>3</v>
      </c>
      <c r="E57" s="17">
        <f>VLOOKUP(A57,[20]Result!$B$12:$D$84,2,FALSE)/10^3</f>
        <v>11467.313</v>
      </c>
      <c r="F57" s="41">
        <f t="shared" si="7"/>
        <v>1.2030671041042156</v>
      </c>
      <c r="G57" s="44">
        <f>VLOOKUP(A57,'[21]General transpose'!$A$1:$AF$73,26,FALSE)/10^3</f>
        <v>169.643</v>
      </c>
      <c r="H57" s="16">
        <f t="shared" si="8"/>
        <v>219.364</v>
      </c>
      <c r="I57" s="18">
        <f>VLOOKUP(A57,'[21]General transpose'!$A$1:$AF$73,8,FALSE)</f>
        <v>36115</v>
      </c>
      <c r="J57" s="18">
        <f>VLOOKUP(A57,'[21]General transpose'!$A$1:$AF$73,16,FALSE)</f>
        <v>788</v>
      </c>
      <c r="K57" s="18">
        <f t="shared" si="3"/>
        <v>213.99999999999997</v>
      </c>
      <c r="L57" s="19">
        <f>VLOOKUP(A57,'[21]General transpose'!$A$1:$AF$73,17,FALSE)</f>
        <v>0.27157360406091369</v>
      </c>
      <c r="M57" s="9"/>
      <c r="N57" s="9"/>
    </row>
    <row r="58" spans="1:14" s="15" customFormat="1">
      <c r="A58" s="15" t="s">
        <v>27</v>
      </c>
      <c r="B58" s="15">
        <v>3024</v>
      </c>
      <c r="C58" s="43">
        <v>2015</v>
      </c>
      <c r="D58" s="15">
        <v>3</v>
      </c>
      <c r="E58" s="17">
        <f>'[14]2015 Benchmarking Calculations'!$K$8/1000</f>
        <v>13155.344660000001</v>
      </c>
      <c r="F58" s="41">
        <f t="shared" si="7"/>
        <v>1.2312762402864634</v>
      </c>
      <c r="G58" s="44">
        <f>VLOOKUP(A57,'[22]General transpose'!$A$1:$AF$73,26,FALSE)/10^3</f>
        <v>149.53200000000001</v>
      </c>
      <c r="H58" s="16">
        <f t="shared" si="8"/>
        <v>219.364</v>
      </c>
      <c r="I58" s="18">
        <f>VLOOKUP(A57,'[22]General transpose'!$A$1:$AF$73,8,FALSE)</f>
        <v>36208</v>
      </c>
      <c r="J58" s="18">
        <f>VLOOKUP(A57,'[22]General transpose'!$A$1:$AF$73,16,FALSE)</f>
        <v>783</v>
      </c>
      <c r="K58" s="18">
        <f t="shared" si="3"/>
        <v>210.99999999999997</v>
      </c>
      <c r="L58" s="19">
        <f>VLOOKUP(A57,'[22]General transpose'!$A$1:$AF$73,17,FALSE)</f>
        <v>0.26947637292464877</v>
      </c>
      <c r="M58" s="9"/>
      <c r="N58" s="9"/>
    </row>
    <row r="59" spans="1:14" s="15" customFormat="1">
      <c r="A59" s="15" t="s">
        <v>27</v>
      </c>
      <c r="B59" s="15">
        <v>3024</v>
      </c>
      <c r="C59" s="43">
        <v>2016</v>
      </c>
      <c r="D59" s="15">
        <v>3</v>
      </c>
      <c r="E59" s="17">
        <f>'[14]2016 Benchmarking Calculations'!$K$8/1000</f>
        <v>13631.005370000001</v>
      </c>
      <c r="F59" s="41">
        <f t="shared" si="7"/>
        <v>1.2455044937824149</v>
      </c>
      <c r="G59" s="44">
        <f>HLOOKUP(A59,[23]General!$A$1:$BQ$23,22,FALSE)/10^3</f>
        <v>164.28399999999999</v>
      </c>
      <c r="H59" s="16">
        <f t="shared" si="8"/>
        <v>219.364</v>
      </c>
      <c r="I59" s="18">
        <f>HLOOKUP(A59,[23]General!$A$1:$BQ$23,9,FALSE)</f>
        <v>36355</v>
      </c>
      <c r="J59" s="18">
        <f>HLOOKUP(A59,[23]General!$A$1:$BQ$23,17,FALSE)</f>
        <v>773</v>
      </c>
      <c r="K59" s="18">
        <f t="shared" si="3"/>
        <v>204.99999999999997</v>
      </c>
      <c r="L59" s="19">
        <f>HLOOKUP(A59,[23]General!$A$1:$BQ$23,18,FALSE)</f>
        <v>0.2652005174644243</v>
      </c>
      <c r="M59" s="9"/>
      <c r="N59" s="9"/>
    </row>
    <row r="60" spans="1:14" s="15" customFormat="1">
      <c r="A60" s="15" t="s">
        <v>27</v>
      </c>
      <c r="B60" s="15">
        <v>3024</v>
      </c>
      <c r="C60" s="43">
        <v>2017</v>
      </c>
      <c r="D60" s="15">
        <v>3</v>
      </c>
      <c r="E60" s="17">
        <f>'[14]2017 Benchmarking Calculations'!$L$9/1000</f>
        <v>13327.256450000001</v>
      </c>
      <c r="F60" s="41">
        <f t="shared" si="7"/>
        <v>1.2674505553724562</v>
      </c>
      <c r="G60" s="44">
        <f>[15]General!$E$20/1000</f>
        <v>154.393</v>
      </c>
      <c r="H60" s="16">
        <f t="shared" si="8"/>
        <v>219.364</v>
      </c>
      <c r="I60" s="18">
        <f>[15]General!$E$9</f>
        <v>36585</v>
      </c>
      <c r="J60" s="18">
        <f>[15]General!$E$17</f>
        <v>775</v>
      </c>
      <c r="K60" s="18">
        <f>J60*L60</f>
        <v>208.99999999999997</v>
      </c>
      <c r="L60" s="19">
        <f>[15]General!$E$16/[15]General!$E$17</f>
        <v>0.26967741935483869</v>
      </c>
      <c r="M60" s="9"/>
      <c r="N60" s="9"/>
    </row>
    <row r="61" spans="1:14" s="15" customFormat="1">
      <c r="A61" s="15" t="s">
        <v>27</v>
      </c>
      <c r="B61" s="15">
        <v>3024</v>
      </c>
      <c r="C61" s="43">
        <v>2018</v>
      </c>
      <c r="D61" s="15">
        <v>3</v>
      </c>
      <c r="E61" s="17">
        <f>'[16]2018 Benchmarking Calculations'!$L$10/1000</f>
        <v>13754.073609999999</v>
      </c>
      <c r="F61" s="41">
        <f t="shared" si="7"/>
        <v>1.2994718602728874</v>
      </c>
      <c r="G61" s="44">
        <f>'[16]2018 Benchmarking Calculations'!$L$61/1000</f>
        <v>161.52500000000001</v>
      </c>
      <c r="H61" s="16">
        <f t="shared" si="8"/>
        <v>219.364</v>
      </c>
      <c r="I61" s="18">
        <f>'[16]2018 Benchmarking Calculations'!$L$57</f>
        <v>36691</v>
      </c>
      <c r="J61" s="18">
        <f>'[16]2018 Utility Characteristics'!$F$103</f>
        <v>783</v>
      </c>
      <c r="K61" s="18">
        <f>'[16]2018 Utility Characteristics'!$F$105</f>
        <v>221</v>
      </c>
      <c r="L61" s="19">
        <f>K61/J61</f>
        <v>0.28224776500638571</v>
      </c>
      <c r="M61" s="9"/>
      <c r="N61" s="9"/>
    </row>
    <row r="62" spans="1:14" s="15" customFormat="1">
      <c r="A62" s="15" t="s">
        <v>27</v>
      </c>
      <c r="B62" s="15">
        <v>3024</v>
      </c>
      <c r="C62" s="43">
        <v>2019</v>
      </c>
      <c r="D62" s="15">
        <v>3</v>
      </c>
      <c r="E62" s="17">
        <f>'[17]2019 Benchmarking Calculations'!$L$10/1000</f>
        <v>13313.535220000002</v>
      </c>
      <c r="F62" s="41">
        <f t="shared" si="7"/>
        <v>1.3352608354138498</v>
      </c>
      <c r="G62" s="44">
        <f>'[17]2019 Benchmarking Calculations'!$L$61/1000</f>
        <v>151.86799999999999</v>
      </c>
      <c r="H62" s="16">
        <f t="shared" si="8"/>
        <v>219.364</v>
      </c>
      <c r="I62" s="18">
        <f>'[17]2019 Benchmarking Calculations'!$L$57</f>
        <v>36743</v>
      </c>
      <c r="J62" s="18">
        <f>'[17]2019 Utility Characteristics'!$F$16+'[17]2019 Utility Characteristics'!$F$18</f>
        <v>773</v>
      </c>
      <c r="K62" s="18">
        <f>'[17]2019 Utility Characteristics'!$F$18</f>
        <v>210</v>
      </c>
      <c r="L62" s="19">
        <f>K62/J62</f>
        <v>0.27166882276843468</v>
      </c>
      <c r="M62" s="9"/>
      <c r="N62" s="9"/>
    </row>
    <row r="63" spans="1:14" s="15" customFormat="1">
      <c r="A63" s="15" t="s">
        <v>28</v>
      </c>
      <c r="B63" s="15">
        <v>3051</v>
      </c>
      <c r="C63" s="43">
        <v>2005</v>
      </c>
      <c r="D63" s="15">
        <v>3</v>
      </c>
      <c r="E63" s="17">
        <f>'[14]2. BM Database'!F40/1000</f>
        <v>2977.8517199999997</v>
      </c>
      <c r="F63" s="41">
        <f t="shared" ref="F63:F77" si="9">F48</f>
        <v>1</v>
      </c>
      <c r="G63" s="44">
        <f>'[14]2. BM Database'!P40/1000</f>
        <v>46.125</v>
      </c>
      <c r="H63" s="16">
        <f>G63</f>
        <v>46.125</v>
      </c>
      <c r="I63" s="18">
        <f>'[14]2. BM Database'!L40</f>
        <v>9149</v>
      </c>
      <c r="J63" s="18">
        <f>'[14]2. BM Database'!R40</f>
        <v>432</v>
      </c>
      <c r="K63" s="18">
        <f t="shared" si="3"/>
        <v>27</v>
      </c>
      <c r="L63" s="19">
        <f>'[14]2. BM Database'!$T40</f>
        <v>6.25E-2</v>
      </c>
      <c r="M63" s="9"/>
      <c r="N63" s="9"/>
    </row>
    <row r="64" spans="1:14" s="15" customFormat="1">
      <c r="A64" s="15" t="s">
        <v>28</v>
      </c>
      <c r="B64" s="15">
        <v>3051</v>
      </c>
      <c r="C64" s="43">
        <v>2006</v>
      </c>
      <c r="D64" s="15">
        <v>3</v>
      </c>
      <c r="E64" s="17">
        <f>'[14]2. BM Database'!F41/1000</f>
        <v>3267.3333499999994</v>
      </c>
      <c r="F64" s="41">
        <f t="shared" si="9"/>
        <v>1.0181607380073696</v>
      </c>
      <c r="G64" s="44">
        <f>'[14]2. BM Database'!P41/1000</f>
        <v>46.817</v>
      </c>
      <c r="H64" s="16">
        <f>MAX(G64,H63)</f>
        <v>46.817</v>
      </c>
      <c r="I64" s="18">
        <f>'[14]2. BM Database'!L41</f>
        <v>9284</v>
      </c>
      <c r="J64" s="18">
        <f>'[14]2. BM Database'!R41</f>
        <v>321</v>
      </c>
      <c r="K64" s="18">
        <f t="shared" si="3"/>
        <v>38</v>
      </c>
      <c r="L64" s="19">
        <f>'[14]2. BM Database'!$T41</f>
        <v>0.11838006230529595</v>
      </c>
      <c r="M64" s="9"/>
      <c r="N64" s="9"/>
    </row>
    <row r="65" spans="1:14" s="15" customFormat="1">
      <c r="A65" s="15" t="s">
        <v>28</v>
      </c>
      <c r="B65" s="15">
        <v>3051</v>
      </c>
      <c r="C65" s="43">
        <v>2007</v>
      </c>
      <c r="D65" s="15">
        <v>3</v>
      </c>
      <c r="E65" s="17">
        <f>'[14]2. BM Database'!F42/1000</f>
        <v>1466.8774800000001</v>
      </c>
      <c r="F65" s="41">
        <f t="shared" si="9"/>
        <v>1.0531931014872313</v>
      </c>
      <c r="G65" s="44">
        <f>'[14]2. BM Database'!P42/1000</f>
        <v>46.817</v>
      </c>
      <c r="H65" s="16">
        <f t="shared" ref="H65:H73" si="10">MAX(G65,H64)</f>
        <v>46.817</v>
      </c>
      <c r="I65" s="18">
        <f>'[14]2. BM Database'!L42</f>
        <v>9339</v>
      </c>
      <c r="J65" s="18">
        <f>'[14]2. BM Database'!R42</f>
        <v>290</v>
      </c>
      <c r="K65" s="18">
        <f t="shared" si="3"/>
        <v>38</v>
      </c>
      <c r="L65" s="19">
        <f>'[14]2. BM Database'!$T42</f>
        <v>0.1310344827586207</v>
      </c>
      <c r="M65" s="9"/>
      <c r="N65" s="9"/>
    </row>
    <row r="66" spans="1:14" s="15" customFormat="1">
      <c r="A66" s="15" t="s">
        <v>28</v>
      </c>
      <c r="B66" s="15">
        <v>3051</v>
      </c>
      <c r="C66" s="43">
        <v>2008</v>
      </c>
      <c r="D66" s="15">
        <v>3</v>
      </c>
      <c r="E66" s="17">
        <f>'[14]2. BM Database'!F43/1000</f>
        <v>3364.5215700000003</v>
      </c>
      <c r="F66" s="41">
        <f t="shared" si="9"/>
        <v>1.078564603993923</v>
      </c>
      <c r="G66" s="44">
        <f>'[14]2. BM Database'!P43/1000</f>
        <v>46.817</v>
      </c>
      <c r="H66" s="16">
        <f t="shared" si="10"/>
        <v>46.817</v>
      </c>
      <c r="I66" s="18">
        <f>'[14]2. BM Database'!L43</f>
        <v>9456</v>
      </c>
      <c r="J66" s="18">
        <f>'[14]2. BM Database'!R43</f>
        <v>320</v>
      </c>
      <c r="K66" s="18">
        <f t="shared" si="3"/>
        <v>38</v>
      </c>
      <c r="L66" s="19">
        <f>'[14]2. BM Database'!$T43</f>
        <v>0.11874999999999999</v>
      </c>
      <c r="M66" s="9"/>
      <c r="N66" s="9"/>
    </row>
    <row r="67" spans="1:14" s="15" customFormat="1">
      <c r="A67" s="15" t="s">
        <v>28</v>
      </c>
      <c r="B67" s="15">
        <v>3051</v>
      </c>
      <c r="C67" s="43">
        <v>2009</v>
      </c>
      <c r="D67" s="15">
        <v>3</v>
      </c>
      <c r="E67" s="17">
        <f>'[14]2. BM Database'!F44/1000</f>
        <v>4410.2186200000006</v>
      </c>
      <c r="F67" s="41">
        <f t="shared" si="9"/>
        <v>1.0915070880241431</v>
      </c>
      <c r="G67" s="44">
        <f>'[14]2. BM Database'!P44/1000</f>
        <v>46.817</v>
      </c>
      <c r="H67" s="16">
        <f t="shared" si="10"/>
        <v>46.817</v>
      </c>
      <c r="I67" s="18">
        <f>'[14]2. BM Database'!L44</f>
        <v>9563</v>
      </c>
      <c r="J67" s="18">
        <f>'[14]2. BM Database'!R44</f>
        <v>320</v>
      </c>
      <c r="K67" s="18">
        <f t="shared" si="3"/>
        <v>38</v>
      </c>
      <c r="L67" s="19">
        <f>'[14]2. BM Database'!$T44</f>
        <v>0.11874999999999999</v>
      </c>
      <c r="M67" s="9"/>
      <c r="N67" s="9"/>
    </row>
    <row r="68" spans="1:14" s="15" customFormat="1">
      <c r="A68" s="15" t="s">
        <v>28</v>
      </c>
      <c r="B68" s="15">
        <v>3051</v>
      </c>
      <c r="C68" s="43">
        <v>2010</v>
      </c>
      <c r="D68" s="15">
        <v>3</v>
      </c>
      <c r="E68" s="17">
        <f>'[14]2. BM Database'!F45/1000</f>
        <v>4195.1144800000002</v>
      </c>
      <c r="F68" s="41">
        <f t="shared" si="9"/>
        <v>1.1243125351578573</v>
      </c>
      <c r="G68" s="44">
        <f>'[14]2. BM Database'!P45/1000</f>
        <v>46.817</v>
      </c>
      <c r="H68" s="16">
        <f t="shared" si="10"/>
        <v>46.817</v>
      </c>
      <c r="I68" s="18">
        <f>'[14]2. BM Database'!L45</f>
        <v>9667</v>
      </c>
      <c r="J68" s="18">
        <f>'[14]2. BM Database'!R45</f>
        <v>320</v>
      </c>
      <c r="K68" s="18">
        <f t="shared" si="3"/>
        <v>38</v>
      </c>
      <c r="L68" s="19">
        <f>'[14]2. BM Database'!$T45</f>
        <v>0.11874999999999999</v>
      </c>
      <c r="M68" s="9"/>
      <c r="N68" s="9"/>
    </row>
    <row r="69" spans="1:14" s="15" customFormat="1">
      <c r="A69" s="15" t="s">
        <v>28</v>
      </c>
      <c r="B69" s="15">
        <v>3051</v>
      </c>
      <c r="C69" s="43">
        <v>2011</v>
      </c>
      <c r="D69" s="15">
        <v>3</v>
      </c>
      <c r="E69" s="17">
        <f>'[14]2. BM Database'!F46/1000</f>
        <v>4777.0363799999996</v>
      </c>
      <c r="F69" s="41">
        <f t="shared" si="9"/>
        <v>1.1430978626415853</v>
      </c>
      <c r="G69" s="44">
        <f>'[14]2. BM Database'!P46/1000</f>
        <v>57.677</v>
      </c>
      <c r="H69" s="16">
        <f t="shared" si="10"/>
        <v>57.677</v>
      </c>
      <c r="I69" s="18">
        <f>'[14]2. BM Database'!L46</f>
        <v>9741</v>
      </c>
      <c r="J69" s="18">
        <f>'[14]2. BM Database'!R46</f>
        <v>332</v>
      </c>
      <c r="K69" s="18">
        <f t="shared" si="3"/>
        <v>42</v>
      </c>
      <c r="L69" s="19">
        <f>'[14]2. BM Database'!$T46</f>
        <v>0.12650602409638553</v>
      </c>
      <c r="M69" s="9"/>
      <c r="N69" s="9"/>
    </row>
    <row r="70" spans="1:14" s="15" customFormat="1">
      <c r="A70" s="15" t="s">
        <v>28</v>
      </c>
      <c r="B70" s="15">
        <v>3051</v>
      </c>
      <c r="C70" s="43">
        <v>2012</v>
      </c>
      <c r="D70" s="15">
        <v>3</v>
      </c>
      <c r="E70" s="17">
        <f>'[14]2. BM Database'!F47/1000</f>
        <v>4034.5698598999998</v>
      </c>
      <c r="F70" s="41">
        <f t="shared" si="9"/>
        <v>1.160126854517312</v>
      </c>
      <c r="G70" s="44">
        <f>'[14]2. BM Database'!P47/1000</f>
        <v>57.677</v>
      </c>
      <c r="H70" s="16">
        <f t="shared" si="10"/>
        <v>57.677</v>
      </c>
      <c r="I70" s="18">
        <f>'[14]2. BM Database'!L47</f>
        <v>9783</v>
      </c>
      <c r="J70" s="18">
        <f>'[14]2. BM Database'!R47</f>
        <v>493</v>
      </c>
      <c r="K70" s="18">
        <f t="shared" si="3"/>
        <v>76</v>
      </c>
      <c r="L70" s="19">
        <f>'[14]2. BM Database'!$T47</f>
        <v>0.15415821501014199</v>
      </c>
      <c r="M70" s="9"/>
      <c r="N70" s="9"/>
    </row>
    <row r="71" spans="1:14" s="15" customFormat="1">
      <c r="A71" s="15" t="s">
        <v>28</v>
      </c>
      <c r="B71" s="15">
        <v>3051</v>
      </c>
      <c r="C71" s="43">
        <v>2013</v>
      </c>
      <c r="D71" s="15">
        <v>3</v>
      </c>
      <c r="E71" s="17">
        <f>'[14]2013 Benchmarking Calculations'!$L$8/1000</f>
        <v>3899.1130499999995</v>
      </c>
      <c r="F71" s="41">
        <f t="shared" si="9"/>
        <v>1.178602141578931</v>
      </c>
      <c r="G71" s="44">
        <f>'[14]2013 Benchmarking Calculations'!$L$59/1000</f>
        <v>60.448</v>
      </c>
      <c r="H71" s="16">
        <f t="shared" si="10"/>
        <v>60.448</v>
      </c>
      <c r="I71" s="18">
        <f>'[14]2013 Benchmarking Calculations'!$L$55</f>
        <v>9858</v>
      </c>
      <c r="J71" s="18">
        <f>'[14]2013 Benchmarking Calculations'!$L$73</f>
        <v>517</v>
      </c>
      <c r="K71" s="15">
        <f>[24]General!$E$15</f>
        <v>39</v>
      </c>
      <c r="L71" s="19">
        <f>K71/J71</f>
        <v>7.5435203094777567E-2</v>
      </c>
      <c r="M71" s="9"/>
      <c r="N71" s="9"/>
    </row>
    <row r="72" spans="1:14" s="15" customFormat="1">
      <c r="A72" s="15" t="s">
        <v>28</v>
      </c>
      <c r="B72" s="15">
        <v>3051</v>
      </c>
      <c r="C72" s="43">
        <v>2014</v>
      </c>
      <c r="D72" s="15">
        <v>3</v>
      </c>
      <c r="E72" s="17">
        <f>'[14]2014 Benchmarking Calculations'!$L$8/1000</f>
        <v>3605.3858200000004</v>
      </c>
      <c r="F72" s="41">
        <f t="shared" si="9"/>
        <v>1.2030671041042156</v>
      </c>
      <c r="G72" s="44">
        <f>'[14]2014 Benchmarking Calculations'!$L$59/1000</f>
        <v>56.197000000000003</v>
      </c>
      <c r="H72" s="16">
        <f t="shared" si="10"/>
        <v>60.448</v>
      </c>
      <c r="I72" s="18">
        <f>'[14]2014 Benchmarking Calculations'!$L$55</f>
        <v>9971</v>
      </c>
      <c r="J72" s="18">
        <f>'[14]2014 Benchmarking Calculations'!$L$73</f>
        <v>554</v>
      </c>
      <c r="K72" s="18">
        <f>'[14]2014 PBR Data'!$E$44</f>
        <v>85</v>
      </c>
      <c r="L72" s="19">
        <f t="shared" ref="L72:L73" si="11">K72/J72</f>
        <v>0.15342960288808663</v>
      </c>
      <c r="M72" s="9"/>
      <c r="N72" s="9"/>
    </row>
    <row r="73" spans="1:14" s="15" customFormat="1">
      <c r="A73" s="15" t="s">
        <v>28</v>
      </c>
      <c r="B73" s="15">
        <v>3051</v>
      </c>
      <c r="C73" s="43">
        <v>2015</v>
      </c>
      <c r="D73" s="15">
        <v>3</v>
      </c>
      <c r="E73" s="17">
        <f>'[14]2015 Benchmarking Calculations'!$L$8/1000</f>
        <v>3053.61339</v>
      </c>
      <c r="F73" s="41">
        <f t="shared" si="9"/>
        <v>1.2312762402864634</v>
      </c>
      <c r="G73" s="44">
        <f>'[14]2015 Benchmarking Calculations'!$L$59/1000</f>
        <v>57.253</v>
      </c>
      <c r="H73" s="16">
        <f t="shared" si="10"/>
        <v>60.448</v>
      </c>
      <c r="I73" s="18">
        <f>'[14]2015 Benchmarking Calculations'!$L$55</f>
        <v>10058</v>
      </c>
      <c r="J73" s="18">
        <f>'[14]2015 Benchmarking Calculations'!$L$73</f>
        <v>556</v>
      </c>
      <c r="K73" s="15">
        <f>'[14]2015 Utility Characteristics'!$E$32</f>
        <v>85</v>
      </c>
      <c r="L73" s="19">
        <f t="shared" si="11"/>
        <v>0.15287769784172661</v>
      </c>
      <c r="M73" s="9"/>
      <c r="N73" s="9"/>
    </row>
    <row r="74" spans="1:14" s="15" customFormat="1">
      <c r="A74" s="15" t="s">
        <v>28</v>
      </c>
      <c r="B74" s="15">
        <v>3051</v>
      </c>
      <c r="C74" s="43">
        <v>2016</v>
      </c>
      <c r="D74" s="15">
        <v>3</v>
      </c>
      <c r="E74" s="17"/>
      <c r="F74" s="41">
        <f t="shared" si="9"/>
        <v>1.2455044937824149</v>
      </c>
      <c r="G74" s="44"/>
      <c r="H74" s="16"/>
      <c r="I74" s="18"/>
      <c r="J74" s="18"/>
      <c r="L74" s="19"/>
      <c r="M74" s="9"/>
      <c r="N74" s="9"/>
    </row>
    <row r="75" spans="1:14" s="15" customFormat="1">
      <c r="A75" s="15" t="s">
        <v>28</v>
      </c>
      <c r="B75" s="15">
        <v>3051</v>
      </c>
      <c r="C75" s="43">
        <v>2017</v>
      </c>
      <c r="D75" s="15">
        <v>3</v>
      </c>
      <c r="E75" s="17"/>
      <c r="F75" s="41">
        <f t="shared" si="9"/>
        <v>1.2674505553724562</v>
      </c>
      <c r="G75" s="44"/>
      <c r="H75" s="16"/>
      <c r="I75" s="18"/>
      <c r="J75" s="18"/>
      <c r="L75" s="19"/>
      <c r="M75" s="9"/>
      <c r="N75" s="9"/>
    </row>
    <row r="76" spans="1:14" s="15" customFormat="1">
      <c r="A76" s="15" t="s">
        <v>28</v>
      </c>
      <c r="B76" s="15">
        <v>3051</v>
      </c>
      <c r="C76" s="43">
        <v>2018</v>
      </c>
      <c r="D76" s="15">
        <v>3</v>
      </c>
      <c r="E76" s="17"/>
      <c r="F76" s="41">
        <f t="shared" si="9"/>
        <v>1.2994718602728874</v>
      </c>
      <c r="G76" s="44"/>
      <c r="H76" s="16"/>
      <c r="I76" s="18"/>
      <c r="J76" s="18"/>
      <c r="L76" s="19"/>
      <c r="M76" s="9"/>
      <c r="N76" s="9"/>
    </row>
    <row r="77" spans="1:14" s="15" customFormat="1">
      <c r="A77" s="15" t="s">
        <v>28</v>
      </c>
      <c r="B77" s="15">
        <v>3051</v>
      </c>
      <c r="C77" s="43">
        <v>2019</v>
      </c>
      <c r="D77" s="15">
        <v>3</v>
      </c>
      <c r="E77" s="17"/>
      <c r="F77" s="41">
        <f t="shared" si="9"/>
        <v>1.3352608354138498</v>
      </c>
      <c r="G77" s="44"/>
      <c r="H77" s="16"/>
      <c r="I77" s="18"/>
      <c r="J77" s="18"/>
      <c r="L77" s="19"/>
      <c r="M77" s="9"/>
      <c r="N77" s="9"/>
    </row>
    <row r="78" spans="1:14">
      <c r="A78" s="15" t="str">
        <f>'[18]2. BM Database'!B50</f>
        <v>BRANTFORD POWER INC.</v>
      </c>
      <c r="B78" s="15">
        <v>3023</v>
      </c>
      <c r="C78" s="43">
        <f>'[18]2. BM Database'!C50</f>
        <v>2005</v>
      </c>
      <c r="D78" s="15">
        <v>3</v>
      </c>
      <c r="E78" s="17">
        <f>'[18]2. BM Database'!F50/1000</f>
        <v>6826.1729000000005</v>
      </c>
      <c r="F78" s="41">
        <f t="shared" ref="F78:F92" si="12">F63</f>
        <v>1</v>
      </c>
      <c r="G78" s="44">
        <f>'[18]2. BM Database'!P50/1000</f>
        <v>192.71100000000001</v>
      </c>
      <c r="H78" s="16">
        <f>G78</f>
        <v>192.71100000000001</v>
      </c>
      <c r="I78" s="18">
        <f>'[18]2. BM Database'!L50</f>
        <v>35986</v>
      </c>
      <c r="J78" s="18">
        <f>'[18]2. BM Database'!R50</f>
        <v>478</v>
      </c>
      <c r="K78" s="18">
        <f t="shared" ref="K78:K89" si="13">J78*L78</f>
        <v>203</v>
      </c>
      <c r="L78" s="19">
        <f>'[18]2. BM Database'!T50</f>
        <v>0.42468619246861927</v>
      </c>
      <c r="M78" s="9"/>
      <c r="N78" s="9"/>
    </row>
    <row r="79" spans="1:14">
      <c r="A79" s="15" t="str">
        <f>'[18]2. BM Database'!B51</f>
        <v>BRANTFORD POWER INC.</v>
      </c>
      <c r="B79" s="15">
        <v>3023</v>
      </c>
      <c r="C79" s="43">
        <f>'[18]2. BM Database'!C51</f>
        <v>2006</v>
      </c>
      <c r="D79" s="15">
        <v>3</v>
      </c>
      <c r="E79" s="17">
        <f>'[18]2. BM Database'!F51/1000</f>
        <v>6026.1797300000007</v>
      </c>
      <c r="F79" s="41">
        <f t="shared" si="12"/>
        <v>1.0181607380073696</v>
      </c>
      <c r="G79" s="44">
        <f>'[18]2. BM Database'!P51/1000</f>
        <v>196.464</v>
      </c>
      <c r="H79" s="16">
        <f>MAX(G79,H78)</f>
        <v>196.464</v>
      </c>
      <c r="I79" s="18">
        <f>'[18]2. BM Database'!L51</f>
        <v>36569</v>
      </c>
      <c r="J79" s="18">
        <f>'[18]2. BM Database'!R51</f>
        <v>491</v>
      </c>
      <c r="K79" s="18">
        <f t="shared" si="13"/>
        <v>214</v>
      </c>
      <c r="L79" s="19">
        <f>'[18]2. BM Database'!T51</f>
        <v>0.43584521384928715</v>
      </c>
      <c r="M79" s="9"/>
      <c r="N79" s="9"/>
    </row>
    <row r="80" spans="1:14">
      <c r="A80" s="15" t="str">
        <f>'[18]2. BM Database'!B52</f>
        <v>BRANTFORD POWER INC.</v>
      </c>
      <c r="B80" s="15">
        <v>3023</v>
      </c>
      <c r="C80" s="43">
        <f>'[18]2. BM Database'!C52</f>
        <v>2007</v>
      </c>
      <c r="D80" s="15">
        <v>3</v>
      </c>
      <c r="E80" s="17">
        <f>'[18]2. BM Database'!F52/1000</f>
        <v>7375.8704400000006</v>
      </c>
      <c r="F80" s="41">
        <f t="shared" si="12"/>
        <v>1.0531931014872313</v>
      </c>
      <c r="G80" s="44">
        <f>'[18]2. BM Database'!P52/1000</f>
        <v>191.679</v>
      </c>
      <c r="H80" s="16">
        <f t="shared" ref="H80:H92" si="14">MAX(G80,H79)</f>
        <v>196.464</v>
      </c>
      <c r="I80" s="18">
        <f>'[18]2. BM Database'!L52</f>
        <v>37108</v>
      </c>
      <c r="J80" s="18">
        <f>'[18]2. BM Database'!R52</f>
        <v>490</v>
      </c>
      <c r="K80" s="18">
        <f t="shared" si="13"/>
        <v>217</v>
      </c>
      <c r="L80" s="19">
        <f>'[18]2. BM Database'!T52</f>
        <v>0.44285714285714284</v>
      </c>
      <c r="M80" s="9"/>
      <c r="N80" s="9"/>
    </row>
    <row r="81" spans="1:14">
      <c r="A81" s="15" t="str">
        <f>'[18]2. BM Database'!B53</f>
        <v>BRANTFORD POWER INC.</v>
      </c>
      <c r="B81" s="15">
        <v>3023</v>
      </c>
      <c r="C81" s="43">
        <f>'[18]2. BM Database'!C53</f>
        <v>2008</v>
      </c>
      <c r="D81" s="15">
        <v>3</v>
      </c>
      <c r="E81" s="17">
        <f>'[18]2. BM Database'!F53/1000</f>
        <v>7449.9271529999996</v>
      </c>
      <c r="F81" s="41">
        <f t="shared" si="12"/>
        <v>1.078564603993923</v>
      </c>
      <c r="G81" s="44">
        <f>'[18]2. BM Database'!P53/1000</f>
        <v>182.43899999999999</v>
      </c>
      <c r="H81" s="16">
        <f t="shared" si="14"/>
        <v>196.464</v>
      </c>
      <c r="I81" s="18">
        <f>'[18]2. BM Database'!L53</f>
        <v>37473</v>
      </c>
      <c r="J81" s="18">
        <f>'[18]2. BM Database'!R53</f>
        <v>486</v>
      </c>
      <c r="K81" s="18">
        <f t="shared" si="13"/>
        <v>221</v>
      </c>
      <c r="L81" s="19">
        <f>'[18]2. BM Database'!T53</f>
        <v>0.45473251028806583</v>
      </c>
      <c r="M81" s="9"/>
      <c r="N81" s="9"/>
    </row>
    <row r="82" spans="1:14">
      <c r="A82" s="15" t="str">
        <f>'[18]2. BM Database'!B54</f>
        <v>BRANTFORD POWER INC.</v>
      </c>
      <c r="B82" s="15">
        <v>3023</v>
      </c>
      <c r="C82" s="43">
        <f>'[18]2. BM Database'!C54</f>
        <v>2009</v>
      </c>
      <c r="D82" s="15">
        <v>3</v>
      </c>
      <c r="E82" s="17">
        <f>'[18]2. BM Database'!F54/1000</f>
        <v>7381.4177</v>
      </c>
      <c r="F82" s="41">
        <f t="shared" si="12"/>
        <v>1.0915070880241431</v>
      </c>
      <c r="G82" s="44">
        <f>'[18]2. BM Database'!P54/1000</f>
        <v>180.423</v>
      </c>
      <c r="H82" s="16">
        <f t="shared" si="14"/>
        <v>196.464</v>
      </c>
      <c r="I82" s="18">
        <f>'[18]2. BM Database'!L54</f>
        <v>37223</v>
      </c>
      <c r="J82" s="18">
        <f>'[18]2. BM Database'!R54</f>
        <v>541</v>
      </c>
      <c r="K82" s="18">
        <f t="shared" si="13"/>
        <v>275</v>
      </c>
      <c r="L82" s="19">
        <f>'[18]2. BM Database'!T54</f>
        <v>0.50831792975970425</v>
      </c>
      <c r="M82" s="9"/>
      <c r="N82" s="9"/>
    </row>
    <row r="83" spans="1:14">
      <c r="A83" s="15" t="str">
        <f>'[18]2. BM Database'!B55</f>
        <v>BRANTFORD POWER INC.</v>
      </c>
      <c r="B83" s="15">
        <v>3023</v>
      </c>
      <c r="C83" s="43">
        <f>'[18]2. BM Database'!C55</f>
        <v>2010</v>
      </c>
      <c r="D83" s="15">
        <v>3</v>
      </c>
      <c r="E83" s="17">
        <f>'[18]2. BM Database'!F55/1000</f>
        <v>7198.7223800000002</v>
      </c>
      <c r="F83" s="41">
        <f t="shared" si="12"/>
        <v>1.1243125351578573</v>
      </c>
      <c r="G83" s="44">
        <f>'[18]2. BM Database'!P55/1000</f>
        <v>189.6</v>
      </c>
      <c r="H83" s="16">
        <f t="shared" si="14"/>
        <v>196.464</v>
      </c>
      <c r="I83" s="18">
        <f>'[18]2. BM Database'!L55</f>
        <v>37654</v>
      </c>
      <c r="J83" s="18">
        <f>'[18]2. BM Database'!R55</f>
        <v>508</v>
      </c>
      <c r="K83" s="18">
        <f t="shared" si="13"/>
        <v>242</v>
      </c>
      <c r="L83" s="19">
        <f>'[18]2. BM Database'!T55</f>
        <v>0.4763779527559055</v>
      </c>
      <c r="M83" s="9"/>
      <c r="N83" s="9"/>
    </row>
    <row r="84" spans="1:14">
      <c r="A84" s="15" t="str">
        <f>'[18]2. BM Database'!B56</f>
        <v>BRANTFORD POWER INC.</v>
      </c>
      <c r="B84" s="15">
        <v>3023</v>
      </c>
      <c r="C84" s="43">
        <f>'[18]2. BM Database'!C56</f>
        <v>2011</v>
      </c>
      <c r="D84" s="15">
        <v>3</v>
      </c>
      <c r="E84" s="17">
        <f>'[18]2. BM Database'!F56/1000</f>
        <v>6598.5596100000002</v>
      </c>
      <c r="F84" s="41">
        <f t="shared" si="12"/>
        <v>1.1430978626415853</v>
      </c>
      <c r="G84" s="44">
        <f>'[18]2. BM Database'!P56/1000</f>
        <v>192.53800000000001</v>
      </c>
      <c r="H84" s="16">
        <f t="shared" si="14"/>
        <v>196.464</v>
      </c>
      <c r="I84" s="18">
        <f>'[18]2. BM Database'!L56</f>
        <v>37967</v>
      </c>
      <c r="J84" s="18">
        <f>'[18]2. BM Database'!R56</f>
        <v>649</v>
      </c>
      <c r="K84" s="18">
        <f t="shared" si="13"/>
        <v>260</v>
      </c>
      <c r="L84" s="19">
        <f>'[18]2. BM Database'!T56</f>
        <v>0.40061633281972264</v>
      </c>
      <c r="M84" s="9"/>
      <c r="N84" s="9"/>
    </row>
    <row r="85" spans="1:14">
      <c r="A85" s="15" t="str">
        <f>'[18]2. BM Database'!B57</f>
        <v>BRANTFORD POWER INC.</v>
      </c>
      <c r="B85" s="15">
        <v>3023</v>
      </c>
      <c r="C85" s="43">
        <f>'[18]2. BM Database'!C57</f>
        <v>2012</v>
      </c>
      <c r="D85" s="15">
        <v>3</v>
      </c>
      <c r="E85" s="17">
        <f>'[18]2. BM Database'!F57/1000</f>
        <v>7799.1961700000011</v>
      </c>
      <c r="F85" s="41">
        <f t="shared" si="12"/>
        <v>1.160126854517312</v>
      </c>
      <c r="G85" s="44">
        <f>'[18]2. BM Database'!P57/1000</f>
        <v>192.04499999999999</v>
      </c>
      <c r="H85" s="16">
        <f t="shared" si="14"/>
        <v>196.464</v>
      </c>
      <c r="I85" s="18">
        <f>'[18]2. BM Database'!L57</f>
        <v>38263</v>
      </c>
      <c r="J85" s="18">
        <f>'[18]2. BM Database'!R57</f>
        <v>512</v>
      </c>
      <c r="K85" s="18">
        <f t="shared" si="13"/>
        <v>238</v>
      </c>
      <c r="L85" s="19">
        <f>'[18]2. BM Database'!T57</f>
        <v>0.46484375</v>
      </c>
      <c r="M85" s="9"/>
      <c r="N85" s="9"/>
    </row>
    <row r="86" spans="1:14" s="15" customFormat="1">
      <c r="A86" s="15" t="s">
        <v>29</v>
      </c>
      <c r="B86" s="15">
        <v>3023</v>
      </c>
      <c r="C86" s="43">
        <v>2013</v>
      </c>
      <c r="D86" s="15">
        <v>3</v>
      </c>
      <c r="E86" s="17">
        <f>HLOOKUP(A86,'[19]2013 Benchmarking Calculations'!$I$3:$CC$76,6,FALSE)/1000</f>
        <v>8727.5399399999988</v>
      </c>
      <c r="F86" s="41">
        <f t="shared" si="12"/>
        <v>1.178602141578931</v>
      </c>
      <c r="G86" s="44">
        <f>HLOOKUP(A86,'[19]2013 Benchmarking Calculations'!$I$3:$CC$76,57,FALSE)/1000</f>
        <v>197.59100000000001</v>
      </c>
      <c r="H86" s="16">
        <f t="shared" si="14"/>
        <v>197.59100000000001</v>
      </c>
      <c r="I86" s="18">
        <f>HLOOKUP(A86,'[19]2013 Benchmarking Calculations'!$I$3:$CC$76,53,FALSE)</f>
        <v>38546</v>
      </c>
      <c r="J86" s="18">
        <f>HLOOKUP(A86,'[19]2013 Benchmarking Calculations'!$I$3:$CC$76,71,FALSE)</f>
        <v>496</v>
      </c>
      <c r="K86" s="18">
        <f t="shared" si="13"/>
        <v>227</v>
      </c>
      <c r="L86" s="19">
        <f>HLOOKUP(A86,'[19]2013 PBR data '!B$42:BV$68,15,FALSE)/HLOOKUP(A86,'[19]2013 PBR data '!B$42:BV$68,13,FALSE)</f>
        <v>0.45766129032258063</v>
      </c>
      <c r="M86" s="9"/>
      <c r="N86" s="9"/>
    </row>
    <row r="87" spans="1:14" s="15" customFormat="1">
      <c r="A87" s="15" t="s">
        <v>29</v>
      </c>
      <c r="B87" s="15">
        <v>3023</v>
      </c>
      <c r="C87" s="43">
        <v>2014</v>
      </c>
      <c r="D87" s="15">
        <v>3</v>
      </c>
      <c r="E87" s="17">
        <f>VLOOKUP(A87,[20]Result!$B$12:$D$84,2,FALSE)/10^3</f>
        <v>8559.9989999999998</v>
      </c>
      <c r="F87" s="41">
        <f t="shared" si="12"/>
        <v>1.2030671041042156</v>
      </c>
      <c r="G87" s="44">
        <f>VLOOKUP(A87,'[21]General transpose'!$A$1:$AF$73,26,FALSE)/10^3</f>
        <v>169.31</v>
      </c>
      <c r="H87" s="16">
        <f t="shared" si="14"/>
        <v>197.59100000000001</v>
      </c>
      <c r="I87" s="18">
        <f>'[14]2014 Benchmarking Calculations'!$M$55</f>
        <v>38790</v>
      </c>
      <c r="J87" s="18">
        <f>VLOOKUP(A87,'[21]General transpose'!$A$1:$AF$73,16,FALSE)</f>
        <v>500</v>
      </c>
      <c r="K87" s="18">
        <f t="shared" si="13"/>
        <v>233</v>
      </c>
      <c r="L87" s="19">
        <f>VLOOKUP(A87,'[21]General transpose'!$A$1:$AF$73,17,FALSE)</f>
        <v>0.46600000000000003</v>
      </c>
      <c r="M87" s="9"/>
      <c r="N87" s="9"/>
    </row>
    <row r="88" spans="1:14" s="15" customFormat="1">
      <c r="A88" s="15" t="s">
        <v>29</v>
      </c>
      <c r="B88" s="15">
        <v>3023</v>
      </c>
      <c r="C88" s="43">
        <v>2015</v>
      </c>
      <c r="D88" s="15">
        <v>3</v>
      </c>
      <c r="E88" s="17">
        <f>VLOOKUP(A87,[20]Result!$B$12:$D$84,3,FALSE)/10^3</f>
        <v>8836.8809999999994</v>
      </c>
      <c r="F88" s="41">
        <f t="shared" si="12"/>
        <v>1.2312762402864634</v>
      </c>
      <c r="G88" s="44">
        <f>VLOOKUP(A87,'[22]General transpose'!$A$1:$AF$73,26,FALSE)/10^3</f>
        <v>175.113</v>
      </c>
      <c r="H88" s="16">
        <f t="shared" si="14"/>
        <v>197.59100000000001</v>
      </c>
      <c r="I88" s="18">
        <f>'[14]2015 Benchmarking Calculations'!$M$55</f>
        <v>39128</v>
      </c>
      <c r="J88" s="18">
        <f>VLOOKUP(A87,'[22]General transpose'!$A$1:$AF$73,16,FALSE)</f>
        <v>498</v>
      </c>
      <c r="K88" s="18">
        <f t="shared" si="13"/>
        <v>232</v>
      </c>
      <c r="L88" s="19">
        <f>VLOOKUP(A87,'[22]General transpose'!$A$1:$AF$73,17,FALSE)</f>
        <v>0.46586345381526106</v>
      </c>
      <c r="M88" s="9"/>
      <c r="N88" s="9"/>
    </row>
    <row r="89" spans="1:14" s="15" customFormat="1">
      <c r="A89" s="15" t="s">
        <v>29</v>
      </c>
      <c r="B89" s="15">
        <v>3023</v>
      </c>
      <c r="C89" s="43">
        <v>2016</v>
      </c>
      <c r="D89" s="15">
        <v>3</v>
      </c>
      <c r="E89" s="17">
        <f>'[14]2016 Benchmarking Calculations'!$M$8/1000</f>
        <v>9685.2382899999993</v>
      </c>
      <c r="F89" s="41">
        <f t="shared" si="12"/>
        <v>1.2455044937824149</v>
      </c>
      <c r="G89" s="44">
        <f>HLOOKUP(A89,[23]General!$A$1:$BQ$23,22,FALSE)/10^3</f>
        <v>187.33099999999999</v>
      </c>
      <c r="H89" s="16">
        <f t="shared" si="14"/>
        <v>197.59100000000001</v>
      </c>
      <c r="I89" s="18">
        <f>'[14]2016 Benchmarking Calculations'!$M$55</f>
        <v>39406</v>
      </c>
      <c r="J89" s="18">
        <f>HLOOKUP(A89,[23]General!$A$1:$BQ$23,17,FALSE)</f>
        <v>503</v>
      </c>
      <c r="K89" s="18">
        <f t="shared" si="13"/>
        <v>233</v>
      </c>
      <c r="L89" s="19">
        <f>HLOOKUP(A89,[23]General!$A$1:$BQ$23,18,FALSE)</f>
        <v>0.46322067594433397</v>
      </c>
      <c r="M89" s="9"/>
      <c r="N89" s="9"/>
    </row>
    <row r="90" spans="1:14" s="15" customFormat="1">
      <c r="A90" s="15" t="s">
        <v>29</v>
      </c>
      <c r="B90" s="15">
        <v>3023</v>
      </c>
      <c r="C90" s="43">
        <v>2017</v>
      </c>
      <c r="D90" s="15">
        <v>3</v>
      </c>
      <c r="E90" s="17">
        <f>'[14]2017 Benchmarking Calculations'!$N$9/1000</f>
        <v>9372.9033099999997</v>
      </c>
      <c r="F90" s="41">
        <f t="shared" si="12"/>
        <v>1.2674505553724562</v>
      </c>
      <c r="G90" s="44">
        <f>[15]General!$F$20/1000</f>
        <v>172.881</v>
      </c>
      <c r="H90" s="16">
        <f t="shared" si="14"/>
        <v>197.59100000000001</v>
      </c>
      <c r="I90" s="18">
        <f>'[14]2017 Benchmarking Calculations'!$N$56</f>
        <v>39623</v>
      </c>
      <c r="J90" s="18">
        <f>[15]General!$F$17</f>
        <v>507</v>
      </c>
      <c r="K90" s="18">
        <f>J90*L90</f>
        <v>238</v>
      </c>
      <c r="L90" s="19">
        <f>[15]General!$F$16/[15]General!$F$17</f>
        <v>0.46942800788954636</v>
      </c>
      <c r="M90" s="9"/>
      <c r="N90" s="9"/>
    </row>
    <row r="91" spans="1:14" s="15" customFormat="1">
      <c r="A91" s="15" t="s">
        <v>29</v>
      </c>
      <c r="B91" s="15">
        <v>3023</v>
      </c>
      <c r="C91" s="43">
        <v>2018</v>
      </c>
      <c r="D91" s="15">
        <v>3</v>
      </c>
      <c r="E91" s="17">
        <f>'[16]2018 Benchmarking Calculations'!$N$10/1000</f>
        <v>9964.5648800000017</v>
      </c>
      <c r="F91" s="41">
        <f t="shared" si="12"/>
        <v>1.2994718602728874</v>
      </c>
      <c r="G91" s="44">
        <f>'[16]2018 Benchmarking Calculations'!$N$61/1000</f>
        <v>186.91200000000001</v>
      </c>
      <c r="H91" s="16">
        <f t="shared" si="14"/>
        <v>197.59100000000001</v>
      </c>
      <c r="I91" s="18">
        <f>'[16]2018 Benchmarking Calculations'!$N$57</f>
        <v>39905</v>
      </c>
      <c r="J91" s="18">
        <f>'[16]2018 Utility Characteristics'!$H$103</f>
        <v>510</v>
      </c>
      <c r="K91" s="18">
        <f>'[16]2018 Utility Characteristics'!$H$105</f>
        <v>240</v>
      </c>
      <c r="L91" s="19">
        <f>K91/J91</f>
        <v>0.47058823529411764</v>
      </c>
      <c r="M91" s="9"/>
      <c r="N91" s="9"/>
    </row>
    <row r="92" spans="1:14" s="15" customFormat="1">
      <c r="A92" s="15" t="s">
        <v>29</v>
      </c>
      <c r="B92" s="15">
        <v>3023</v>
      </c>
      <c r="C92" s="43">
        <v>2019</v>
      </c>
      <c r="D92" s="15">
        <v>3</v>
      </c>
      <c r="E92" s="17">
        <f>'[17]2019 Benchmarking Calculations'!$N$10/1000</f>
        <v>10071.91524</v>
      </c>
      <c r="F92" s="41">
        <f t="shared" si="12"/>
        <v>1.3352608354138498</v>
      </c>
      <c r="G92" s="44">
        <f>'[17]2019 Benchmarking Calculations'!$N$61/1000</f>
        <v>183.51400000000001</v>
      </c>
      <c r="H92" s="16">
        <f t="shared" si="14"/>
        <v>197.59100000000001</v>
      </c>
      <c r="I92" s="18">
        <f>'[17]2019 Benchmarking Calculations'!$N$57</f>
        <v>40125</v>
      </c>
      <c r="J92" s="18">
        <f>'[17]2019 Utility Characteristics'!$H$16+'[17]2019 Utility Characteristics'!$H$18</f>
        <v>515</v>
      </c>
      <c r="K92" s="18">
        <f>'[17]2019 Utility Characteristics'!$H$18</f>
        <v>245</v>
      </c>
      <c r="L92" s="19">
        <f>K92/J92</f>
        <v>0.47572815533980584</v>
      </c>
      <c r="M92" s="9"/>
      <c r="N92" s="9"/>
    </row>
    <row r="93" spans="1:14">
      <c r="A93" s="15" t="str">
        <f>'[18]2. BM Database'!B61</f>
        <v>BURLINGTON HYDRO INC.</v>
      </c>
      <c r="B93" s="15">
        <v>3012</v>
      </c>
      <c r="C93" s="43">
        <f>'[18]2. BM Database'!C61</f>
        <v>2005</v>
      </c>
      <c r="D93" s="15">
        <v>3</v>
      </c>
      <c r="E93" s="17">
        <f>'[18]2. BM Database'!F61/1000</f>
        <v>10467.05126</v>
      </c>
      <c r="F93" s="41">
        <f t="shared" ref="F93:F107" si="15">F78</f>
        <v>1</v>
      </c>
      <c r="G93" s="44">
        <f>'[18]2. BM Database'!P61/1000</f>
        <v>364.96300000000002</v>
      </c>
      <c r="H93" s="16">
        <f>G93</f>
        <v>364.96300000000002</v>
      </c>
      <c r="I93" s="18">
        <f>'[18]2. BM Database'!L61</f>
        <v>59537</v>
      </c>
      <c r="J93" s="18">
        <f>'[18]2. BM Database'!R61</f>
        <v>1384</v>
      </c>
      <c r="K93" s="18">
        <f t="shared" ref="K93:K104" si="16">J93*L93</f>
        <v>570</v>
      </c>
      <c r="L93" s="19">
        <f>'[18]2. BM Database'!T61</f>
        <v>0.41184971098265893</v>
      </c>
      <c r="M93" s="9"/>
      <c r="N93" s="9"/>
    </row>
    <row r="94" spans="1:14">
      <c r="A94" s="15" t="str">
        <f>'[18]2. BM Database'!B62</f>
        <v>BURLINGTON HYDRO INC.</v>
      </c>
      <c r="B94" s="15">
        <v>3012</v>
      </c>
      <c r="C94" s="43">
        <f>'[18]2. BM Database'!C62</f>
        <v>2006</v>
      </c>
      <c r="D94" s="15">
        <v>3</v>
      </c>
      <c r="E94" s="17">
        <f>'[18]2. BM Database'!F62/1000</f>
        <v>11587.44666</v>
      </c>
      <c r="F94" s="41">
        <f t="shared" si="15"/>
        <v>1.0181607380073696</v>
      </c>
      <c r="G94" s="44">
        <f>'[18]2. BM Database'!P62/1000</f>
        <v>378.16199999999998</v>
      </c>
      <c r="H94" s="16">
        <f>MAX(G94,H93)</f>
        <v>378.16199999999998</v>
      </c>
      <c r="I94" s="18">
        <f>'[18]2. BM Database'!L62</f>
        <v>60749</v>
      </c>
      <c r="J94" s="18">
        <f>'[18]2. BM Database'!R62</f>
        <v>1511</v>
      </c>
      <c r="K94" s="18">
        <f t="shared" si="16"/>
        <v>616</v>
      </c>
      <c r="L94" s="19">
        <f>'[18]2. BM Database'!T62</f>
        <v>0.40767703507610853</v>
      </c>
      <c r="M94" s="9"/>
      <c r="N94" s="9"/>
    </row>
    <row r="95" spans="1:14">
      <c r="A95" s="15" t="str">
        <f>'[18]2. BM Database'!B63</f>
        <v>BURLINGTON HYDRO INC.</v>
      </c>
      <c r="B95" s="15">
        <v>3012</v>
      </c>
      <c r="C95" s="43">
        <f>'[18]2. BM Database'!C63</f>
        <v>2007</v>
      </c>
      <c r="D95" s="15">
        <v>3</v>
      </c>
      <c r="E95" s="17">
        <f>'[18]2. BM Database'!F63/1000</f>
        <v>12009.95551</v>
      </c>
      <c r="F95" s="41">
        <f t="shared" si="15"/>
        <v>1.0531931014872313</v>
      </c>
      <c r="G95" s="44">
        <f>'[18]2. BM Database'!P63/1000</f>
        <v>367.28</v>
      </c>
      <c r="H95" s="16">
        <f t="shared" ref="H95:H107" si="17">MAX(G95,H94)</f>
        <v>378.16199999999998</v>
      </c>
      <c r="I95" s="18">
        <f>'[18]2. BM Database'!L63</f>
        <v>61776</v>
      </c>
      <c r="J95" s="18">
        <f>'[18]2. BM Database'!R63</f>
        <v>1548</v>
      </c>
      <c r="K95" s="18">
        <f t="shared" si="16"/>
        <v>623</v>
      </c>
      <c r="L95" s="19">
        <f>'[18]2. BM Database'!T63</f>
        <v>0.40245478036175708</v>
      </c>
      <c r="M95" s="9"/>
      <c r="N95" s="9"/>
    </row>
    <row r="96" spans="1:14">
      <c r="A96" s="15" t="str">
        <f>'[18]2. BM Database'!B64</f>
        <v>BURLINGTON HYDRO INC.</v>
      </c>
      <c r="B96" s="15">
        <v>3012</v>
      </c>
      <c r="C96" s="43">
        <f>'[18]2. BM Database'!C64</f>
        <v>2008</v>
      </c>
      <c r="D96" s="15">
        <v>3</v>
      </c>
      <c r="E96" s="17">
        <f>'[18]2. BM Database'!F64/1000</f>
        <v>12638.48306</v>
      </c>
      <c r="F96" s="41">
        <f t="shared" si="15"/>
        <v>1.078564603993923</v>
      </c>
      <c r="G96" s="44">
        <f>'[18]2. BM Database'!P64/1000</f>
        <v>346.40899999999999</v>
      </c>
      <c r="H96" s="16">
        <f t="shared" si="17"/>
        <v>378.16199999999998</v>
      </c>
      <c r="I96" s="18">
        <f>'[18]2. BM Database'!L64</f>
        <v>62737</v>
      </c>
      <c r="J96" s="18">
        <f>'[18]2. BM Database'!R64</f>
        <v>1643</v>
      </c>
      <c r="K96" s="18">
        <f t="shared" si="16"/>
        <v>641</v>
      </c>
      <c r="L96" s="19">
        <f>'[18]2. BM Database'!T64</f>
        <v>0.39013998782714548</v>
      </c>
      <c r="M96" s="9"/>
      <c r="N96" s="9"/>
    </row>
    <row r="97" spans="1:14">
      <c r="A97" s="15" t="str">
        <f>'[18]2. BM Database'!B65</f>
        <v>BURLINGTON HYDRO INC.</v>
      </c>
      <c r="B97" s="15">
        <v>3012</v>
      </c>
      <c r="C97" s="43">
        <f>'[18]2. BM Database'!C65</f>
        <v>2009</v>
      </c>
      <c r="D97" s="15">
        <v>3</v>
      </c>
      <c r="E97" s="17">
        <f>'[18]2. BM Database'!F65/1000</f>
        <v>12936.278319999999</v>
      </c>
      <c r="F97" s="41">
        <f t="shared" si="15"/>
        <v>1.0915070880241431</v>
      </c>
      <c r="G97" s="44">
        <f>'[18]2. BM Database'!P65/1000</f>
        <v>350.428</v>
      </c>
      <c r="H97" s="16">
        <f t="shared" si="17"/>
        <v>378.16199999999998</v>
      </c>
      <c r="I97" s="18">
        <f>'[18]2. BM Database'!L65</f>
        <v>63532</v>
      </c>
      <c r="J97" s="18">
        <f>'[18]2. BM Database'!R65</f>
        <v>1718</v>
      </c>
      <c r="K97" s="18">
        <f t="shared" si="16"/>
        <v>654</v>
      </c>
      <c r="L97" s="19">
        <f>'[18]2. BM Database'!T65</f>
        <v>0.38067520372526192</v>
      </c>
      <c r="M97" s="9"/>
      <c r="N97" s="9"/>
    </row>
    <row r="98" spans="1:14">
      <c r="A98" s="15" t="str">
        <f>'[18]2. BM Database'!B66</f>
        <v>BURLINGTON HYDRO INC.</v>
      </c>
      <c r="B98" s="15">
        <v>3012</v>
      </c>
      <c r="C98" s="43">
        <f>'[18]2. BM Database'!C66</f>
        <v>2010</v>
      </c>
      <c r="D98" s="15">
        <v>3</v>
      </c>
      <c r="E98" s="17">
        <f>'[18]2. BM Database'!F66/1000</f>
        <v>13328.484169999998</v>
      </c>
      <c r="F98" s="41">
        <f t="shared" si="15"/>
        <v>1.1243125351578573</v>
      </c>
      <c r="G98" s="44">
        <f>'[18]2. BM Database'!P66/1000</f>
        <v>364.92899999999997</v>
      </c>
      <c r="H98" s="16">
        <f t="shared" si="17"/>
        <v>378.16199999999998</v>
      </c>
      <c r="I98" s="18">
        <f>'[18]2. BM Database'!L66</f>
        <v>64329</v>
      </c>
      <c r="J98" s="18">
        <f>'[18]2. BM Database'!R66</f>
        <v>1727</v>
      </c>
      <c r="K98" s="18">
        <f t="shared" si="16"/>
        <v>841</v>
      </c>
      <c r="L98" s="19">
        <f>'[18]2. BM Database'!T66</f>
        <v>0.48697162709901565</v>
      </c>
      <c r="M98" s="9"/>
      <c r="N98" s="9"/>
    </row>
    <row r="99" spans="1:14">
      <c r="A99" s="15" t="str">
        <f>'[18]2. BM Database'!B67</f>
        <v>BURLINGTON HYDRO INC.</v>
      </c>
      <c r="B99" s="15">
        <v>3012</v>
      </c>
      <c r="C99" s="43">
        <f>'[18]2. BM Database'!C67</f>
        <v>2011</v>
      </c>
      <c r="D99" s="15">
        <v>3</v>
      </c>
      <c r="E99" s="17">
        <f>'[18]2. BM Database'!F67/1000</f>
        <v>14278.41078</v>
      </c>
      <c r="F99" s="41">
        <f t="shared" si="15"/>
        <v>1.1430978626415853</v>
      </c>
      <c r="G99" s="44">
        <f>'[18]2. BM Database'!P67/1000</f>
        <v>379.69</v>
      </c>
      <c r="H99" s="16">
        <f t="shared" si="17"/>
        <v>379.69</v>
      </c>
      <c r="I99" s="18">
        <f>'[18]2. BM Database'!L67</f>
        <v>64329</v>
      </c>
      <c r="J99" s="18">
        <f>'[18]2. BM Database'!R67</f>
        <v>1703</v>
      </c>
      <c r="K99" s="18">
        <f t="shared" si="16"/>
        <v>740</v>
      </c>
      <c r="L99" s="19">
        <f>'[18]2. BM Database'!T67</f>
        <v>0.4345273047563124</v>
      </c>
      <c r="M99" s="9"/>
      <c r="N99" s="9"/>
    </row>
    <row r="100" spans="1:14">
      <c r="A100" s="15" t="str">
        <f>'[18]2. BM Database'!B68</f>
        <v>BURLINGTON HYDRO INC.</v>
      </c>
      <c r="B100" s="15">
        <v>3012</v>
      </c>
      <c r="C100" s="43">
        <f>'[18]2. BM Database'!C68</f>
        <v>2012</v>
      </c>
      <c r="D100" s="15">
        <v>3</v>
      </c>
      <c r="E100" s="17">
        <f>'[18]2. BM Database'!F68/1000</f>
        <v>15294.576514500002</v>
      </c>
      <c r="F100" s="41">
        <f t="shared" si="15"/>
        <v>1.160126854517312</v>
      </c>
      <c r="G100" s="44">
        <f>'[18]2. BM Database'!P68/1000</f>
        <v>373.21</v>
      </c>
      <c r="H100" s="16">
        <f t="shared" si="17"/>
        <v>379.69</v>
      </c>
      <c r="I100" s="18">
        <f>'[18]2. BM Database'!L68</f>
        <v>65377</v>
      </c>
      <c r="J100" s="18">
        <f>'[18]2. BM Database'!R68</f>
        <v>1520</v>
      </c>
      <c r="K100" s="18">
        <f t="shared" si="16"/>
        <v>658</v>
      </c>
      <c r="L100" s="19">
        <f>'[18]2. BM Database'!T68</f>
        <v>0.43289473684210528</v>
      </c>
      <c r="M100" s="9"/>
      <c r="N100" s="9"/>
    </row>
    <row r="101" spans="1:14" s="15" customFormat="1">
      <c r="A101" s="15" t="s">
        <v>30</v>
      </c>
      <c r="B101" s="15">
        <v>3012</v>
      </c>
      <c r="C101" s="43">
        <v>2013</v>
      </c>
      <c r="D101" s="15">
        <v>3</v>
      </c>
      <c r="E101" s="17">
        <f>HLOOKUP(A101,'[19]2013 Benchmarking Calculations'!$I$3:$CC$76,6,FALSE)/1000</f>
        <v>16773.83697</v>
      </c>
      <c r="F101" s="41">
        <f t="shared" si="15"/>
        <v>1.178602141578931</v>
      </c>
      <c r="G101" s="44">
        <f>HLOOKUP(A101,'[19]2013 Benchmarking Calculations'!$I$3:$CC$76,57,FALSE)/1000</f>
        <v>376.298</v>
      </c>
      <c r="H101" s="16">
        <f t="shared" si="17"/>
        <v>379.69</v>
      </c>
      <c r="I101" s="18">
        <f>HLOOKUP(A101,'[19]2013 Benchmarking Calculations'!$I$3:$CC$76,53,FALSE)</f>
        <v>66704</v>
      </c>
      <c r="J101" s="18">
        <f>HLOOKUP(A101,'[19]2013 Benchmarking Calculations'!$I$3:$CC$76,71,FALSE)</f>
        <v>1518</v>
      </c>
      <c r="K101" s="18">
        <f t="shared" si="16"/>
        <v>661</v>
      </c>
      <c r="L101" s="19">
        <f>HLOOKUP(A101,'[19]2013 PBR data '!B$42:BV$68,15,FALSE)/HLOOKUP(A101,'[19]2013 PBR data '!B$42:BV$68,13,FALSE)</f>
        <v>0.43544137022397894</v>
      </c>
      <c r="M101" s="9"/>
      <c r="N101" s="9"/>
    </row>
    <row r="102" spans="1:14" s="15" customFormat="1">
      <c r="A102" s="15" t="s">
        <v>30</v>
      </c>
      <c r="B102" s="15">
        <v>3012</v>
      </c>
      <c r="C102" s="43">
        <v>2014</v>
      </c>
      <c r="D102" s="15">
        <v>3</v>
      </c>
      <c r="E102" s="17">
        <f>VLOOKUP(A102,[20]Result!$B$12:$D$84,2,FALSE)/10^3</f>
        <v>16711.821</v>
      </c>
      <c r="F102" s="41">
        <f t="shared" si="15"/>
        <v>1.2030671041042156</v>
      </c>
      <c r="G102" s="44">
        <f>VLOOKUP(A102,'[21]General transpose'!$A$1:$AF$73,26,FALSE)/10^3</f>
        <v>325.553</v>
      </c>
      <c r="H102" s="16">
        <f t="shared" si="17"/>
        <v>379.69</v>
      </c>
      <c r="I102" s="18">
        <f>VLOOKUP(A102,'[21]General transpose'!$A$1:$AF$73,8,FALSE)</f>
        <v>66366</v>
      </c>
      <c r="J102" s="18">
        <f>VLOOKUP(A102,'[21]General transpose'!$A$1:$AF$73,16,FALSE)</f>
        <v>1520</v>
      </c>
      <c r="K102" s="18">
        <f t="shared" si="16"/>
        <v>668</v>
      </c>
      <c r="L102" s="19">
        <f>VLOOKUP(A102,'[21]General transpose'!$A$1:$AF$73,17,FALSE)</f>
        <v>0.43947368421052629</v>
      </c>
      <c r="M102" s="9"/>
      <c r="N102" s="9"/>
    </row>
    <row r="103" spans="1:14" s="15" customFormat="1">
      <c r="A103" s="15" t="s">
        <v>30</v>
      </c>
      <c r="B103" s="15">
        <v>3012</v>
      </c>
      <c r="C103" s="43">
        <v>2015</v>
      </c>
      <c r="D103" s="15">
        <v>3</v>
      </c>
      <c r="E103" s="17">
        <f>VLOOKUP(A102,[20]Result!$B$12:$D$84,3,FALSE)/10^3</f>
        <v>17198.232</v>
      </c>
      <c r="F103" s="41">
        <f t="shared" si="15"/>
        <v>1.2312762402864634</v>
      </c>
      <c r="G103" s="44">
        <f>'[14]2015 Benchmarking Calculations'!$N$59/1000</f>
        <v>340.35199999999998</v>
      </c>
      <c r="H103" s="16">
        <f t="shared" si="17"/>
        <v>379.69</v>
      </c>
      <c r="I103" s="18">
        <f>VLOOKUP(A102,'[22]General transpose'!$A$1:$AF$73,8,FALSE)</f>
        <v>66656</v>
      </c>
      <c r="J103" s="18">
        <f>VLOOKUP(A102,'[22]General transpose'!$A$1:$AF$73,16,FALSE)</f>
        <v>1536</v>
      </c>
      <c r="K103" s="18">
        <f t="shared" si="16"/>
        <v>671</v>
      </c>
      <c r="L103" s="19">
        <f>VLOOKUP(A102,'[22]General transpose'!$A$1:$AF$73,17,FALSE)</f>
        <v>0.43684895833333331</v>
      </c>
      <c r="M103" s="9"/>
      <c r="N103" s="9"/>
    </row>
    <row r="104" spans="1:14" s="15" customFormat="1">
      <c r="A104" s="15" t="s">
        <v>30</v>
      </c>
      <c r="B104" s="15">
        <v>3012</v>
      </c>
      <c r="C104" s="43">
        <v>2016</v>
      </c>
      <c r="D104" s="15">
        <v>3</v>
      </c>
      <c r="E104" s="17">
        <f>'[14]2016 Benchmarking Calculations'!$N$8/1000</f>
        <v>17539.019809999998</v>
      </c>
      <c r="F104" s="41">
        <f t="shared" si="15"/>
        <v>1.2455044937824149</v>
      </c>
      <c r="G104" s="44">
        <f>HLOOKUP(A104,[23]General!$A$1:$BQ$23,22,FALSE)/10^3</f>
        <v>360.23200000000003</v>
      </c>
      <c r="H104" s="16">
        <f t="shared" si="17"/>
        <v>379.69</v>
      </c>
      <c r="I104" s="18">
        <f>HLOOKUP(A104,[23]General!$A$1:$BQ$23,9,FALSE)</f>
        <v>66824</v>
      </c>
      <c r="J104" s="18">
        <f>HLOOKUP(A104,[23]General!$A$1:$BQ$23,17,FALSE)</f>
        <v>1506</v>
      </c>
      <c r="K104" s="18">
        <f t="shared" si="16"/>
        <v>674</v>
      </c>
      <c r="L104" s="19">
        <f>HLOOKUP(A104,[23]General!$A$1:$BQ$23,18,FALSE)</f>
        <v>0.44754316069057104</v>
      </c>
      <c r="M104" s="9"/>
      <c r="N104" s="9"/>
    </row>
    <row r="105" spans="1:14" s="15" customFormat="1">
      <c r="A105" s="15" t="s">
        <v>30</v>
      </c>
      <c r="B105" s="15">
        <v>3012</v>
      </c>
      <c r="C105" s="43">
        <v>2017</v>
      </c>
      <c r="D105" s="15">
        <v>3</v>
      </c>
      <c r="E105" s="17">
        <f>'[14]2017 Benchmarking Calculations'!$O$9/1000</f>
        <v>17672.91821</v>
      </c>
      <c r="F105" s="41">
        <f t="shared" si="15"/>
        <v>1.2674505553724562</v>
      </c>
      <c r="G105" s="44">
        <f>[15]General!$G$20/1000</f>
        <v>321.21100000000001</v>
      </c>
      <c r="H105" s="16">
        <f t="shared" si="17"/>
        <v>379.69</v>
      </c>
      <c r="I105" s="18">
        <f>[15]General!$G$9</f>
        <v>67122</v>
      </c>
      <c r="J105" s="18">
        <f>[15]General!$G$17</f>
        <v>1534</v>
      </c>
      <c r="K105" s="18">
        <f>J105*L105</f>
        <v>679</v>
      </c>
      <c r="L105" s="19">
        <f>[15]General!$G$16/[15]General!$G$17</f>
        <v>0.44263363754889179</v>
      </c>
      <c r="M105" s="9"/>
      <c r="N105" s="9"/>
    </row>
    <row r="106" spans="1:14" s="15" customFormat="1">
      <c r="A106" s="15" t="s">
        <v>30</v>
      </c>
      <c r="B106" s="15">
        <v>3012</v>
      </c>
      <c r="C106" s="43">
        <v>2018</v>
      </c>
      <c r="D106" s="15">
        <v>3</v>
      </c>
      <c r="E106" s="17">
        <f>'[16]2018 Benchmarking Calculations'!$O$10/1000</f>
        <v>18025.935079999999</v>
      </c>
      <c r="F106" s="41">
        <f t="shared" si="15"/>
        <v>1.2994718602728874</v>
      </c>
      <c r="G106" s="44">
        <f>'[16]2018 Benchmarking Calculations'!$O$61/1000</f>
        <v>351.43799999999999</v>
      </c>
      <c r="H106" s="16">
        <f t="shared" si="17"/>
        <v>379.69</v>
      </c>
      <c r="I106" s="18">
        <f>'[16]2018 Benchmarking Calculations'!$O$57</f>
        <v>67940</v>
      </c>
      <c r="J106" s="18">
        <f>'[16]2018 Utility Characteristics'!$I$103</f>
        <v>1535</v>
      </c>
      <c r="K106" s="18">
        <f>'[16]2018 Utility Characteristics'!$I$105</f>
        <v>682</v>
      </c>
      <c r="L106" s="19">
        <f>K106/J106</f>
        <v>0.44429967426710099</v>
      </c>
      <c r="M106" s="9"/>
      <c r="N106" s="9"/>
    </row>
    <row r="107" spans="1:14" s="15" customFormat="1">
      <c r="A107" s="15" t="s">
        <v>30</v>
      </c>
      <c r="B107" s="15">
        <v>3012</v>
      </c>
      <c r="C107" s="43">
        <v>2019</v>
      </c>
      <c r="D107" s="15">
        <v>3</v>
      </c>
      <c r="E107" s="17">
        <f>'[17]2019 Benchmarking Calculations'!$O$10/1000</f>
        <v>19043.935529999999</v>
      </c>
      <c r="F107" s="41">
        <f t="shared" si="15"/>
        <v>1.3352608354138498</v>
      </c>
      <c r="G107" s="44">
        <f>'[17]2019 Benchmarking Calculations'!$O$61/1000</f>
        <v>323.41399999999999</v>
      </c>
      <c r="H107" s="16">
        <f t="shared" si="17"/>
        <v>379.69</v>
      </c>
      <c r="I107" s="18">
        <f>'[17]2019 Benchmarking Calculations'!$O$57</f>
        <v>68205</v>
      </c>
      <c r="J107" s="18">
        <f>'[17]2019 Utility Characteristics'!$I$16+'[17]2019 Utility Characteristics'!$I$18</f>
        <v>1539</v>
      </c>
      <c r="K107" s="18">
        <f>'[17]2019 Utility Characteristics'!$I$18</f>
        <v>687</v>
      </c>
      <c r="L107" s="19">
        <f>K107/J107</f>
        <v>0.44639376218323584</v>
      </c>
      <c r="M107" s="9"/>
      <c r="N107" s="9"/>
    </row>
    <row r="108" spans="1:14">
      <c r="A108" s="15" t="str">
        <f>'[18]2. BM Database'!B72</f>
        <v>CAMBRIDGE AND NORTH DUMFRIES HYDRO INC.</v>
      </c>
      <c r="B108" s="15">
        <v>3016</v>
      </c>
      <c r="C108" s="43">
        <f>'[18]2. BM Database'!C72</f>
        <v>2005</v>
      </c>
      <c r="D108" s="15">
        <v>3</v>
      </c>
      <c r="E108" s="17">
        <f>'[18]2. BM Database'!F72/1000</f>
        <v>7085.857</v>
      </c>
      <c r="F108" s="41">
        <f t="shared" ref="F108:F122" si="18">F93</f>
        <v>1</v>
      </c>
      <c r="G108" s="44">
        <f>'[18]2. BM Database'!P72/1000</f>
        <v>312.44799999999998</v>
      </c>
      <c r="H108" s="16">
        <f>G108</f>
        <v>312.44799999999998</v>
      </c>
      <c r="I108" s="18">
        <f>'[18]2. BM Database'!L72</f>
        <v>47346</v>
      </c>
      <c r="J108" s="18">
        <f>'[18]2. BM Database'!R72</f>
        <v>1089</v>
      </c>
      <c r="K108" s="18">
        <f t="shared" ref="K108:K118" si="19">J108*L108</f>
        <v>362</v>
      </c>
      <c r="L108" s="19">
        <f>'[18]2. BM Database'!T72</f>
        <v>0.33241505968778695</v>
      </c>
      <c r="M108" s="9"/>
      <c r="N108" s="9"/>
    </row>
    <row r="109" spans="1:14">
      <c r="A109" s="15" t="str">
        <f>'[18]2. BM Database'!B73</f>
        <v>CAMBRIDGE AND NORTH DUMFRIES HYDRO INC.</v>
      </c>
      <c r="B109" s="15">
        <v>3016</v>
      </c>
      <c r="C109" s="43">
        <f>'[18]2. BM Database'!C73</f>
        <v>2006</v>
      </c>
      <c r="D109" s="15">
        <v>3</v>
      </c>
      <c r="E109" s="17">
        <f>'[18]2. BM Database'!F73/1000</f>
        <v>7284.4380000000001</v>
      </c>
      <c r="F109" s="41">
        <f t="shared" si="18"/>
        <v>1.0181607380073696</v>
      </c>
      <c r="G109" s="44">
        <f>'[18]2. BM Database'!P73/1000</f>
        <v>308.91199999999998</v>
      </c>
      <c r="H109" s="16">
        <f>MAX(G109,H108)</f>
        <v>312.44799999999998</v>
      </c>
      <c r="I109" s="18">
        <f>'[18]2. BM Database'!L73</f>
        <v>48619</v>
      </c>
      <c r="J109" s="18">
        <f>'[18]2. BM Database'!R73</f>
        <v>1097</v>
      </c>
      <c r="K109" s="18">
        <f t="shared" si="19"/>
        <v>369</v>
      </c>
      <c r="L109" s="19">
        <f>'[18]2. BM Database'!T73</f>
        <v>0.33637192342752964</v>
      </c>
      <c r="M109" s="9"/>
      <c r="N109" s="9"/>
    </row>
    <row r="110" spans="1:14">
      <c r="A110" s="15" t="str">
        <f>'[18]2. BM Database'!B74</f>
        <v>CAMBRIDGE AND NORTH DUMFRIES HYDRO INC.</v>
      </c>
      <c r="B110" s="15">
        <v>3016</v>
      </c>
      <c r="C110" s="43">
        <f>'[18]2. BM Database'!C74</f>
        <v>2007</v>
      </c>
      <c r="D110" s="15">
        <v>3</v>
      </c>
      <c r="E110" s="17">
        <f>'[18]2. BM Database'!F74/1000</f>
        <v>8070.9319999999998</v>
      </c>
      <c r="F110" s="41">
        <f t="shared" si="18"/>
        <v>1.0531931014872313</v>
      </c>
      <c r="G110" s="44">
        <f>'[18]2. BM Database'!P74/1000</f>
        <v>308.39299999999997</v>
      </c>
      <c r="H110" s="16">
        <f t="shared" ref="H110:H118" si="20">MAX(G110,H109)</f>
        <v>312.44799999999998</v>
      </c>
      <c r="I110" s="18">
        <f>'[18]2. BM Database'!L74</f>
        <v>48944</v>
      </c>
      <c r="J110" s="18">
        <f>'[18]2. BM Database'!R74</f>
        <v>1101</v>
      </c>
      <c r="K110" s="18">
        <f t="shared" si="19"/>
        <v>373</v>
      </c>
      <c r="L110" s="19">
        <f>'[18]2. BM Database'!T74</f>
        <v>0.33878292461398729</v>
      </c>
      <c r="M110" s="9"/>
      <c r="N110" s="9"/>
    </row>
    <row r="111" spans="1:14">
      <c r="A111" s="15" t="str">
        <f>'[18]2. BM Database'!B75</f>
        <v>CAMBRIDGE AND NORTH DUMFRIES HYDRO INC.</v>
      </c>
      <c r="B111" s="15">
        <v>3016</v>
      </c>
      <c r="C111" s="43">
        <f>'[18]2. BM Database'!C75</f>
        <v>2008</v>
      </c>
      <c r="D111" s="15">
        <v>3</v>
      </c>
      <c r="E111" s="17">
        <f>'[18]2. BM Database'!F75/1000</f>
        <v>8566.6828100000002</v>
      </c>
      <c r="F111" s="41">
        <f t="shared" si="18"/>
        <v>1.078564603993923</v>
      </c>
      <c r="G111" s="44">
        <f>'[18]2. BM Database'!P75/1000</f>
        <v>291.29199999999997</v>
      </c>
      <c r="H111" s="16">
        <f t="shared" si="20"/>
        <v>312.44799999999998</v>
      </c>
      <c r="I111" s="18">
        <f>'[18]2. BM Database'!L75</f>
        <v>49297</v>
      </c>
      <c r="J111" s="18">
        <f>'[18]2. BM Database'!R75</f>
        <v>1112</v>
      </c>
      <c r="K111" s="18">
        <f t="shared" si="19"/>
        <v>381.99999999999994</v>
      </c>
      <c r="L111" s="19">
        <f>'[18]2. BM Database'!T75</f>
        <v>0.34352517985611508</v>
      </c>
      <c r="M111" s="9"/>
      <c r="N111" s="9"/>
    </row>
    <row r="112" spans="1:14">
      <c r="A112" s="15" t="str">
        <f>'[18]2. BM Database'!B76</f>
        <v>CAMBRIDGE AND NORTH DUMFRIES HYDRO INC.</v>
      </c>
      <c r="B112" s="15">
        <v>3016</v>
      </c>
      <c r="C112" s="43">
        <f>'[18]2. BM Database'!C76</f>
        <v>2009</v>
      </c>
      <c r="D112" s="15">
        <v>3</v>
      </c>
      <c r="E112" s="17">
        <f>'[18]2. BM Database'!F76/1000</f>
        <v>9538.0431499999995</v>
      </c>
      <c r="F112" s="41">
        <f t="shared" si="18"/>
        <v>1.0915070880241431</v>
      </c>
      <c r="G112" s="44">
        <f>'[18]2. BM Database'!P76/1000</f>
        <v>286.911</v>
      </c>
      <c r="H112" s="16">
        <f t="shared" si="20"/>
        <v>312.44799999999998</v>
      </c>
      <c r="I112" s="18">
        <f>'[18]2. BM Database'!L76</f>
        <v>50136</v>
      </c>
      <c r="J112" s="18">
        <f>'[18]2. BM Database'!R76</f>
        <v>1105</v>
      </c>
      <c r="K112" s="18">
        <f t="shared" si="19"/>
        <v>397</v>
      </c>
      <c r="L112" s="19">
        <f>'[18]2. BM Database'!T76</f>
        <v>0.35927601809954751</v>
      </c>
      <c r="M112" s="9"/>
      <c r="N112" s="9"/>
    </row>
    <row r="113" spans="1:14">
      <c r="A113" s="15" t="str">
        <f>'[18]2. BM Database'!B77</f>
        <v>CAMBRIDGE AND NORTH DUMFRIES HYDRO INC.</v>
      </c>
      <c r="B113" s="15">
        <v>3016</v>
      </c>
      <c r="C113" s="43">
        <f>'[18]2. BM Database'!C77</f>
        <v>2010</v>
      </c>
      <c r="D113" s="15">
        <v>3</v>
      </c>
      <c r="E113" s="17">
        <f>'[18]2. BM Database'!F77/1000</f>
        <v>9278.4211899999991</v>
      </c>
      <c r="F113" s="41">
        <f t="shared" si="18"/>
        <v>1.1243125351578573</v>
      </c>
      <c r="G113" s="44">
        <f>'[18]2. BM Database'!P77/1000</f>
        <v>302.53699999999998</v>
      </c>
      <c r="H113" s="16">
        <f t="shared" si="20"/>
        <v>312.44799999999998</v>
      </c>
      <c r="I113" s="18">
        <f>'[18]2. BM Database'!L77</f>
        <v>50890</v>
      </c>
      <c r="J113" s="18">
        <f>'[18]2. BM Database'!R77</f>
        <v>1111</v>
      </c>
      <c r="K113" s="18">
        <f t="shared" si="19"/>
        <v>403</v>
      </c>
      <c r="L113" s="19">
        <f>'[18]2. BM Database'!T77</f>
        <v>0.36273627362736272</v>
      </c>
      <c r="M113" s="9"/>
      <c r="N113" s="9"/>
    </row>
    <row r="114" spans="1:14">
      <c r="A114" s="15" t="str">
        <f>'[18]2. BM Database'!B78</f>
        <v>CAMBRIDGE AND NORTH DUMFRIES HYDRO INC.</v>
      </c>
      <c r="B114" s="15">
        <v>3016</v>
      </c>
      <c r="C114" s="43">
        <f>'[18]2. BM Database'!C78</f>
        <v>2011</v>
      </c>
      <c r="D114" s="15">
        <v>3</v>
      </c>
      <c r="E114" s="17">
        <f>'[18]2. BM Database'!F78/1000</f>
        <v>10516.31143</v>
      </c>
      <c r="F114" s="41">
        <f t="shared" si="18"/>
        <v>1.1430978626415853</v>
      </c>
      <c r="G114" s="44">
        <f>'[18]2. BM Database'!P78/1000</f>
        <v>309.69</v>
      </c>
      <c r="H114" s="16">
        <f t="shared" si="20"/>
        <v>312.44799999999998</v>
      </c>
      <c r="I114" s="18">
        <f>'[18]2. BM Database'!L78</f>
        <v>51586</v>
      </c>
      <c r="J114" s="18">
        <f>'[18]2. BM Database'!R78</f>
        <v>1119</v>
      </c>
      <c r="K114" s="18">
        <f t="shared" si="19"/>
        <v>406</v>
      </c>
      <c r="L114" s="19">
        <f>'[18]2. BM Database'!T78</f>
        <v>0.36282394995531725</v>
      </c>
      <c r="M114" s="9"/>
      <c r="N114" s="9"/>
    </row>
    <row r="115" spans="1:14">
      <c r="A115" s="15" t="str">
        <f>'[18]2. BM Database'!B79</f>
        <v>CAMBRIDGE AND NORTH DUMFRIES HYDRO INC.</v>
      </c>
      <c r="B115" s="15">
        <v>3016</v>
      </c>
      <c r="C115" s="43">
        <f>'[18]2. BM Database'!C79</f>
        <v>2012</v>
      </c>
      <c r="D115" s="15">
        <v>3</v>
      </c>
      <c r="E115" s="17">
        <f>'[18]2. BM Database'!F79/1000</f>
        <v>13013.0475408</v>
      </c>
      <c r="F115" s="41">
        <f t="shared" si="18"/>
        <v>1.160126854517312</v>
      </c>
      <c r="G115" s="44">
        <f>'[18]2. BM Database'!P79/1000</f>
        <v>294.03699999999998</v>
      </c>
      <c r="H115" s="16">
        <f t="shared" si="20"/>
        <v>312.44799999999998</v>
      </c>
      <c r="I115" s="18">
        <f>'[18]2. BM Database'!L79</f>
        <v>51985</v>
      </c>
      <c r="J115" s="18">
        <f>'[18]2. BM Database'!R79</f>
        <v>1124</v>
      </c>
      <c r="K115" s="18">
        <f t="shared" si="19"/>
        <v>413</v>
      </c>
      <c r="L115" s="19">
        <f>'[18]2. BM Database'!T79</f>
        <v>0.36743772241992884</v>
      </c>
      <c r="M115" s="9"/>
      <c r="N115" s="9"/>
    </row>
    <row r="116" spans="1:14" s="15" customFormat="1">
      <c r="A116" s="15" t="s">
        <v>31</v>
      </c>
      <c r="B116" s="15">
        <v>3016</v>
      </c>
      <c r="C116" s="43">
        <v>2013</v>
      </c>
      <c r="D116" s="15">
        <v>3</v>
      </c>
      <c r="E116" s="17">
        <f>HLOOKUP(A116,'[19]2013 Benchmarking Calculations'!$I$3:$CC$76,6,FALSE)/1000</f>
        <v>14096.6335</v>
      </c>
      <c r="F116" s="41">
        <f t="shared" si="18"/>
        <v>1.178602141578931</v>
      </c>
      <c r="G116" s="44">
        <f>HLOOKUP(A116,'[19]2013 Benchmarking Calculations'!$I$3:$CC$76,57,FALSE)/1000</f>
        <v>292.23500000000001</v>
      </c>
      <c r="H116" s="16">
        <f t="shared" si="20"/>
        <v>312.44799999999998</v>
      </c>
      <c r="I116" s="18">
        <f>HLOOKUP(A116,'[19]2013 Benchmarking Calculations'!$I$3:$CC$76,53,FALSE)</f>
        <v>52214</v>
      </c>
      <c r="J116" s="18">
        <f>HLOOKUP(A116,'[19]2013 Benchmarking Calculations'!$I$3:$CC$76,71,FALSE)</f>
        <v>1135</v>
      </c>
      <c r="K116" s="18">
        <f t="shared" si="19"/>
        <v>414.00000000000006</v>
      </c>
      <c r="L116" s="19">
        <f>HLOOKUP(A116,'[19]2013 PBR data '!B$42:BV$68,15,FALSE)/HLOOKUP(A116,'[19]2013 PBR data '!B$42:BV$68,13,FALSE)</f>
        <v>0.36475770925110135</v>
      </c>
      <c r="M116" s="9"/>
      <c r="N116" s="9"/>
    </row>
    <row r="117" spans="1:14" s="15" customFormat="1">
      <c r="A117" s="15" t="s">
        <v>31</v>
      </c>
      <c r="B117" s="15">
        <v>3016</v>
      </c>
      <c r="C117" s="43">
        <v>2014</v>
      </c>
      <c r="D117" s="15">
        <v>3</v>
      </c>
      <c r="E117" s="17">
        <f>VLOOKUP(A117,[20]Result!$B$12:$D$84,2,FALSE)/10^3</f>
        <v>14116.772000000001</v>
      </c>
      <c r="F117" s="41">
        <f t="shared" si="18"/>
        <v>1.2030671041042156</v>
      </c>
      <c r="G117" s="44">
        <f>VLOOKUP(A117,'[21]General transpose'!$A$1:$AF$73,26,FALSE)/10^3</f>
        <v>280.68700000000001</v>
      </c>
      <c r="H117" s="16">
        <f t="shared" si="20"/>
        <v>312.44799999999998</v>
      </c>
      <c r="I117" s="18">
        <f>'[14]2014 Benchmarking Calculations'!$O$55</f>
        <v>52686</v>
      </c>
      <c r="J117" s="18">
        <f>VLOOKUP(A117,'[21]General transpose'!$A$1:$AF$73,16,FALSE)</f>
        <v>1143</v>
      </c>
      <c r="K117" s="18">
        <f t="shared" si="19"/>
        <v>421</v>
      </c>
      <c r="L117" s="19">
        <f>VLOOKUP(A117,'[21]General transpose'!$A$1:$AF$73,17,FALSE)</f>
        <v>0.36832895888014</v>
      </c>
      <c r="M117" s="9"/>
      <c r="N117" s="9"/>
    </row>
    <row r="118" spans="1:14" s="15" customFormat="1">
      <c r="A118" s="15" t="s">
        <v>31</v>
      </c>
      <c r="B118" s="15">
        <v>3016</v>
      </c>
      <c r="C118" s="43">
        <v>2015</v>
      </c>
      <c r="D118" s="15">
        <v>3</v>
      </c>
      <c r="E118" s="17">
        <f>VLOOKUP(A117,[20]Result!$B$12:$D$84,3,FALSE)/10^3</f>
        <v>14084.888000000001</v>
      </c>
      <c r="F118" s="41">
        <f t="shared" si="18"/>
        <v>1.2312762402864634</v>
      </c>
      <c r="G118" s="44">
        <f>VLOOKUP(A117,'[22]General transpose'!$A$1:$AF$73,26,FALSE)/10^3</f>
        <v>281.52600000000001</v>
      </c>
      <c r="H118" s="16">
        <f t="shared" si="20"/>
        <v>312.44799999999998</v>
      </c>
      <c r="I118" s="18">
        <f>'[14]2015 Benchmarking Calculations'!$O$55</f>
        <v>53108</v>
      </c>
      <c r="J118" s="18">
        <f>VLOOKUP(A117,'[22]General transpose'!$A$1:$AF$73,16,FALSE)</f>
        <v>1162</v>
      </c>
      <c r="K118" s="18">
        <f t="shared" si="19"/>
        <v>440</v>
      </c>
      <c r="L118" s="19">
        <f>VLOOKUP(A117,'[22]General transpose'!$A$1:$AF$73,17,FALSE)</f>
        <v>0.37865748709122204</v>
      </c>
      <c r="M118" s="9"/>
      <c r="N118" s="9"/>
    </row>
    <row r="119" spans="1:14" s="15" customFormat="1">
      <c r="A119" s="15" t="s">
        <v>31</v>
      </c>
      <c r="B119" s="15">
        <v>3016</v>
      </c>
      <c r="C119" s="43">
        <v>2016</v>
      </c>
      <c r="D119" s="15">
        <v>3</v>
      </c>
      <c r="E119" s="17"/>
      <c r="F119" s="41">
        <f t="shared" si="18"/>
        <v>1.2455044937824149</v>
      </c>
      <c r="G119" s="44"/>
      <c r="H119" s="16"/>
      <c r="I119" s="18"/>
      <c r="J119" s="18"/>
      <c r="L119" s="19"/>
      <c r="M119" s="9"/>
      <c r="N119" s="9"/>
    </row>
    <row r="120" spans="1:14" s="15" customFormat="1">
      <c r="A120" s="15" t="s">
        <v>31</v>
      </c>
      <c r="B120" s="15">
        <v>3016</v>
      </c>
      <c r="C120" s="43">
        <v>2017</v>
      </c>
      <c r="D120" s="15">
        <v>3</v>
      </c>
      <c r="E120" s="17"/>
      <c r="F120" s="41">
        <f t="shared" si="18"/>
        <v>1.2674505553724562</v>
      </c>
      <c r="G120" s="44"/>
      <c r="H120" s="16"/>
      <c r="I120" s="18"/>
      <c r="J120" s="18"/>
      <c r="L120" s="19"/>
      <c r="M120" s="9"/>
      <c r="N120" s="9"/>
    </row>
    <row r="121" spans="1:14" s="15" customFormat="1">
      <c r="A121" s="15" t="s">
        <v>31</v>
      </c>
      <c r="B121" s="15">
        <v>3016</v>
      </c>
      <c r="C121" s="43">
        <v>2018</v>
      </c>
      <c r="D121" s="15">
        <v>3</v>
      </c>
      <c r="E121" s="17"/>
      <c r="F121" s="41">
        <f t="shared" si="18"/>
        <v>1.2994718602728874</v>
      </c>
      <c r="G121" s="44"/>
      <c r="H121" s="16"/>
      <c r="I121" s="18"/>
      <c r="J121" s="18"/>
      <c r="L121" s="19"/>
      <c r="M121" s="9"/>
      <c r="N121" s="9"/>
    </row>
    <row r="122" spans="1:14" s="15" customFormat="1">
      <c r="A122" s="15" t="s">
        <v>31</v>
      </c>
      <c r="B122" s="15">
        <v>3016</v>
      </c>
      <c r="C122" s="43">
        <v>2019</v>
      </c>
      <c r="D122" s="15">
        <v>3</v>
      </c>
      <c r="E122" s="17"/>
      <c r="F122" s="41">
        <f t="shared" si="18"/>
        <v>1.3352608354138498</v>
      </c>
      <c r="G122" s="44"/>
      <c r="H122" s="16"/>
      <c r="I122" s="18"/>
      <c r="J122" s="18"/>
      <c r="L122" s="19"/>
      <c r="M122" s="9"/>
      <c r="N122" s="9"/>
    </row>
    <row r="123" spans="1:14">
      <c r="A123" s="15" t="str">
        <f>'[18]2. BM Database'!B83</f>
        <v>CANADIAN NIAGARA POWER INC.</v>
      </c>
      <c r="B123" s="15">
        <v>3029</v>
      </c>
      <c r="C123" s="43">
        <f>'[18]2. BM Database'!C83</f>
        <v>2005</v>
      </c>
      <c r="D123" s="15">
        <v>3</v>
      </c>
      <c r="E123" s="17">
        <f>'[18]2. BM Database'!F83/1000</f>
        <v>8964.7221099999988</v>
      </c>
      <c r="F123" s="41">
        <f t="shared" ref="F123:F137" si="21">F108</f>
        <v>1</v>
      </c>
      <c r="G123" s="44">
        <f>'[18]2. BM Database'!P83/1000</f>
        <v>115.3</v>
      </c>
      <c r="H123" s="16">
        <f>G123</f>
        <v>115.3</v>
      </c>
      <c r="I123" s="18">
        <f>'[18]2. BM Database'!L83</f>
        <v>27902</v>
      </c>
      <c r="J123" s="18">
        <f>'[18]2. BM Database'!R83</f>
        <v>976</v>
      </c>
      <c r="K123" s="18">
        <f t="shared" ref="K123:K134" si="22">J123*L123</f>
        <v>33</v>
      </c>
      <c r="L123" s="19">
        <f>'[18]2. BM Database'!T83</f>
        <v>3.3811475409836068E-2</v>
      </c>
      <c r="M123" s="9"/>
      <c r="N123" s="9"/>
    </row>
    <row r="124" spans="1:14">
      <c r="A124" s="15" t="str">
        <f>'[18]2. BM Database'!B84</f>
        <v>CANADIAN NIAGARA POWER INC.</v>
      </c>
      <c r="B124" s="15">
        <v>3029</v>
      </c>
      <c r="C124" s="43">
        <f>'[18]2. BM Database'!C84</f>
        <v>2006</v>
      </c>
      <c r="D124" s="15">
        <v>3</v>
      </c>
      <c r="E124" s="17">
        <f>'[18]2. BM Database'!F84/1000</f>
        <v>9847.9484600000014</v>
      </c>
      <c r="F124" s="41">
        <f t="shared" si="21"/>
        <v>1.0181607380073696</v>
      </c>
      <c r="G124" s="44">
        <f>'[18]2. BM Database'!P84/1000</f>
        <v>116.94799999999999</v>
      </c>
      <c r="H124" s="16">
        <f>MAX(G124,H123)</f>
        <v>116.94799999999999</v>
      </c>
      <c r="I124" s="18">
        <f>'[18]2. BM Database'!L84</f>
        <v>28024</v>
      </c>
      <c r="J124" s="18">
        <f>'[18]2. BM Database'!R84</f>
        <v>997</v>
      </c>
      <c r="K124" s="18">
        <f t="shared" si="22"/>
        <v>49</v>
      </c>
      <c r="L124" s="19">
        <f>'[18]2. BM Database'!T84</f>
        <v>4.9147442326980942E-2</v>
      </c>
      <c r="M124" s="9"/>
      <c r="N124" s="9"/>
    </row>
    <row r="125" spans="1:14">
      <c r="A125" s="15" t="str">
        <f>'[18]2. BM Database'!B85</f>
        <v>CANADIAN NIAGARA POWER INC.</v>
      </c>
      <c r="B125" s="15">
        <v>3029</v>
      </c>
      <c r="C125" s="43">
        <f>'[18]2. BM Database'!C85</f>
        <v>2007</v>
      </c>
      <c r="D125" s="15">
        <v>3</v>
      </c>
      <c r="E125" s="17">
        <f>'[18]2. BM Database'!F85/1000</f>
        <v>10429.196250000001</v>
      </c>
      <c r="F125" s="41">
        <f t="shared" si="21"/>
        <v>1.0531931014872313</v>
      </c>
      <c r="G125" s="44">
        <f>'[18]2. BM Database'!P85/1000</f>
        <v>109.596</v>
      </c>
      <c r="H125" s="16">
        <f t="shared" ref="H125:H137" si="23">MAX(G125,H124)</f>
        <v>116.94799999999999</v>
      </c>
      <c r="I125" s="18">
        <f>'[18]2. BM Database'!L85</f>
        <v>28205</v>
      </c>
      <c r="J125" s="18">
        <f>'[18]2. BM Database'!R85</f>
        <v>1031</v>
      </c>
      <c r="K125" s="18">
        <f t="shared" si="22"/>
        <v>80</v>
      </c>
      <c r="L125" s="19">
        <f>'[18]2. BM Database'!T85</f>
        <v>7.7594568380213391E-2</v>
      </c>
      <c r="M125" s="9"/>
      <c r="N125" s="9"/>
    </row>
    <row r="126" spans="1:14">
      <c r="A126" s="15" t="str">
        <f>'[18]2. BM Database'!B86</f>
        <v>CANADIAN NIAGARA POWER INC.</v>
      </c>
      <c r="B126" s="15">
        <v>3029</v>
      </c>
      <c r="C126" s="43">
        <f>'[18]2. BM Database'!C86</f>
        <v>2008</v>
      </c>
      <c r="D126" s="15">
        <v>3</v>
      </c>
      <c r="E126" s="17">
        <f>'[18]2. BM Database'!F86/1000</f>
        <v>9089.4626899999985</v>
      </c>
      <c r="F126" s="41">
        <f t="shared" si="21"/>
        <v>1.078564603993923</v>
      </c>
      <c r="G126" s="44">
        <f>'[18]2. BM Database'!P86/1000</f>
        <v>107.227</v>
      </c>
      <c r="H126" s="16">
        <f t="shared" si="23"/>
        <v>116.94799999999999</v>
      </c>
      <c r="I126" s="18">
        <f>'[18]2. BM Database'!L86</f>
        <v>28388</v>
      </c>
      <c r="J126" s="18">
        <f>'[18]2. BM Database'!R86</f>
        <v>1012</v>
      </c>
      <c r="K126" s="18">
        <f t="shared" si="22"/>
        <v>66</v>
      </c>
      <c r="L126" s="19">
        <f>'[18]2. BM Database'!T86</f>
        <v>6.5217391304347824E-2</v>
      </c>
      <c r="M126" s="9"/>
      <c r="N126" s="9"/>
    </row>
    <row r="127" spans="1:14">
      <c r="A127" s="15" t="str">
        <f>'[18]2. BM Database'!B87</f>
        <v>CANADIAN NIAGARA POWER INC.</v>
      </c>
      <c r="B127" s="15">
        <v>3029</v>
      </c>
      <c r="C127" s="43">
        <f>'[18]2. BM Database'!C87</f>
        <v>2009</v>
      </c>
      <c r="D127" s="15">
        <v>3</v>
      </c>
      <c r="E127" s="17">
        <f>'[18]2. BM Database'!F87/1000</f>
        <v>8029.8341999999993</v>
      </c>
      <c r="F127" s="41">
        <f t="shared" si="21"/>
        <v>1.0915070880241431</v>
      </c>
      <c r="G127" s="44">
        <f>'[18]2. BM Database'!P87/1000</f>
        <v>107.124</v>
      </c>
      <c r="H127" s="16">
        <f t="shared" si="23"/>
        <v>116.94799999999999</v>
      </c>
      <c r="I127" s="18">
        <f>'[18]2. BM Database'!L87</f>
        <v>28291</v>
      </c>
      <c r="J127" s="18">
        <f>'[18]2. BM Database'!R87</f>
        <v>1012</v>
      </c>
      <c r="K127" s="18">
        <f t="shared" si="22"/>
        <v>69</v>
      </c>
      <c r="L127" s="19">
        <f>'[18]2. BM Database'!T87</f>
        <v>6.8181818181818177E-2</v>
      </c>
      <c r="M127" s="9"/>
      <c r="N127" s="9"/>
    </row>
    <row r="128" spans="1:14">
      <c r="A128" s="15" t="str">
        <f>'[18]2. BM Database'!B88</f>
        <v>CANADIAN NIAGARA POWER INC.</v>
      </c>
      <c r="B128" s="15">
        <v>3029</v>
      </c>
      <c r="C128" s="43">
        <f>'[18]2. BM Database'!C88</f>
        <v>2010</v>
      </c>
      <c r="D128" s="15">
        <v>3</v>
      </c>
      <c r="E128" s="17">
        <f>'[18]2. BM Database'!F88/1000</f>
        <v>8766.2753200000006</v>
      </c>
      <c r="F128" s="41">
        <f t="shared" si="21"/>
        <v>1.1243125351578573</v>
      </c>
      <c r="G128" s="44">
        <f>'[18]2. BM Database'!P88/1000</f>
        <v>115.7</v>
      </c>
      <c r="H128" s="16">
        <f t="shared" si="23"/>
        <v>116.94799999999999</v>
      </c>
      <c r="I128" s="18">
        <f>'[18]2. BM Database'!L88</f>
        <v>28365</v>
      </c>
      <c r="J128" s="18">
        <f>'[18]2. BM Database'!R88</f>
        <v>1019</v>
      </c>
      <c r="K128" s="18">
        <f t="shared" si="22"/>
        <v>72</v>
      </c>
      <c r="L128" s="19">
        <f>'[18]2. BM Database'!T88</f>
        <v>7.0657507360157024E-2</v>
      </c>
      <c r="M128" s="9"/>
      <c r="N128" s="9"/>
    </row>
    <row r="129" spans="1:14">
      <c r="A129" s="15" t="str">
        <f>'[18]2. BM Database'!B89</f>
        <v>CANADIAN NIAGARA POWER INC.</v>
      </c>
      <c r="B129" s="15">
        <v>3029</v>
      </c>
      <c r="C129" s="43">
        <f>'[18]2. BM Database'!C89</f>
        <v>2011</v>
      </c>
      <c r="D129" s="15">
        <v>3</v>
      </c>
      <c r="E129" s="17">
        <f>'[18]2. BM Database'!F89/1000</f>
        <v>8827.1528600000001</v>
      </c>
      <c r="F129" s="41">
        <f t="shared" si="21"/>
        <v>1.1430978626415853</v>
      </c>
      <c r="G129" s="44">
        <f>'[18]2. BM Database'!P89/1000</f>
        <v>109.934</v>
      </c>
      <c r="H129" s="16">
        <f t="shared" si="23"/>
        <v>116.94799999999999</v>
      </c>
      <c r="I129" s="18">
        <f>'[18]2. BM Database'!L89</f>
        <v>28397</v>
      </c>
      <c r="J129" s="18">
        <f>'[18]2. BM Database'!R89</f>
        <v>1022</v>
      </c>
      <c r="K129" s="18">
        <f t="shared" si="22"/>
        <v>71</v>
      </c>
      <c r="L129" s="19">
        <f>'[18]2. BM Database'!T89</f>
        <v>6.947162426614481E-2</v>
      </c>
      <c r="M129" s="9"/>
      <c r="N129" s="9"/>
    </row>
    <row r="130" spans="1:14">
      <c r="A130" s="15" t="str">
        <f>'[18]2. BM Database'!B90</f>
        <v>CANADIAN NIAGARA POWER INC.</v>
      </c>
      <c r="B130" s="15">
        <v>3029</v>
      </c>
      <c r="C130" s="43">
        <f>'[18]2. BM Database'!C90</f>
        <v>2012</v>
      </c>
      <c r="D130" s="15">
        <v>3</v>
      </c>
      <c r="E130" s="17">
        <f>'[18]2. BM Database'!F90/1000</f>
        <v>7763.1922100000002</v>
      </c>
      <c r="F130" s="41">
        <f t="shared" si="21"/>
        <v>1.160126854517312</v>
      </c>
      <c r="G130" s="44">
        <f>'[18]2. BM Database'!P90/1000</f>
        <v>109.45099999999999</v>
      </c>
      <c r="H130" s="16">
        <f t="shared" si="23"/>
        <v>116.94799999999999</v>
      </c>
      <c r="I130" s="18">
        <f>'[18]2. BM Database'!L90</f>
        <v>28429.036100828482</v>
      </c>
      <c r="J130" s="18">
        <f>'[18]2. BM Database'!R90</f>
        <v>1027</v>
      </c>
      <c r="K130" s="18">
        <f t="shared" si="22"/>
        <v>73</v>
      </c>
      <c r="L130" s="19">
        <f>'[18]2. BM Database'!T90</f>
        <v>7.108081791626096E-2</v>
      </c>
      <c r="M130" s="9"/>
      <c r="N130" s="9"/>
    </row>
    <row r="131" spans="1:14" s="15" customFormat="1">
      <c r="A131" s="15" t="s">
        <v>32</v>
      </c>
      <c r="B131" s="15">
        <v>3029</v>
      </c>
      <c r="C131" s="43">
        <v>2013</v>
      </c>
      <c r="D131" s="15">
        <v>3</v>
      </c>
      <c r="E131" s="17">
        <f>HLOOKUP(A131,'[19]2013 Benchmarking Calculations'!$I$3:$CC$76,6,FALSE)/1000</f>
        <v>8474.6860300000008</v>
      </c>
      <c r="F131" s="41">
        <f t="shared" si="21"/>
        <v>1.178602141578931</v>
      </c>
      <c r="G131" s="44">
        <f>HLOOKUP(A131,'[19]2013 Benchmarking Calculations'!$I$3:$CC$76,57,FALSE)/1000</f>
        <v>107.389</v>
      </c>
      <c r="H131" s="16">
        <f t="shared" si="23"/>
        <v>116.94799999999999</v>
      </c>
      <c r="I131" s="18">
        <f>HLOOKUP(A131,'[19]2013 Benchmarking Calculations'!$I$3:$CC$76,53,FALSE)</f>
        <v>28584</v>
      </c>
      <c r="J131" s="18">
        <f>HLOOKUP(A131,'[19]2013 Benchmarking Calculations'!$I$3:$CC$76,71,FALSE)</f>
        <v>1023</v>
      </c>
      <c r="K131" s="18">
        <f t="shared" si="22"/>
        <v>72</v>
      </c>
      <c r="L131" s="19">
        <f>HLOOKUP(A131,'[19]2013 PBR data '!B$42:BV$68,15,FALSE)/HLOOKUP(A131,'[19]2013 PBR data '!B$42:BV$68,13,FALSE)</f>
        <v>7.0381231671554259E-2</v>
      </c>
      <c r="M131" s="9"/>
      <c r="N131" s="9"/>
    </row>
    <row r="132" spans="1:14" s="15" customFormat="1">
      <c r="A132" s="15" t="s">
        <v>32</v>
      </c>
      <c r="B132" s="15">
        <v>3029</v>
      </c>
      <c r="C132" s="43">
        <v>2014</v>
      </c>
      <c r="D132" s="15">
        <v>3</v>
      </c>
      <c r="E132" s="17">
        <f>VLOOKUP(A132,[20]Result!$B$12:$D$84,2,FALSE)/10^3</f>
        <v>9120.4709999999995</v>
      </c>
      <c r="F132" s="41">
        <f t="shared" si="21"/>
        <v>1.2030671041042156</v>
      </c>
      <c r="G132" s="44">
        <f>VLOOKUP(A132,'[21]General transpose'!$A$1:$AF$73,26,FALSE)/10^3</f>
        <v>98.855999999999995</v>
      </c>
      <c r="H132" s="16">
        <f t="shared" si="23"/>
        <v>116.94799999999999</v>
      </c>
      <c r="I132" s="18">
        <f>VLOOKUP(A132,'[21]General transpose'!$A$1:$AF$73,8,FALSE)</f>
        <v>28627</v>
      </c>
      <c r="J132" s="18">
        <f>VLOOKUP(A132,'[21]General transpose'!$A$1:$AF$73,16,FALSE)</f>
        <v>1011</v>
      </c>
      <c r="K132" s="18">
        <f t="shared" si="22"/>
        <v>76</v>
      </c>
      <c r="L132" s="19">
        <f>VLOOKUP(A132,'[21]General transpose'!$A$1:$AF$73,17,FALSE)</f>
        <v>7.5173095944609303E-2</v>
      </c>
      <c r="M132" s="9"/>
      <c r="N132" s="9"/>
    </row>
    <row r="133" spans="1:14" s="15" customFormat="1">
      <c r="A133" s="15" t="s">
        <v>32</v>
      </c>
      <c r="B133" s="15">
        <v>3029</v>
      </c>
      <c r="C133" s="43">
        <v>2015</v>
      </c>
      <c r="D133" s="15">
        <v>3</v>
      </c>
      <c r="E133" s="17">
        <f>VLOOKUP(A132,[20]Result!$B$12:$D$84,3,FALSE)/10^3</f>
        <v>9169.7749999999996</v>
      </c>
      <c r="F133" s="41">
        <f t="shared" si="21"/>
        <v>1.2312762402864634</v>
      </c>
      <c r="G133" s="44">
        <f>VLOOKUP(A132,'[22]General transpose'!$A$1:$AF$73,26,FALSE)/10^3</f>
        <v>94.32</v>
      </c>
      <c r="H133" s="16">
        <f t="shared" si="23"/>
        <v>116.94799999999999</v>
      </c>
      <c r="I133" s="18">
        <f>VLOOKUP(A132,'[22]General transpose'!$A$1:$AF$73,8,FALSE)</f>
        <v>28713</v>
      </c>
      <c r="J133" s="18">
        <f>VLOOKUP(A132,'[22]General transpose'!$A$1:$AF$73,16,FALSE)</f>
        <v>1028</v>
      </c>
      <c r="K133" s="18">
        <f t="shared" si="22"/>
        <v>81</v>
      </c>
      <c r="L133" s="19">
        <f>VLOOKUP(A132,'[22]General transpose'!$A$1:$AF$73,17,FALSE)</f>
        <v>7.8793774319066145E-2</v>
      </c>
      <c r="M133" s="9"/>
      <c r="N133" s="9"/>
    </row>
    <row r="134" spans="1:14" s="15" customFormat="1">
      <c r="A134" s="15" t="s">
        <v>32</v>
      </c>
      <c r="B134" s="15">
        <v>3029</v>
      </c>
      <c r="C134" s="43">
        <v>2016</v>
      </c>
      <c r="D134" s="15">
        <v>3</v>
      </c>
      <c r="E134" s="17">
        <f>'[14]2016 Benchmarking Calculations'!$P$8/1000</f>
        <v>9308.9364199999982</v>
      </c>
      <c r="F134" s="41">
        <f t="shared" si="21"/>
        <v>1.2455044937824149</v>
      </c>
      <c r="G134" s="44">
        <f>HLOOKUP(A134,[23]General!$A$1:$BQ$23,22,FALSE)/10^3</f>
        <v>101.753</v>
      </c>
      <c r="H134" s="16">
        <f t="shared" si="23"/>
        <v>116.94799999999999</v>
      </c>
      <c r="I134" s="18">
        <f>HLOOKUP(A134,[23]General!$A$1:$BQ$23,9,FALSE)</f>
        <v>28808</v>
      </c>
      <c r="J134" s="18">
        <f>HLOOKUP(A134,[23]General!$A$1:$BQ$23,17,FALSE)</f>
        <v>1025</v>
      </c>
      <c r="K134" s="18">
        <f t="shared" si="22"/>
        <v>84</v>
      </c>
      <c r="L134" s="19">
        <f>HLOOKUP(A134,[23]General!$A$1:$BQ$23,18,FALSE)</f>
        <v>8.1951219512195125E-2</v>
      </c>
      <c r="M134" s="9"/>
      <c r="N134" s="9"/>
    </row>
    <row r="135" spans="1:14" s="15" customFormat="1">
      <c r="A135" s="15" t="s">
        <v>32</v>
      </c>
      <c r="B135" s="15">
        <v>3029</v>
      </c>
      <c r="C135" s="43">
        <v>2017</v>
      </c>
      <c r="D135" s="15">
        <v>3</v>
      </c>
      <c r="E135" s="17">
        <f>'[14]2017 Benchmarking Calculations'!$Q$9/1000</f>
        <v>8980.0249199999998</v>
      </c>
      <c r="F135" s="41">
        <f t="shared" si="21"/>
        <v>1.2674505553724562</v>
      </c>
      <c r="G135" s="44">
        <f>[15]General!$H$20/1000</f>
        <v>88.875</v>
      </c>
      <c r="H135" s="16">
        <f t="shared" si="23"/>
        <v>116.94799999999999</v>
      </c>
      <c r="I135" s="18">
        <f>'[14]2017 Benchmarking Calculations'!$Q$56</f>
        <v>29057</v>
      </c>
      <c r="J135" s="18">
        <f>[15]General!$H$17</f>
        <v>1027</v>
      </c>
      <c r="K135" s="18">
        <f>J135*L135</f>
        <v>85</v>
      </c>
      <c r="L135" s="19">
        <f>[15]General!$H$16/[15]General!$H$17</f>
        <v>8.2765335929892894E-2</v>
      </c>
      <c r="M135" s="9"/>
      <c r="N135" s="9"/>
    </row>
    <row r="136" spans="1:14" s="15" customFormat="1">
      <c r="A136" s="15" t="s">
        <v>32</v>
      </c>
      <c r="B136" s="15">
        <v>3029</v>
      </c>
      <c r="C136" s="43">
        <v>2018</v>
      </c>
      <c r="D136" s="15">
        <v>3</v>
      </c>
      <c r="E136" s="17">
        <f>'[16]2018 Benchmarking Calculations'!$Q$10/1000</f>
        <v>10228.80791</v>
      </c>
      <c r="F136" s="41">
        <f t="shared" si="21"/>
        <v>1.2994718602728874</v>
      </c>
      <c r="G136" s="44">
        <f>'[16]2018 Benchmarking Calculations'!$Q$61/1000</f>
        <v>98.015000000000001</v>
      </c>
      <c r="H136" s="16">
        <f t="shared" si="23"/>
        <v>116.94799999999999</v>
      </c>
      <c r="I136" s="18">
        <f>'[16]2018 Benchmarking Calculations'!$Q$57</f>
        <v>29246</v>
      </c>
      <c r="J136" s="18">
        <f>'[16]2018 Utility Characteristics'!$K$103</f>
        <v>1038</v>
      </c>
      <c r="K136" s="18">
        <f>'[16]2018 Utility Characteristics'!$K$105</f>
        <v>92</v>
      </c>
      <c r="L136" s="19">
        <f>K136/J136</f>
        <v>8.8631984585741813E-2</v>
      </c>
      <c r="M136" s="9"/>
      <c r="N136" s="9"/>
    </row>
    <row r="137" spans="1:14" s="15" customFormat="1">
      <c r="A137" s="15" t="s">
        <v>32</v>
      </c>
      <c r="B137" s="15">
        <v>3029</v>
      </c>
      <c r="C137" s="43">
        <v>2019</v>
      </c>
      <c r="D137" s="15">
        <v>3</v>
      </c>
      <c r="E137" s="17">
        <f>'[17]2019 Benchmarking Calculations'!$Q$10/1000</f>
        <v>10005.215690000001</v>
      </c>
      <c r="F137" s="41">
        <f t="shared" si="21"/>
        <v>1.3352608354138498</v>
      </c>
      <c r="G137" s="44">
        <f>'[17]2019 Benchmarking Calculations'!$Q$61/1000</f>
        <v>92.986999999999995</v>
      </c>
      <c r="H137" s="16">
        <f t="shared" si="23"/>
        <v>116.94799999999999</v>
      </c>
      <c r="I137" s="18">
        <f>'[17]2019 Benchmarking Calculations'!$Q$57</f>
        <v>29456</v>
      </c>
      <c r="J137" s="18">
        <f>'[17]2019 Utility Characteristics'!$K$16+'[17]2019 Utility Characteristics'!$K$18</f>
        <v>1038</v>
      </c>
      <c r="K137" s="18">
        <f>'[17]2019 Utility Characteristics'!$K$18</f>
        <v>101</v>
      </c>
      <c r="L137" s="19">
        <f>K137/J137</f>
        <v>9.7302504816955682E-2</v>
      </c>
      <c r="M137" s="9"/>
      <c r="N137" s="9"/>
    </row>
    <row r="138" spans="1:14">
      <c r="A138" s="15" t="str">
        <f>'[18]2. BM Database'!B94</f>
        <v>CENTRE WELLINGTON HYDRO LTD.</v>
      </c>
      <c r="B138" s="15">
        <v>3057</v>
      </c>
      <c r="C138" s="43">
        <f>'[18]2. BM Database'!C94</f>
        <v>2005</v>
      </c>
      <c r="D138" s="15">
        <v>3</v>
      </c>
      <c r="E138" s="17">
        <f>'[18]2. BM Database'!F94/1000</f>
        <v>1405.8007500000001</v>
      </c>
      <c r="F138" s="41">
        <f t="shared" ref="F138:F152" si="24">F123</f>
        <v>1</v>
      </c>
      <c r="G138" s="44">
        <f>'[18]2. BM Database'!P94/1000</f>
        <v>28.286000000000001</v>
      </c>
      <c r="H138" s="16">
        <f>G138</f>
        <v>28.286000000000001</v>
      </c>
      <c r="I138" s="18">
        <f>'[18]2. BM Database'!L94</f>
        <v>6086</v>
      </c>
      <c r="J138" s="18">
        <f>'[18]2. BM Database'!R94</f>
        <v>140</v>
      </c>
      <c r="K138" s="18">
        <f t="shared" ref="K138:K149" si="25">J138*L138</f>
        <v>63</v>
      </c>
      <c r="L138" s="19">
        <f>'[18]2. BM Database'!T94</f>
        <v>0.45</v>
      </c>
      <c r="M138" s="9"/>
      <c r="N138" s="9"/>
    </row>
    <row r="139" spans="1:14">
      <c r="A139" s="15" t="str">
        <f>'[18]2. BM Database'!B95</f>
        <v>CENTRE WELLINGTON HYDRO LTD.</v>
      </c>
      <c r="B139" s="15">
        <v>3057</v>
      </c>
      <c r="C139" s="43">
        <f>'[18]2. BM Database'!C95</f>
        <v>2006</v>
      </c>
      <c r="D139" s="15">
        <v>3</v>
      </c>
      <c r="E139" s="17">
        <f>'[18]2. BM Database'!F95/1000</f>
        <v>1429.2895799999999</v>
      </c>
      <c r="F139" s="41">
        <f t="shared" si="24"/>
        <v>1.0181607380073696</v>
      </c>
      <c r="G139" s="44">
        <f>'[18]2. BM Database'!P95/1000</f>
        <v>27.178999999999998</v>
      </c>
      <c r="H139" s="16">
        <f>MAX(G139,H138)</f>
        <v>28.286000000000001</v>
      </c>
      <c r="I139" s="18">
        <f>'[18]2. BM Database'!L95</f>
        <v>6158</v>
      </c>
      <c r="J139" s="18">
        <f>'[18]2. BM Database'!R95</f>
        <v>140</v>
      </c>
      <c r="K139" s="18">
        <f t="shared" si="25"/>
        <v>63</v>
      </c>
      <c r="L139" s="19">
        <f>'[18]2. BM Database'!T95</f>
        <v>0.45</v>
      </c>
      <c r="M139" s="9"/>
      <c r="N139" s="9"/>
    </row>
    <row r="140" spans="1:14">
      <c r="A140" s="15" t="str">
        <f>'[18]2. BM Database'!B96</f>
        <v>CENTRE WELLINGTON HYDRO LTD.</v>
      </c>
      <c r="B140" s="15">
        <v>3057</v>
      </c>
      <c r="C140" s="43">
        <f>'[18]2. BM Database'!C96</f>
        <v>2007</v>
      </c>
      <c r="D140" s="15">
        <v>3</v>
      </c>
      <c r="E140" s="17">
        <f>'[18]2. BM Database'!F96/1000</f>
        <v>1502.38069</v>
      </c>
      <c r="F140" s="41">
        <f t="shared" si="24"/>
        <v>1.0531931014872313</v>
      </c>
      <c r="G140" s="44">
        <f>'[18]2. BM Database'!P96/1000</f>
        <v>27.573</v>
      </c>
      <c r="H140" s="16">
        <f t="shared" ref="H140:H152" si="26">MAX(G140,H139)</f>
        <v>28.286000000000001</v>
      </c>
      <c r="I140" s="18">
        <f>'[18]2. BM Database'!L96</f>
        <v>6239</v>
      </c>
      <c r="J140" s="18">
        <f>'[18]2. BM Database'!R96</f>
        <v>146</v>
      </c>
      <c r="K140" s="18">
        <f t="shared" si="25"/>
        <v>69</v>
      </c>
      <c r="L140" s="19">
        <f>'[18]2. BM Database'!T96</f>
        <v>0.4726027397260274</v>
      </c>
      <c r="M140" s="9"/>
      <c r="N140" s="9"/>
    </row>
    <row r="141" spans="1:14">
      <c r="A141" s="15" t="str">
        <f>'[18]2. BM Database'!B97</f>
        <v>CENTRE WELLINGTON HYDRO LTD.</v>
      </c>
      <c r="B141" s="15">
        <v>3057</v>
      </c>
      <c r="C141" s="43">
        <f>'[18]2. BM Database'!C97</f>
        <v>2008</v>
      </c>
      <c r="D141" s="15">
        <v>3</v>
      </c>
      <c r="E141" s="17">
        <f>'[18]2. BM Database'!F97/1000</f>
        <v>1594.8210299999998</v>
      </c>
      <c r="F141" s="41">
        <f t="shared" si="24"/>
        <v>1.078564603993923</v>
      </c>
      <c r="G141" s="44">
        <f>'[18]2. BM Database'!P97/1000</f>
        <v>27.584</v>
      </c>
      <c r="H141" s="16">
        <f t="shared" si="26"/>
        <v>28.286000000000001</v>
      </c>
      <c r="I141" s="18">
        <f>'[18]2. BM Database'!L97</f>
        <v>6309</v>
      </c>
      <c r="J141" s="18">
        <f>'[18]2. BM Database'!R97</f>
        <v>146</v>
      </c>
      <c r="K141" s="18">
        <f t="shared" si="25"/>
        <v>69</v>
      </c>
      <c r="L141" s="19">
        <f>'[18]2. BM Database'!T97</f>
        <v>0.4726027397260274</v>
      </c>
      <c r="M141" s="9"/>
      <c r="N141" s="9"/>
    </row>
    <row r="142" spans="1:14">
      <c r="A142" s="15" t="str">
        <f>'[18]2. BM Database'!B98</f>
        <v>CENTRE WELLINGTON HYDRO LTD.</v>
      </c>
      <c r="B142" s="15">
        <v>3057</v>
      </c>
      <c r="C142" s="43">
        <f>'[18]2. BM Database'!C98</f>
        <v>2009</v>
      </c>
      <c r="D142" s="15">
        <v>3</v>
      </c>
      <c r="E142" s="17">
        <f>'[18]2. BM Database'!F98/1000</f>
        <v>1703.7566299999999</v>
      </c>
      <c r="F142" s="41">
        <f t="shared" si="24"/>
        <v>1.0915070880241431</v>
      </c>
      <c r="G142" s="44">
        <f>'[18]2. BM Database'!P98/1000</f>
        <v>27.294</v>
      </c>
      <c r="H142" s="16">
        <f t="shared" si="26"/>
        <v>28.286000000000001</v>
      </c>
      <c r="I142" s="18">
        <f>'[18]2. BM Database'!L98</f>
        <v>6380</v>
      </c>
      <c r="J142" s="18">
        <f>'[18]2. BM Database'!R98</f>
        <v>146</v>
      </c>
      <c r="K142" s="18">
        <f t="shared" si="25"/>
        <v>69</v>
      </c>
      <c r="L142" s="19">
        <f>'[18]2. BM Database'!T98</f>
        <v>0.4726027397260274</v>
      </c>
      <c r="M142" s="9"/>
      <c r="N142" s="9"/>
    </row>
    <row r="143" spans="1:14">
      <c r="A143" s="15" t="str">
        <f>'[18]2. BM Database'!B99</f>
        <v>CENTRE WELLINGTON HYDRO LTD.</v>
      </c>
      <c r="B143" s="15">
        <v>3057</v>
      </c>
      <c r="C143" s="43">
        <f>'[18]2. BM Database'!C99</f>
        <v>2010</v>
      </c>
      <c r="D143" s="15">
        <v>3</v>
      </c>
      <c r="E143" s="17">
        <f>'[18]2. BM Database'!F99/1000</f>
        <v>1742.7524699999999</v>
      </c>
      <c r="F143" s="41">
        <f t="shared" si="24"/>
        <v>1.1243125351578573</v>
      </c>
      <c r="G143" s="44">
        <f>'[18]2. BM Database'!P99/1000</f>
        <v>27.922000000000001</v>
      </c>
      <c r="H143" s="16">
        <f t="shared" si="26"/>
        <v>28.286000000000001</v>
      </c>
      <c r="I143" s="18">
        <f>'[18]2. BM Database'!L99</f>
        <v>6463</v>
      </c>
      <c r="J143" s="18">
        <f>'[18]2. BM Database'!R99</f>
        <v>147</v>
      </c>
      <c r="K143" s="18">
        <f t="shared" si="25"/>
        <v>69</v>
      </c>
      <c r="L143" s="19">
        <f>'[18]2. BM Database'!T99</f>
        <v>0.46938775510204084</v>
      </c>
      <c r="M143" s="9"/>
      <c r="N143" s="9"/>
    </row>
    <row r="144" spans="1:14">
      <c r="A144" s="15" t="str">
        <f>'[18]2. BM Database'!B100</f>
        <v>CENTRE WELLINGTON HYDRO LTD.</v>
      </c>
      <c r="B144" s="15">
        <v>3057</v>
      </c>
      <c r="C144" s="43">
        <f>'[18]2. BM Database'!C100</f>
        <v>2011</v>
      </c>
      <c r="D144" s="15">
        <v>3</v>
      </c>
      <c r="E144" s="17">
        <f>'[18]2. BM Database'!F100/1000</f>
        <v>1958.5698799999998</v>
      </c>
      <c r="F144" s="41">
        <f t="shared" si="24"/>
        <v>1.1430978626415853</v>
      </c>
      <c r="G144" s="44">
        <f>'[18]2. BM Database'!P100/1000</f>
        <v>28.006</v>
      </c>
      <c r="H144" s="16">
        <f t="shared" si="26"/>
        <v>28.286000000000001</v>
      </c>
      <c r="I144" s="18">
        <f>'[18]2. BM Database'!L100</f>
        <v>6496</v>
      </c>
      <c r="J144" s="18">
        <f>'[18]2. BM Database'!R100</f>
        <v>161</v>
      </c>
      <c r="K144" s="18">
        <f t="shared" si="25"/>
        <v>70</v>
      </c>
      <c r="L144" s="19">
        <f>'[18]2. BM Database'!T100</f>
        <v>0.43478260869565216</v>
      </c>
      <c r="M144" s="9"/>
      <c r="N144" s="9"/>
    </row>
    <row r="145" spans="1:14">
      <c r="A145" s="15" t="str">
        <f>'[18]2. BM Database'!B101</f>
        <v>CENTRE WELLINGTON HYDRO LTD.</v>
      </c>
      <c r="B145" s="15">
        <v>3057</v>
      </c>
      <c r="C145" s="43">
        <f>'[18]2. BM Database'!C101</f>
        <v>2012</v>
      </c>
      <c r="D145" s="15">
        <v>3</v>
      </c>
      <c r="E145" s="17">
        <f>'[18]2. BM Database'!F101/1000</f>
        <v>2177.2026799999999</v>
      </c>
      <c r="F145" s="41">
        <f t="shared" si="24"/>
        <v>1.160126854517312</v>
      </c>
      <c r="G145" s="44">
        <f>'[18]2. BM Database'!P101/1000</f>
        <v>28.573</v>
      </c>
      <c r="H145" s="16">
        <f t="shared" si="26"/>
        <v>28.573</v>
      </c>
      <c r="I145" s="18">
        <f>'[18]2. BM Database'!L101</f>
        <v>6647</v>
      </c>
      <c r="J145" s="18">
        <f>'[18]2. BM Database'!R101</f>
        <v>149</v>
      </c>
      <c r="K145" s="18">
        <f t="shared" si="25"/>
        <v>70</v>
      </c>
      <c r="L145" s="19">
        <f>'[18]2. BM Database'!T101</f>
        <v>0.46979865771812079</v>
      </c>
      <c r="M145" s="9"/>
      <c r="N145" s="9"/>
    </row>
    <row r="146" spans="1:14" s="15" customFormat="1">
      <c r="A146" s="15" t="s">
        <v>33</v>
      </c>
      <c r="B146" s="15">
        <v>3057</v>
      </c>
      <c r="C146" s="43">
        <v>2013</v>
      </c>
      <c r="D146" s="15">
        <v>3</v>
      </c>
      <c r="E146" s="17">
        <f>HLOOKUP(A146,'[19]2013 Benchmarking Calculations'!$I$3:$CC$76,6,FALSE)/1000</f>
        <v>2048.5108999999998</v>
      </c>
      <c r="F146" s="41">
        <f t="shared" si="24"/>
        <v>1.178602141578931</v>
      </c>
      <c r="G146" s="44">
        <f>HLOOKUP(A146,'[19]2013 Benchmarking Calculations'!$I$3:$CC$76,57,FALSE)/1000</f>
        <v>28.655999999999999</v>
      </c>
      <c r="H146" s="16">
        <f t="shared" si="26"/>
        <v>28.655999999999999</v>
      </c>
      <c r="I146" s="18">
        <f>HLOOKUP(A146,'[19]2013 Benchmarking Calculations'!$I$3:$CC$76,53,FALSE)</f>
        <v>6710</v>
      </c>
      <c r="J146" s="18">
        <f>HLOOKUP(A146,'[19]2013 Benchmarking Calculations'!$I$3:$CC$76,71,FALSE)</f>
        <v>151</v>
      </c>
      <c r="K146" s="18">
        <f t="shared" si="25"/>
        <v>72</v>
      </c>
      <c r="L146" s="19">
        <f>HLOOKUP(A146,'[19]2013 PBR data '!B$42:BV$68,15,FALSE)/HLOOKUP(A146,'[19]2013 PBR data '!B$42:BV$68,13,FALSE)</f>
        <v>0.47682119205298013</v>
      </c>
      <c r="M146" s="9"/>
      <c r="N146" s="9"/>
    </row>
    <row r="147" spans="1:14" s="15" customFormat="1">
      <c r="A147" s="15" t="s">
        <v>33</v>
      </c>
      <c r="B147" s="15">
        <v>3057</v>
      </c>
      <c r="C147" s="43">
        <v>2014</v>
      </c>
      <c r="D147" s="15">
        <v>3</v>
      </c>
      <c r="E147" s="17">
        <f>VLOOKUP(A147,[20]Result!$B$12:$D$84,2,FALSE)/10^3</f>
        <v>2042.9739999999999</v>
      </c>
      <c r="F147" s="41">
        <f t="shared" si="24"/>
        <v>1.2030671041042156</v>
      </c>
      <c r="G147" s="44">
        <f>VLOOKUP(A147,'[21]General transpose'!$A$1:$AF$73,26,FALSE)/10^3</f>
        <v>26.85</v>
      </c>
      <c r="H147" s="16">
        <f t="shared" si="26"/>
        <v>28.655999999999999</v>
      </c>
      <c r="I147" s="18">
        <f>VLOOKUP(A147,'[21]General transpose'!$A$1:$AF$73,8,FALSE)</f>
        <v>6729</v>
      </c>
      <c r="J147" s="18">
        <f>VLOOKUP(A147,'[21]General transpose'!$A$1:$AF$73,16,FALSE)</f>
        <v>151</v>
      </c>
      <c r="K147" s="18">
        <f t="shared" si="25"/>
        <v>72</v>
      </c>
      <c r="L147" s="19">
        <f>VLOOKUP(A147,'[21]General transpose'!$A$1:$AF$73,17,FALSE)</f>
        <v>0.47682119205298013</v>
      </c>
      <c r="M147" s="9"/>
      <c r="N147" s="9"/>
    </row>
    <row r="148" spans="1:14" s="15" customFormat="1">
      <c r="A148" s="15" t="s">
        <v>33</v>
      </c>
      <c r="B148" s="15">
        <v>3057</v>
      </c>
      <c r="C148" s="43">
        <v>2015</v>
      </c>
      <c r="D148" s="15">
        <v>3</v>
      </c>
      <c r="E148" s="17">
        <f>VLOOKUP(A147,[20]Result!$B$12:$D$84,3,FALSE)/10^3</f>
        <v>2106.9520000000002</v>
      </c>
      <c r="F148" s="41">
        <f t="shared" si="24"/>
        <v>1.2312762402864634</v>
      </c>
      <c r="G148" s="44">
        <f>'[14]2015 Benchmarking Calculations'!$Q$59/1000</f>
        <v>25.54082</v>
      </c>
      <c r="H148" s="16">
        <f t="shared" si="26"/>
        <v>28.655999999999999</v>
      </c>
      <c r="I148" s="18">
        <f>VLOOKUP(A147,'[22]General transpose'!$A$1:$AF$73,8,FALSE)</f>
        <v>6757</v>
      </c>
      <c r="J148" s="18">
        <f>VLOOKUP(A147,'[22]General transpose'!$A$1:$AF$73,16,FALSE)</f>
        <v>151</v>
      </c>
      <c r="K148" s="18">
        <f t="shared" si="25"/>
        <v>72</v>
      </c>
      <c r="L148" s="19">
        <f>VLOOKUP(A147,'[22]General transpose'!$A$1:$AF$73,17,FALSE)</f>
        <v>0.47682119205298013</v>
      </c>
      <c r="M148" s="9"/>
      <c r="N148" s="9"/>
    </row>
    <row r="149" spans="1:14" s="15" customFormat="1">
      <c r="A149" s="15" t="s">
        <v>33</v>
      </c>
      <c r="B149" s="15">
        <v>3057</v>
      </c>
      <c r="C149" s="43">
        <v>2016</v>
      </c>
      <c r="D149" s="15">
        <v>3</v>
      </c>
      <c r="E149" s="17">
        <f>'[14]2016 Benchmarking Calculations'!$Q$8/1000</f>
        <v>2176.4028399999993</v>
      </c>
      <c r="F149" s="41">
        <f t="shared" si="24"/>
        <v>1.2455044937824149</v>
      </c>
      <c r="G149" s="44">
        <f>HLOOKUP(A149,[23]General!$A$1:$BQ$23,22,FALSE)/10^3</f>
        <v>27.792999999999999</v>
      </c>
      <c r="H149" s="16">
        <f t="shared" si="26"/>
        <v>28.655999999999999</v>
      </c>
      <c r="I149" s="18">
        <f>HLOOKUP(A149,[23]General!$A$1:$BQ$23,9,FALSE)</f>
        <v>6798</v>
      </c>
      <c r="J149" s="18">
        <f>HLOOKUP(A149,[23]General!$A$1:$BQ$23,17,FALSE)</f>
        <v>153</v>
      </c>
      <c r="K149" s="18">
        <f t="shared" si="25"/>
        <v>73</v>
      </c>
      <c r="L149" s="19">
        <f>HLOOKUP(A149,[23]General!$A$1:$BQ$23,18,FALSE)</f>
        <v>0.47712418300653597</v>
      </c>
      <c r="M149" s="9"/>
      <c r="N149" s="9"/>
    </row>
    <row r="150" spans="1:14" s="15" customFormat="1">
      <c r="A150" s="15" t="s">
        <v>33</v>
      </c>
      <c r="B150" s="15">
        <v>3057</v>
      </c>
      <c r="C150" s="43">
        <v>2017</v>
      </c>
      <c r="D150" s="15">
        <v>3</v>
      </c>
      <c r="E150" s="17">
        <f>'[14]2017 Benchmarking Calculations'!$R$9/1000</f>
        <v>2366.9114499999996</v>
      </c>
      <c r="F150" s="41">
        <f t="shared" si="24"/>
        <v>1.2674505553724562</v>
      </c>
      <c r="G150" s="44">
        <f>'[14]2017 Benchmarking Calculations'!$R$60/1000</f>
        <v>24.77</v>
      </c>
      <c r="H150" s="16">
        <f t="shared" si="26"/>
        <v>28.655999999999999</v>
      </c>
      <c r="I150" s="18">
        <f>'[14]2017 Benchmarking Calculations'!$R$56</f>
        <v>6916</v>
      </c>
      <c r="J150" s="18">
        <f>'[14]2017 Utility Characteristics'!$J$79</f>
        <v>156</v>
      </c>
      <c r="K150" s="15">
        <f>'[14]2017 Utility Characteristics'!$J$81</f>
        <v>77</v>
      </c>
      <c r="L150" s="19">
        <f>K150/J150</f>
        <v>0.49358974358974361</v>
      </c>
      <c r="M150" s="9"/>
      <c r="N150" s="9"/>
    </row>
    <row r="151" spans="1:14" s="15" customFormat="1">
      <c r="A151" s="15" t="s">
        <v>33</v>
      </c>
      <c r="B151" s="15">
        <v>3057</v>
      </c>
      <c r="C151" s="43">
        <v>2018</v>
      </c>
      <c r="D151" s="15">
        <v>3</v>
      </c>
      <c r="E151" s="17">
        <f>'[16]2018 Benchmarking Calculations'!$R$10/1000</f>
        <v>2464.5204100000001</v>
      </c>
      <c r="F151" s="41">
        <f t="shared" si="24"/>
        <v>1.2994718602728874</v>
      </c>
      <c r="G151" s="44">
        <f>'[16]2018 Benchmarking Calculations'!$R$61/1000</f>
        <v>26.524000000000001</v>
      </c>
      <c r="H151" s="16">
        <f t="shared" si="26"/>
        <v>28.655999999999999</v>
      </c>
      <c r="I151" s="18">
        <f>'[16]2018 Benchmarking Calculations'!$R$57</f>
        <v>7022</v>
      </c>
      <c r="J151" s="18">
        <f>'[16]2018 Utility Characteristics'!$L$103</f>
        <v>156</v>
      </c>
      <c r="K151" s="18">
        <f>'[16]2018 Utility Characteristics'!$L$105</f>
        <v>78</v>
      </c>
      <c r="L151" s="19">
        <f>K151/J151</f>
        <v>0.5</v>
      </c>
      <c r="M151" s="9"/>
      <c r="N151" s="9"/>
    </row>
    <row r="152" spans="1:14" s="15" customFormat="1">
      <c r="A152" s="15" t="s">
        <v>33</v>
      </c>
      <c r="B152" s="15">
        <v>3057</v>
      </c>
      <c r="C152" s="43">
        <v>2019</v>
      </c>
      <c r="D152" s="15">
        <v>3</v>
      </c>
      <c r="E152" s="17">
        <f>'[17]2019 Benchmarking Calculations'!$R$10/1000</f>
        <v>2602.3169699999994</v>
      </c>
      <c r="F152" s="41">
        <f t="shared" si="24"/>
        <v>1.3352608354138498</v>
      </c>
      <c r="G152" s="44">
        <f>'[17]2019 Benchmarking Calculations'!$R$61/1000</f>
        <v>24.218</v>
      </c>
      <c r="H152" s="16">
        <f t="shared" si="26"/>
        <v>28.655999999999999</v>
      </c>
      <c r="I152" s="18">
        <f>'[17]2019 Benchmarking Calculations'!$R$57</f>
        <v>7156</v>
      </c>
      <c r="J152" s="18">
        <f>'[17]2019 Utility Characteristics'!$L$16+'[17]2019 Utility Characteristics'!$L$18</f>
        <v>159</v>
      </c>
      <c r="K152" s="18">
        <f>'[17]2019 Utility Characteristics'!$L$18</f>
        <v>81</v>
      </c>
      <c r="L152" s="19">
        <f>K152/J152</f>
        <v>0.50943396226415094</v>
      </c>
      <c r="M152" s="9"/>
      <c r="N152" s="9"/>
    </row>
    <row r="153" spans="1:14">
      <c r="A153" s="15" t="str">
        <f>'[18]2. BM Database'!B105</f>
        <v>CHAPLEAU PUBLIC UTILITIES CORPORATION</v>
      </c>
      <c r="B153" s="15">
        <v>3072</v>
      </c>
      <c r="C153" s="43">
        <f>'[18]2. BM Database'!C105</f>
        <v>2005</v>
      </c>
      <c r="D153" s="15">
        <v>3</v>
      </c>
      <c r="E153" s="17">
        <f>'[18]2. BM Database'!F105/1000</f>
        <v>521.65818999999999</v>
      </c>
      <c r="F153" s="41">
        <f t="shared" ref="F153:F167" si="27">F138</f>
        <v>1</v>
      </c>
      <c r="G153" s="44">
        <f>'[18]2. BM Database'!P105/1000</f>
        <v>7.6909999999999998</v>
      </c>
      <c r="H153" s="16">
        <f>G153</f>
        <v>7.6909999999999998</v>
      </c>
      <c r="I153" s="18">
        <f>'[18]2. BM Database'!L105</f>
        <v>1353</v>
      </c>
      <c r="J153" s="18">
        <f>'[18]2. BM Database'!R105</f>
        <v>27</v>
      </c>
      <c r="K153" s="18">
        <f t="shared" ref="K153:K164" si="28">J153*L153</f>
        <v>1</v>
      </c>
      <c r="L153" s="19">
        <f>'[18]2. BM Database'!T105</f>
        <v>3.7037037037037035E-2</v>
      </c>
      <c r="M153" s="9"/>
      <c r="N153" s="9"/>
    </row>
    <row r="154" spans="1:14">
      <c r="A154" s="15" t="str">
        <f>'[18]2. BM Database'!B106</f>
        <v>CHAPLEAU PUBLIC UTILITIES CORPORATION</v>
      </c>
      <c r="B154" s="15">
        <v>3072</v>
      </c>
      <c r="C154" s="43">
        <f>'[18]2. BM Database'!C106</f>
        <v>2006</v>
      </c>
      <c r="D154" s="15">
        <v>3</v>
      </c>
      <c r="E154" s="17">
        <f>'[18]2. BM Database'!F106/1000</f>
        <v>474.00923999999998</v>
      </c>
      <c r="F154" s="41">
        <f t="shared" si="27"/>
        <v>1.0181607380073696</v>
      </c>
      <c r="G154" s="44">
        <f>'[18]2. BM Database'!P106/1000</f>
        <v>8.8789999999999996</v>
      </c>
      <c r="H154" s="16">
        <f>MAX(G154,H153)</f>
        <v>8.8789999999999996</v>
      </c>
      <c r="I154" s="18">
        <f>'[18]2. BM Database'!L106</f>
        <v>1316</v>
      </c>
      <c r="J154" s="18">
        <f>'[18]2. BM Database'!R106</f>
        <v>27</v>
      </c>
      <c r="K154" s="18">
        <f t="shared" si="28"/>
        <v>1</v>
      </c>
      <c r="L154" s="19">
        <f>'[18]2. BM Database'!T106</f>
        <v>3.7037037037037035E-2</v>
      </c>
      <c r="M154" s="9"/>
      <c r="N154" s="9"/>
    </row>
    <row r="155" spans="1:14">
      <c r="A155" s="15" t="str">
        <f>'[18]2. BM Database'!B107</f>
        <v>CHAPLEAU PUBLIC UTILITIES CORPORATION</v>
      </c>
      <c r="B155" s="15">
        <v>3072</v>
      </c>
      <c r="C155" s="43">
        <f>'[18]2. BM Database'!C107</f>
        <v>2007</v>
      </c>
      <c r="D155" s="15">
        <v>3</v>
      </c>
      <c r="E155" s="17">
        <f>'[18]2. BM Database'!F107/1000</f>
        <v>627.18365999999992</v>
      </c>
      <c r="F155" s="41">
        <f t="shared" si="27"/>
        <v>1.0531931014872313</v>
      </c>
      <c r="G155" s="44">
        <f>'[18]2. BM Database'!P107/1000</f>
        <v>7.0579999999999998</v>
      </c>
      <c r="H155" s="16">
        <f t="shared" ref="H155:H167" si="29">MAX(G155,H154)</f>
        <v>8.8789999999999996</v>
      </c>
      <c r="I155" s="18">
        <f>'[18]2. BM Database'!L107</f>
        <v>1338</v>
      </c>
      <c r="J155" s="18">
        <f>'[18]2. BM Database'!R107</f>
        <v>27</v>
      </c>
      <c r="K155" s="18">
        <f t="shared" si="28"/>
        <v>1</v>
      </c>
      <c r="L155" s="19">
        <f>'[18]2. BM Database'!T107</f>
        <v>3.7037037037037035E-2</v>
      </c>
      <c r="M155" s="9"/>
      <c r="N155" s="9"/>
    </row>
    <row r="156" spans="1:14">
      <c r="A156" s="15" t="str">
        <f>'[18]2. BM Database'!B108</f>
        <v>CHAPLEAU PUBLIC UTILITIES CORPORATION</v>
      </c>
      <c r="B156" s="15">
        <v>3072</v>
      </c>
      <c r="C156" s="43">
        <f>'[18]2. BM Database'!C108</f>
        <v>2008</v>
      </c>
      <c r="D156" s="15">
        <v>3</v>
      </c>
      <c r="E156" s="17">
        <f>'[18]2. BM Database'!F108/1000</f>
        <v>580.66664000000003</v>
      </c>
      <c r="F156" s="41">
        <f t="shared" si="27"/>
        <v>1.078564603993923</v>
      </c>
      <c r="G156" s="44">
        <f>'[18]2. BM Database'!P108/1000</f>
        <v>6.7030000000000003</v>
      </c>
      <c r="H156" s="16">
        <f t="shared" si="29"/>
        <v>8.8789999999999996</v>
      </c>
      <c r="I156" s="18">
        <f>'[18]2. BM Database'!L108</f>
        <v>1335</v>
      </c>
      <c r="J156" s="18">
        <f>'[18]2. BM Database'!R108</f>
        <v>27</v>
      </c>
      <c r="K156" s="18">
        <f t="shared" si="28"/>
        <v>1</v>
      </c>
      <c r="L156" s="19">
        <f>'[18]2. BM Database'!T108</f>
        <v>3.7037037037037035E-2</v>
      </c>
      <c r="M156" s="9"/>
      <c r="N156" s="9"/>
    </row>
    <row r="157" spans="1:14">
      <c r="A157" s="15" t="str">
        <f>'[18]2. BM Database'!B109</f>
        <v>CHAPLEAU PUBLIC UTILITIES CORPORATION</v>
      </c>
      <c r="B157" s="15">
        <v>3072</v>
      </c>
      <c r="C157" s="43">
        <f>'[18]2. BM Database'!C109</f>
        <v>2009</v>
      </c>
      <c r="D157" s="15">
        <v>3</v>
      </c>
      <c r="E157" s="17">
        <f>'[18]2. BM Database'!F109/1000</f>
        <v>483.67136999999997</v>
      </c>
      <c r="F157" s="41">
        <f t="shared" si="27"/>
        <v>1.0915070880241431</v>
      </c>
      <c r="G157" s="44">
        <f>'[18]2. BM Database'!P109/1000</f>
        <v>7.3650000000000002</v>
      </c>
      <c r="H157" s="16">
        <f t="shared" si="29"/>
        <v>8.8789999999999996</v>
      </c>
      <c r="I157" s="18">
        <f>'[18]2. BM Database'!L109</f>
        <v>1320</v>
      </c>
      <c r="J157" s="18">
        <f>'[18]2. BM Database'!R109</f>
        <v>27</v>
      </c>
      <c r="K157" s="18">
        <f t="shared" si="28"/>
        <v>1</v>
      </c>
      <c r="L157" s="19">
        <f>'[18]2. BM Database'!T109</f>
        <v>3.7037037037037035E-2</v>
      </c>
      <c r="M157" s="9"/>
      <c r="N157" s="9"/>
    </row>
    <row r="158" spans="1:14">
      <c r="A158" s="15" t="str">
        <f>'[18]2. BM Database'!B110</f>
        <v>CHAPLEAU PUBLIC UTILITIES CORPORATION</v>
      </c>
      <c r="B158" s="15">
        <v>3072</v>
      </c>
      <c r="C158" s="43">
        <f>'[18]2. BM Database'!C110</f>
        <v>2010</v>
      </c>
      <c r="D158" s="15">
        <v>3</v>
      </c>
      <c r="E158" s="17">
        <f>'[18]2. BM Database'!F110/1000</f>
        <v>538.99470999999994</v>
      </c>
      <c r="F158" s="41">
        <f t="shared" si="27"/>
        <v>1.1243125351578573</v>
      </c>
      <c r="G158" s="44">
        <f>'[18]2. BM Database'!P110/1000</f>
        <v>6.5309999999999997</v>
      </c>
      <c r="H158" s="16">
        <f t="shared" si="29"/>
        <v>8.8789999999999996</v>
      </c>
      <c r="I158" s="18">
        <f>'[18]2. BM Database'!L110</f>
        <v>1306</v>
      </c>
      <c r="J158" s="18">
        <f>'[18]2. BM Database'!R110</f>
        <v>27</v>
      </c>
      <c r="K158" s="18">
        <f t="shared" si="28"/>
        <v>1</v>
      </c>
      <c r="L158" s="19">
        <f>'[18]2. BM Database'!T110</f>
        <v>3.7037037037037035E-2</v>
      </c>
      <c r="M158" s="9"/>
      <c r="N158" s="9"/>
    </row>
    <row r="159" spans="1:14">
      <c r="A159" s="15" t="str">
        <f>'[18]2. BM Database'!B111</f>
        <v>CHAPLEAU PUBLIC UTILITIES CORPORATION</v>
      </c>
      <c r="B159" s="15">
        <v>3072</v>
      </c>
      <c r="C159" s="43">
        <f>'[18]2. BM Database'!C111</f>
        <v>2011</v>
      </c>
      <c r="D159" s="15">
        <v>3</v>
      </c>
      <c r="E159" s="17">
        <f>'[18]2. BM Database'!F111/1000</f>
        <v>531.71637999999996</v>
      </c>
      <c r="F159" s="41">
        <f t="shared" si="27"/>
        <v>1.1430978626415853</v>
      </c>
      <c r="G159" s="44">
        <f>'[18]2. BM Database'!P111/1000</f>
        <v>6.6760000000000002</v>
      </c>
      <c r="H159" s="16">
        <f t="shared" si="29"/>
        <v>8.8789999999999996</v>
      </c>
      <c r="I159" s="18">
        <f>'[18]2. BM Database'!L111</f>
        <v>1293</v>
      </c>
      <c r="J159" s="18">
        <f>'[18]2. BM Database'!R111</f>
        <v>27</v>
      </c>
      <c r="K159" s="18">
        <f t="shared" si="28"/>
        <v>1</v>
      </c>
      <c r="L159" s="19">
        <f>'[18]2. BM Database'!T111</f>
        <v>3.7037037037037035E-2</v>
      </c>
      <c r="M159" s="9"/>
      <c r="N159" s="9"/>
    </row>
    <row r="160" spans="1:14">
      <c r="A160" s="15" t="str">
        <f>'[18]2. BM Database'!B112</f>
        <v>CHAPLEAU PUBLIC UTILITIES CORPORATION</v>
      </c>
      <c r="B160" s="15">
        <v>3072</v>
      </c>
      <c r="C160" s="43">
        <f>'[18]2. BM Database'!C112</f>
        <v>2012</v>
      </c>
      <c r="D160" s="15">
        <v>3</v>
      </c>
      <c r="E160" s="17">
        <f>'[18]2. BM Database'!F112/1000</f>
        <v>631.91904020000004</v>
      </c>
      <c r="F160" s="41">
        <f t="shared" si="27"/>
        <v>1.160126854517312</v>
      </c>
      <c r="G160" s="44">
        <f>'[18]2. BM Database'!P112/1000</f>
        <v>6.359</v>
      </c>
      <c r="H160" s="16">
        <f t="shared" si="29"/>
        <v>8.8789999999999996</v>
      </c>
      <c r="I160" s="18">
        <f>'[18]2. BM Database'!L112</f>
        <v>1275</v>
      </c>
      <c r="J160" s="18">
        <f>'[18]2. BM Database'!R112</f>
        <v>27</v>
      </c>
      <c r="K160" s="18">
        <f t="shared" si="28"/>
        <v>1</v>
      </c>
      <c r="L160" s="19">
        <f>'[18]2. BM Database'!T112</f>
        <v>3.7037037037037035E-2</v>
      </c>
      <c r="M160" s="9"/>
      <c r="N160" s="9"/>
    </row>
    <row r="161" spans="1:14" s="15" customFormat="1">
      <c r="A161" s="15" t="s">
        <v>34</v>
      </c>
      <c r="B161" s="15">
        <v>3072</v>
      </c>
      <c r="C161" s="43">
        <v>2013</v>
      </c>
      <c r="D161" s="15">
        <v>3</v>
      </c>
      <c r="E161" s="17">
        <f>HLOOKUP(A161,'[19]2013 Benchmarking Calculations'!$I$3:$CC$76,6,FALSE)/1000</f>
        <v>629.80187000000001</v>
      </c>
      <c r="F161" s="41">
        <f t="shared" si="27"/>
        <v>1.178602141578931</v>
      </c>
      <c r="G161" s="44">
        <f>HLOOKUP(A161,'[19]2013 Benchmarking Calculations'!$I$3:$CC$76,57,FALSE)/1000</f>
        <v>7.1189999999999998</v>
      </c>
      <c r="H161" s="16">
        <f t="shared" si="29"/>
        <v>8.8789999999999996</v>
      </c>
      <c r="I161" s="18">
        <f>HLOOKUP(A161,'[19]2013 Benchmarking Calculations'!$I$3:$CC$76,53,FALSE)</f>
        <v>1247</v>
      </c>
      <c r="J161" s="18">
        <f>HLOOKUP(A161,'[19]2013 Benchmarking Calculations'!$I$3:$CC$76,71,FALSE)</f>
        <v>27</v>
      </c>
      <c r="K161" s="18">
        <f t="shared" si="28"/>
        <v>1</v>
      </c>
      <c r="L161" s="19">
        <f>HLOOKUP(A161,'[19]2013 PBR data '!B$42:BV$68,15,FALSE)/HLOOKUP(A161,'[19]2013 PBR data '!B$42:BV$68,13,FALSE)</f>
        <v>3.7037037037037035E-2</v>
      </c>
      <c r="M161" s="9"/>
      <c r="N161" s="9"/>
    </row>
    <row r="162" spans="1:14" s="15" customFormat="1">
      <c r="A162" s="15" t="s">
        <v>34</v>
      </c>
      <c r="B162" s="15">
        <v>3072</v>
      </c>
      <c r="C162" s="43">
        <v>2014</v>
      </c>
      <c r="D162" s="15">
        <v>3</v>
      </c>
      <c r="E162" s="17">
        <f>VLOOKUP(A162,[20]Result!$B$12:$D$84,2,FALSE)/10^3</f>
        <v>712.90200000000004</v>
      </c>
      <c r="F162" s="41">
        <f t="shared" si="27"/>
        <v>1.2030671041042156</v>
      </c>
      <c r="G162" s="44">
        <f>VLOOKUP(A162,'[21]General transpose'!$A$1:$AF$73,26,FALSE)/10^3</f>
        <v>6.9909999999999997</v>
      </c>
      <c r="H162" s="16">
        <f t="shared" si="29"/>
        <v>8.8789999999999996</v>
      </c>
      <c r="I162" s="18">
        <f>VLOOKUP(A162,'[21]General transpose'!$A$1:$AF$73,8,FALSE)</f>
        <v>1235</v>
      </c>
      <c r="J162" s="18">
        <f>VLOOKUP(A162,'[21]General transpose'!$A$1:$AF$73,16,FALSE)</f>
        <v>27</v>
      </c>
      <c r="K162" s="18">
        <f t="shared" si="28"/>
        <v>1</v>
      </c>
      <c r="L162" s="19">
        <f>VLOOKUP(A162,'[21]General transpose'!$A$1:$AF$73,17,FALSE)</f>
        <v>3.7037037037037035E-2</v>
      </c>
      <c r="M162" s="9"/>
      <c r="N162" s="9"/>
    </row>
    <row r="163" spans="1:14" s="15" customFormat="1">
      <c r="A163" s="15" t="s">
        <v>34</v>
      </c>
      <c r="B163" s="15">
        <v>3072</v>
      </c>
      <c r="C163" s="43">
        <v>2015</v>
      </c>
      <c r="D163" s="15">
        <v>3</v>
      </c>
      <c r="E163" s="17">
        <f>VLOOKUP(A162,[20]Result!$B$12:$D$84,3,FALSE)/10^3</f>
        <v>709.66399999999999</v>
      </c>
      <c r="F163" s="41">
        <f t="shared" si="27"/>
        <v>1.2312762402864634</v>
      </c>
      <c r="G163" s="44">
        <f>VLOOKUP(A162,'[22]General transpose'!$A$1:$AF$73,26,FALSE)/10^3</f>
        <v>7.0289999999999999</v>
      </c>
      <c r="H163" s="16">
        <f t="shared" si="29"/>
        <v>8.8789999999999996</v>
      </c>
      <c r="I163" s="18">
        <f>VLOOKUP(A162,'[22]General transpose'!$A$1:$AF$73,8,FALSE)</f>
        <v>1229</v>
      </c>
      <c r="J163" s="18">
        <f>VLOOKUP(A162,'[22]General transpose'!$A$1:$AF$73,16,FALSE)</f>
        <v>27</v>
      </c>
      <c r="K163" s="18">
        <f t="shared" si="28"/>
        <v>1</v>
      </c>
      <c r="L163" s="19">
        <f>VLOOKUP(A162,'[22]General transpose'!$A$1:$AF$73,17,FALSE)</f>
        <v>3.7037037037037035E-2</v>
      </c>
      <c r="M163" s="9"/>
      <c r="N163" s="9"/>
    </row>
    <row r="164" spans="1:14" s="15" customFormat="1">
      <c r="A164" s="15" t="s">
        <v>34</v>
      </c>
      <c r="B164" s="15">
        <v>3072</v>
      </c>
      <c r="C164" s="43">
        <v>2016</v>
      </c>
      <c r="D164" s="15">
        <v>3</v>
      </c>
      <c r="E164" s="17">
        <f>'[14]2016 Benchmarking Calculations'!$R$8/1000</f>
        <v>735.27337</v>
      </c>
      <c r="F164" s="41">
        <f t="shared" si="27"/>
        <v>1.2455044937824149</v>
      </c>
      <c r="G164" s="44">
        <f>HLOOKUP(A164,[23]General!$A$1:$BQ$23,22,FALSE)/10^3</f>
        <v>6.0229999999999997</v>
      </c>
      <c r="H164" s="16">
        <f t="shared" si="29"/>
        <v>8.8789999999999996</v>
      </c>
      <c r="I164" s="18">
        <f>HLOOKUP(A164,[23]General!$A$1:$BQ$23,9,FALSE)</f>
        <v>1247</v>
      </c>
      <c r="J164" s="18">
        <f>HLOOKUP(A164,[23]General!$A$1:$BQ$23,17,FALSE)</f>
        <v>27</v>
      </c>
      <c r="K164" s="18">
        <f t="shared" si="28"/>
        <v>1</v>
      </c>
      <c r="L164" s="19">
        <f>HLOOKUP(A164,[23]General!$A$1:$BQ$23,18,FALSE)</f>
        <v>3.7037037037037035E-2</v>
      </c>
      <c r="M164" s="9"/>
      <c r="N164" s="9"/>
    </row>
    <row r="165" spans="1:14" s="15" customFormat="1">
      <c r="A165" s="15" t="s">
        <v>34</v>
      </c>
      <c r="B165" s="15">
        <v>3072</v>
      </c>
      <c r="C165" s="43">
        <v>2017</v>
      </c>
      <c r="D165" s="15">
        <v>3</v>
      </c>
      <c r="E165" s="17">
        <f>'[14]2017 Benchmarking Calculations'!$S$9/1000</f>
        <v>714.79432000000008</v>
      </c>
      <c r="F165" s="41">
        <f t="shared" si="27"/>
        <v>1.2674505553724562</v>
      </c>
      <c r="G165" s="44">
        <f>'[14]2017 Benchmarking Calculations'!$S$60/1000</f>
        <v>6.4889999999999999</v>
      </c>
      <c r="H165" s="16">
        <f t="shared" si="29"/>
        <v>8.8789999999999996</v>
      </c>
      <c r="I165" s="136">
        <f>'[16]2018 Revisions to 2017 Data'!$F$7</f>
        <v>1237</v>
      </c>
      <c r="J165" s="18">
        <f>'[14]2017 Utility Characteristics'!$K$79</f>
        <v>30</v>
      </c>
      <c r="K165" s="15">
        <f>'[14]2017 Utility Characteristics'!$K$81</f>
        <v>2</v>
      </c>
      <c r="L165" s="19">
        <f>K165/J165</f>
        <v>6.6666666666666666E-2</v>
      </c>
      <c r="M165" s="9"/>
      <c r="N165" s="9"/>
    </row>
    <row r="166" spans="1:14" s="15" customFormat="1">
      <c r="A166" s="15" t="s">
        <v>34</v>
      </c>
      <c r="B166" s="15">
        <v>3072</v>
      </c>
      <c r="C166" s="43">
        <v>2018</v>
      </c>
      <c r="D166" s="15">
        <v>3</v>
      </c>
      <c r="E166" s="17">
        <f>'[16]2018 Benchmarking Calculations'!$S$10/1000</f>
        <v>744.87169999999992</v>
      </c>
      <c r="F166" s="41">
        <f t="shared" si="27"/>
        <v>1.2994718602728874</v>
      </c>
      <c r="G166" s="44">
        <f>'[16]2018 Benchmarking Calculations'!$S$61/1000</f>
        <v>6.3540000000000001</v>
      </c>
      <c r="H166" s="16">
        <f t="shared" si="29"/>
        <v>8.8789999999999996</v>
      </c>
      <c r="I166" s="18">
        <f>'[16]2018 Benchmarking Calculations'!$S$57</f>
        <v>1208</v>
      </c>
      <c r="J166" s="18">
        <f>'[16]2018 Utility Characteristics'!$M$103</f>
        <v>30</v>
      </c>
      <c r="K166" s="18">
        <f>'[16]2018 Utility Characteristics'!$M$105</f>
        <v>2</v>
      </c>
      <c r="L166" s="19">
        <f>K166/J166</f>
        <v>6.6666666666666666E-2</v>
      </c>
      <c r="M166" s="9"/>
      <c r="N166" s="9"/>
    </row>
    <row r="167" spans="1:14" s="15" customFormat="1">
      <c r="A167" s="15" t="s">
        <v>34</v>
      </c>
      <c r="B167" s="15">
        <v>3072</v>
      </c>
      <c r="C167" s="43">
        <v>2019</v>
      </c>
      <c r="D167" s="15">
        <v>3</v>
      </c>
      <c r="E167" s="17">
        <f>'[17]2019 Benchmarking Calculations'!$S$10/1000</f>
        <v>819.04794000000004</v>
      </c>
      <c r="F167" s="41">
        <f t="shared" si="27"/>
        <v>1.3352608354138498</v>
      </c>
      <c r="G167" s="44">
        <f>'[17]2019 Benchmarking Calculations'!$S$61/1000</f>
        <v>7.1210000000000004</v>
      </c>
      <c r="H167" s="16">
        <f t="shared" si="29"/>
        <v>8.8789999999999996</v>
      </c>
      <c r="I167" s="18">
        <f>'[17]2019 Benchmarking Calculations'!$S$57</f>
        <v>1222</v>
      </c>
      <c r="J167" s="18">
        <f>'[17]2019 Utility Characteristics'!$M$16+'[17]2019 Utility Characteristics'!$M$18</f>
        <v>30</v>
      </c>
      <c r="K167" s="18">
        <f>'[17]2019 Utility Characteristics'!$M$18</f>
        <v>2</v>
      </c>
      <c r="L167" s="19">
        <f>K167/J167</f>
        <v>6.6666666666666666E-2</v>
      </c>
      <c r="M167" s="9"/>
      <c r="N167" s="9"/>
    </row>
    <row r="168" spans="1:14">
      <c r="A168" s="15" t="str">
        <f>'[18]2. BM Database'!B116</f>
        <v>COLLUS POWER CORPORATION</v>
      </c>
      <c r="B168" s="15">
        <v>3041</v>
      </c>
      <c r="C168" s="43">
        <f>'[18]2. BM Database'!C116</f>
        <v>2005</v>
      </c>
      <c r="D168" s="15">
        <v>3</v>
      </c>
      <c r="E168" s="17">
        <f>'[18]2. BM Database'!F116/1000</f>
        <v>2585.7979799999998</v>
      </c>
      <c r="F168" s="41">
        <f t="shared" ref="F168:F182" si="30">F153</f>
        <v>1</v>
      </c>
      <c r="G168" s="44">
        <f>'[18]2. BM Database'!P116/1000</f>
        <v>62.54</v>
      </c>
      <c r="H168" s="16">
        <f>G168</f>
        <v>62.54</v>
      </c>
      <c r="I168" s="18">
        <f>'[18]2. BM Database'!L116</f>
        <v>14124</v>
      </c>
      <c r="J168" s="18">
        <f>'[18]2. BM Database'!R116</f>
        <v>340</v>
      </c>
      <c r="K168" s="18">
        <f t="shared" ref="K168:K179" si="31">J168*L168</f>
        <v>110</v>
      </c>
      <c r="L168" s="19">
        <f>'[18]2. BM Database'!T116</f>
        <v>0.3235294117647059</v>
      </c>
      <c r="M168" s="9"/>
      <c r="N168" s="9"/>
    </row>
    <row r="169" spans="1:14">
      <c r="A169" s="15" t="str">
        <f>'[18]2. BM Database'!B117</f>
        <v>COLLUS POWER CORPORATION</v>
      </c>
      <c r="B169" s="15">
        <v>3041</v>
      </c>
      <c r="C169" s="43">
        <f>'[18]2. BM Database'!C117</f>
        <v>2006</v>
      </c>
      <c r="D169" s="15">
        <v>3</v>
      </c>
      <c r="E169" s="17">
        <f>'[18]2. BM Database'!F117/1000</f>
        <v>3162.4636499999997</v>
      </c>
      <c r="F169" s="41">
        <f t="shared" si="30"/>
        <v>1.0181607380073696</v>
      </c>
      <c r="G169" s="44">
        <f>'[18]2. BM Database'!P117/1000</f>
        <v>58.743000000000002</v>
      </c>
      <c r="H169" s="16">
        <f>MAX(G169,H168)</f>
        <v>62.54</v>
      </c>
      <c r="I169" s="18">
        <f>'[18]2. BM Database'!L117</f>
        <v>14300</v>
      </c>
      <c r="J169" s="18">
        <f>'[18]2. BM Database'!R117</f>
        <v>350</v>
      </c>
      <c r="K169" s="18">
        <f t="shared" si="31"/>
        <v>115</v>
      </c>
      <c r="L169" s="19">
        <f>'[18]2. BM Database'!T117</f>
        <v>0.32857142857142857</v>
      </c>
      <c r="M169" s="9"/>
      <c r="N169" s="9"/>
    </row>
    <row r="170" spans="1:14">
      <c r="A170" s="15" t="str">
        <f>'[18]2. BM Database'!B118</f>
        <v>COLLUS POWER CORPORATION</v>
      </c>
      <c r="B170" s="15">
        <v>3041</v>
      </c>
      <c r="C170" s="43">
        <f>'[18]2. BM Database'!C118</f>
        <v>2007</v>
      </c>
      <c r="D170" s="15">
        <v>3</v>
      </c>
      <c r="E170" s="17">
        <f>'[18]2. BM Database'!F118/1000</f>
        <v>3221.2389330000001</v>
      </c>
      <c r="F170" s="41">
        <f t="shared" si="30"/>
        <v>1.0531931014872313</v>
      </c>
      <c r="G170" s="44">
        <f>'[18]2. BM Database'!P118/1000</f>
        <v>62.290999999999997</v>
      </c>
      <c r="H170" s="16">
        <f t="shared" ref="H170:H182" si="32">MAX(G170,H169)</f>
        <v>62.54</v>
      </c>
      <c r="I170" s="18">
        <f>'[18]2. BM Database'!L118</f>
        <v>14325</v>
      </c>
      <c r="J170" s="18">
        <f>'[18]2. BM Database'!R118</f>
        <v>322</v>
      </c>
      <c r="K170" s="18">
        <f t="shared" si="31"/>
        <v>108.99999999999999</v>
      </c>
      <c r="L170" s="19">
        <f>'[18]2. BM Database'!T118</f>
        <v>0.33850931677018631</v>
      </c>
      <c r="M170" s="9"/>
      <c r="N170" s="9"/>
    </row>
    <row r="171" spans="1:14">
      <c r="A171" s="15" t="str">
        <f>'[18]2. BM Database'!B119</f>
        <v>COLLUS POWER CORPORATION</v>
      </c>
      <c r="B171" s="15">
        <v>3041</v>
      </c>
      <c r="C171" s="43">
        <f>'[18]2. BM Database'!C119</f>
        <v>2008</v>
      </c>
      <c r="D171" s="15">
        <v>3</v>
      </c>
      <c r="E171" s="17">
        <f>'[18]2. BM Database'!F119/1000</f>
        <v>3546.3053399999999</v>
      </c>
      <c r="F171" s="41">
        <f t="shared" si="30"/>
        <v>1.078564603993923</v>
      </c>
      <c r="G171" s="44">
        <f>'[18]2. BM Database'!P119/1000</f>
        <v>57.167999999999999</v>
      </c>
      <c r="H171" s="16">
        <f t="shared" si="32"/>
        <v>62.54</v>
      </c>
      <c r="I171" s="18">
        <f>'[18]2. BM Database'!L119</f>
        <v>14387</v>
      </c>
      <c r="J171" s="18">
        <f>'[18]2. BM Database'!R119</f>
        <v>327</v>
      </c>
      <c r="K171" s="18">
        <f t="shared" si="31"/>
        <v>113</v>
      </c>
      <c r="L171" s="19">
        <f>'[18]2. BM Database'!T119</f>
        <v>0.34556574923547401</v>
      </c>
      <c r="M171" s="9"/>
      <c r="N171" s="9"/>
    </row>
    <row r="172" spans="1:14">
      <c r="A172" s="15" t="str">
        <f>'[18]2. BM Database'!B120</f>
        <v>COLLUS POWER CORPORATION</v>
      </c>
      <c r="B172" s="15">
        <v>3041</v>
      </c>
      <c r="C172" s="43">
        <f>'[18]2. BM Database'!C120</f>
        <v>2009</v>
      </c>
      <c r="D172" s="15">
        <v>3</v>
      </c>
      <c r="E172" s="17">
        <f>'[18]2. BM Database'!F120/1000</f>
        <v>3866.11744</v>
      </c>
      <c r="F172" s="41">
        <f t="shared" si="30"/>
        <v>1.0915070880241431</v>
      </c>
      <c r="G172" s="44">
        <f>'[18]2. BM Database'!P120/1000</f>
        <v>59.167999999999999</v>
      </c>
      <c r="H172" s="16">
        <f t="shared" si="32"/>
        <v>62.54</v>
      </c>
      <c r="I172" s="18">
        <f>'[18]2. BM Database'!L120</f>
        <v>14878</v>
      </c>
      <c r="J172" s="18">
        <f>'[18]2. BM Database'!R120</f>
        <v>338</v>
      </c>
      <c r="K172" s="18">
        <f t="shared" si="31"/>
        <v>125</v>
      </c>
      <c r="L172" s="19">
        <f>'[18]2. BM Database'!T120</f>
        <v>0.36982248520710059</v>
      </c>
      <c r="M172" s="9"/>
      <c r="N172" s="9"/>
    </row>
    <row r="173" spans="1:14">
      <c r="A173" s="15" t="str">
        <f>'[18]2. BM Database'!B121</f>
        <v>COLLUS POWER CORPORATION</v>
      </c>
      <c r="B173" s="15">
        <v>3041</v>
      </c>
      <c r="C173" s="43">
        <f>'[18]2. BM Database'!C121</f>
        <v>2010</v>
      </c>
      <c r="D173" s="15">
        <v>3</v>
      </c>
      <c r="E173" s="17">
        <f>'[18]2. BM Database'!F121/1000</f>
        <v>3925.5985000000001</v>
      </c>
      <c r="F173" s="41">
        <f t="shared" si="30"/>
        <v>1.1243125351578573</v>
      </c>
      <c r="G173" s="44">
        <f>'[18]2. BM Database'!P121/1000</f>
        <v>57.125</v>
      </c>
      <c r="H173" s="16">
        <f t="shared" si="32"/>
        <v>62.54</v>
      </c>
      <c r="I173" s="18">
        <f>'[18]2. BM Database'!L121</f>
        <v>15533</v>
      </c>
      <c r="J173" s="18">
        <f>'[18]2. BM Database'!R121</f>
        <v>339</v>
      </c>
      <c r="K173" s="18">
        <f t="shared" si="31"/>
        <v>128</v>
      </c>
      <c r="L173" s="19">
        <f>'[18]2. BM Database'!T121</f>
        <v>0.3775811209439528</v>
      </c>
      <c r="M173" s="9"/>
      <c r="N173" s="9"/>
    </row>
    <row r="174" spans="1:14">
      <c r="A174" s="15" t="str">
        <f>'[18]2. BM Database'!B122</f>
        <v>COLLUS POWER CORPORATION</v>
      </c>
      <c r="B174" s="15">
        <v>3041</v>
      </c>
      <c r="C174" s="43">
        <f>'[18]2. BM Database'!C122</f>
        <v>2011</v>
      </c>
      <c r="D174" s="15">
        <v>3</v>
      </c>
      <c r="E174" s="17">
        <f>'[18]2. BM Database'!F122/1000</f>
        <v>4064.3485799999999</v>
      </c>
      <c r="F174" s="41">
        <f t="shared" si="30"/>
        <v>1.1430978626415853</v>
      </c>
      <c r="G174" s="44">
        <f>'[18]2. BM Database'!P122/1000</f>
        <v>58.755000000000003</v>
      </c>
      <c r="H174" s="16">
        <f t="shared" si="32"/>
        <v>62.54</v>
      </c>
      <c r="I174" s="18">
        <f>'[18]2. BM Database'!L122</f>
        <v>15723</v>
      </c>
      <c r="J174" s="18">
        <f>'[18]2. BM Database'!R122</f>
        <v>339</v>
      </c>
      <c r="K174" s="18">
        <f t="shared" si="31"/>
        <v>132</v>
      </c>
      <c r="L174" s="19">
        <f>'[18]2. BM Database'!T122</f>
        <v>0.38938053097345132</v>
      </c>
      <c r="M174" s="9"/>
      <c r="N174" s="9"/>
    </row>
    <row r="175" spans="1:14">
      <c r="A175" s="15" t="str">
        <f>'[18]2. BM Database'!B123</f>
        <v>COLLUS POWER CORPORATION</v>
      </c>
      <c r="B175" s="15">
        <v>3041</v>
      </c>
      <c r="C175" s="43">
        <f>'[18]2. BM Database'!C123</f>
        <v>2012</v>
      </c>
      <c r="D175" s="15">
        <v>3</v>
      </c>
      <c r="E175" s="17">
        <f>'[18]2. BM Database'!F123/1000</f>
        <v>4546.5393312999986</v>
      </c>
      <c r="F175" s="41">
        <f t="shared" si="30"/>
        <v>1.160126854517312</v>
      </c>
      <c r="G175" s="44">
        <f>'[18]2. BM Database'!P123/1000</f>
        <v>56.537999999999997</v>
      </c>
      <c r="H175" s="16">
        <f t="shared" si="32"/>
        <v>62.54</v>
      </c>
      <c r="I175" s="18">
        <f>'[18]2. BM Database'!L123</f>
        <v>15716</v>
      </c>
      <c r="J175" s="18">
        <f>'[18]2. BM Database'!R123</f>
        <v>344</v>
      </c>
      <c r="K175" s="18">
        <f t="shared" si="31"/>
        <v>133</v>
      </c>
      <c r="L175" s="19">
        <f>'[18]2. BM Database'!T123</f>
        <v>0.38662790697674421</v>
      </c>
      <c r="M175" s="9"/>
      <c r="N175" s="9"/>
    </row>
    <row r="176" spans="1:14" s="15" customFormat="1">
      <c r="A176" s="15" t="s">
        <v>96</v>
      </c>
      <c r="B176" s="15">
        <v>3041</v>
      </c>
      <c r="C176" s="43">
        <v>2013</v>
      </c>
      <c r="D176" s="15">
        <v>3</v>
      </c>
      <c r="E176" s="17">
        <f>HLOOKUP(A176,'[19]2013 Benchmarking Calculations'!$I$3:$CC$76,6,FALSE)/1000</f>
        <v>4438.3512799999999</v>
      </c>
      <c r="F176" s="41">
        <f t="shared" si="30"/>
        <v>1.178602141578931</v>
      </c>
      <c r="G176" s="44">
        <f>HLOOKUP(A176,'[19]2013 Benchmarking Calculations'!$I$3:$CC$76,57,FALSE)/1000</f>
        <v>54.496000000000002</v>
      </c>
      <c r="H176" s="16">
        <f t="shared" si="32"/>
        <v>62.54</v>
      </c>
      <c r="I176" s="18">
        <f>HLOOKUP(A176,'[19]2013 Benchmarking Calculations'!$I$3:$CC$76,53,FALSE)</f>
        <v>16260</v>
      </c>
      <c r="J176" s="18">
        <f>HLOOKUP(A176,'[19]2013 Benchmarking Calculations'!$I$3:$CC$76,71,FALSE)</f>
        <v>341</v>
      </c>
      <c r="K176" s="18">
        <f t="shared" si="31"/>
        <v>134</v>
      </c>
      <c r="L176" s="19">
        <f>HLOOKUP(A176,'[19]2013 PBR data '!B$42:BV$68,15,FALSE)/HLOOKUP(A176,'[19]2013 PBR data '!B$42:BV$68,13,FALSE)</f>
        <v>0.39296187683284456</v>
      </c>
      <c r="M176" s="9"/>
      <c r="N176" s="9"/>
    </row>
    <row r="177" spans="1:14" s="15" customFormat="1">
      <c r="A177" s="15" t="s">
        <v>96</v>
      </c>
      <c r="B177" s="15">
        <v>3041</v>
      </c>
      <c r="C177" s="43">
        <v>2014</v>
      </c>
      <c r="D177" s="15">
        <v>3</v>
      </c>
      <c r="E177" s="17">
        <f>[20]Result!$C$22/1000</f>
        <v>4574.7889999999998</v>
      </c>
      <c r="F177" s="41">
        <f t="shared" si="30"/>
        <v>1.2030671041042156</v>
      </c>
      <c r="G177" s="44">
        <f>VLOOKUP(A177,'[21]General transpose'!$A$1:$AF$73,26,FALSE)/10^3</f>
        <v>56.808999999999997</v>
      </c>
      <c r="H177" s="16">
        <f t="shared" si="32"/>
        <v>62.54</v>
      </c>
      <c r="I177" s="18">
        <f>VLOOKUP(A177,'[21]General transpose'!$A$1:$AF$73,8,FALSE)</f>
        <v>16426</v>
      </c>
      <c r="J177" s="18">
        <f>VLOOKUP(A177,'[21]General transpose'!$A$1:$AF$73,16,FALSE)</f>
        <v>347</v>
      </c>
      <c r="K177" s="18">
        <f t="shared" si="31"/>
        <v>134</v>
      </c>
      <c r="L177" s="19">
        <f>VLOOKUP(A177,'[21]General transpose'!$A$1:$AF$73,17,FALSE)</f>
        <v>0.3861671469740634</v>
      </c>
      <c r="M177" s="9"/>
      <c r="N177" s="9"/>
    </row>
    <row r="178" spans="1:14" s="15" customFormat="1">
      <c r="A178" s="15" t="s">
        <v>96</v>
      </c>
      <c r="B178" s="15">
        <v>3041</v>
      </c>
      <c r="C178" s="43">
        <v>2015</v>
      </c>
      <c r="D178" s="15">
        <v>3</v>
      </c>
      <c r="E178" s="17">
        <f>[20]Result!$D$22/1000</f>
        <v>4712.0429999999997</v>
      </c>
      <c r="F178" s="41">
        <f t="shared" si="30"/>
        <v>1.2312762402864634</v>
      </c>
      <c r="G178" s="44">
        <f>VLOOKUP(A177,'[22]General transpose'!$A$1:$AF$73,26,FALSE)/10^3</f>
        <v>58.082000000000001</v>
      </c>
      <c r="H178" s="16">
        <f t="shared" si="32"/>
        <v>62.54</v>
      </c>
      <c r="I178" s="18">
        <f>VLOOKUP(A177,'[22]General transpose'!$A$1:$AF$73,8,FALSE)</f>
        <v>16583</v>
      </c>
      <c r="J178" s="18">
        <f>VLOOKUP(A177,'[22]General transpose'!$A$1:$AF$73,16,FALSE)</f>
        <v>354</v>
      </c>
      <c r="K178" s="18">
        <f t="shared" si="31"/>
        <v>135</v>
      </c>
      <c r="L178" s="19">
        <f>VLOOKUP(A177,'[22]General transpose'!$A$1:$AF$73,17,FALSE)</f>
        <v>0.38135593220338981</v>
      </c>
      <c r="M178" s="9"/>
      <c r="N178" s="9"/>
    </row>
    <row r="179" spans="1:14" s="15" customFormat="1">
      <c r="A179" s="15" t="s">
        <v>96</v>
      </c>
      <c r="B179" s="15">
        <v>3041</v>
      </c>
      <c r="C179" s="43">
        <v>2016</v>
      </c>
      <c r="D179" s="15">
        <v>3</v>
      </c>
      <c r="E179" s="17">
        <f>'[14]2016 Benchmarking Calculations'!$S$8/1000</f>
        <v>4888.1985899999991</v>
      </c>
      <c r="F179" s="41">
        <f t="shared" si="30"/>
        <v>1.2455044937824149</v>
      </c>
      <c r="G179" s="44">
        <f>HLOOKUP(A179,[23]General!$A$1:$BQ$23,22,FALSE)/10^3</f>
        <v>57.280999999999999</v>
      </c>
      <c r="H179" s="16">
        <f t="shared" si="32"/>
        <v>62.54</v>
      </c>
      <c r="I179" s="18">
        <f>HLOOKUP(A179,[23]General!$A$1:$BQ$23,9,FALSE)</f>
        <v>16864</v>
      </c>
      <c r="J179" s="18">
        <f>HLOOKUP(A179,[23]General!$A$1:$BQ$23,17,FALSE)</f>
        <v>350</v>
      </c>
      <c r="K179" s="18">
        <f t="shared" si="31"/>
        <v>140</v>
      </c>
      <c r="L179" s="19">
        <f>HLOOKUP(A179,[23]General!$A$1:$BQ$23,18,FALSE)</f>
        <v>0.4</v>
      </c>
      <c r="M179" s="9"/>
      <c r="N179" s="9"/>
    </row>
    <row r="180" spans="1:14" s="15" customFormat="1">
      <c r="A180" s="15" t="s">
        <v>96</v>
      </c>
      <c r="B180" s="15">
        <v>3041</v>
      </c>
      <c r="C180" s="43">
        <v>2017</v>
      </c>
      <c r="D180" s="15">
        <v>3</v>
      </c>
      <c r="E180" s="17">
        <f>'[14]2017 Benchmarking Calculations'!$T$9/1000</f>
        <v>4564.2672000000002</v>
      </c>
      <c r="F180" s="41">
        <f t="shared" si="30"/>
        <v>1.2674505553724562</v>
      </c>
      <c r="G180" s="44">
        <f>'[14]2017 Benchmarking Calculations'!$T$60/1000</f>
        <v>51.563000000000002</v>
      </c>
      <c r="H180" s="16">
        <f t="shared" si="32"/>
        <v>62.54</v>
      </c>
      <c r="I180" s="18">
        <f>'[14]2017 Benchmarking Calculations'!$T$56</f>
        <v>17172</v>
      </c>
      <c r="J180" s="18">
        <f>'[14]2017 Utility Characteristics'!$L$79</f>
        <v>347</v>
      </c>
      <c r="K180" s="15">
        <f>'[14]2017 Utility Characteristics'!$L$81</f>
        <v>136</v>
      </c>
      <c r="L180" s="19">
        <f>K180/J180</f>
        <v>0.39193083573487031</v>
      </c>
      <c r="M180" s="9"/>
      <c r="N180" s="9"/>
    </row>
    <row r="181" spans="1:14" s="15" customFormat="1">
      <c r="A181" s="15" t="s">
        <v>390</v>
      </c>
      <c r="B181" s="15">
        <v>3041</v>
      </c>
      <c r="C181" s="43">
        <v>2018</v>
      </c>
      <c r="D181" s="15">
        <v>3</v>
      </c>
      <c r="E181" s="17">
        <f>'[16]2018 Benchmarking Calculations'!$T$10/1000</f>
        <v>4816.1021800000008</v>
      </c>
      <c r="F181" s="41">
        <f t="shared" si="30"/>
        <v>1.2994718602728874</v>
      </c>
      <c r="G181" s="44">
        <f>'[16]2018 Benchmarking Calculations'!$T$61/1000</f>
        <v>55.378999999999998</v>
      </c>
      <c r="H181" s="16">
        <f t="shared" si="32"/>
        <v>62.54</v>
      </c>
      <c r="I181" s="18">
        <f>'[16]2018 Benchmarking Calculations'!$T$57</f>
        <v>17408</v>
      </c>
      <c r="J181" s="18">
        <f>'[16]2018 Utility Characteristics'!$N$103</f>
        <v>362</v>
      </c>
      <c r="K181" s="18">
        <f>'[16]2018 Utility Characteristics'!$N$105</f>
        <v>151</v>
      </c>
      <c r="L181" s="19">
        <f>K181/J181</f>
        <v>0.41712707182320441</v>
      </c>
      <c r="M181" s="9"/>
      <c r="N181" s="9"/>
    </row>
    <row r="182" spans="1:14" s="15" customFormat="1">
      <c r="A182" s="15" t="s">
        <v>390</v>
      </c>
      <c r="B182" s="15">
        <v>3041</v>
      </c>
      <c r="C182" s="43">
        <v>2019</v>
      </c>
      <c r="D182" s="15">
        <v>3</v>
      </c>
      <c r="E182" s="17">
        <f>'[17]2019 Benchmarking Calculations'!$T$10/1000</f>
        <v>6529.8829100000003</v>
      </c>
      <c r="F182" s="41">
        <f t="shared" si="30"/>
        <v>1.3352608354138498</v>
      </c>
      <c r="G182" s="44">
        <f>'[17]2019 Benchmarking Calculations'!$T$61/1000</f>
        <v>56.139000000000003</v>
      </c>
      <c r="H182" s="16">
        <f t="shared" si="32"/>
        <v>62.54</v>
      </c>
      <c r="I182" s="18">
        <f>'[17]2019 Benchmarking Calculations'!$T$57</f>
        <v>17916</v>
      </c>
      <c r="J182" s="18">
        <f>'[17]2019 Utility Characteristics'!$N$16+'[17]2019 Utility Characteristics'!$N$18</f>
        <v>371</v>
      </c>
      <c r="K182" s="18">
        <f>'[17]2019 Utility Characteristics'!$N$18</f>
        <v>161</v>
      </c>
      <c r="L182" s="19">
        <f>K182/J182</f>
        <v>0.43396226415094341</v>
      </c>
      <c r="M182" s="9"/>
      <c r="N182" s="9"/>
    </row>
    <row r="183" spans="1:14">
      <c r="A183" s="15" t="str">
        <f>'[18]2. BM Database'!B127</f>
        <v>COOPERATIVE HYDRO EMBRUN INC.</v>
      </c>
      <c r="B183" s="15">
        <v>3070</v>
      </c>
      <c r="C183" s="43">
        <f>'[18]2. BM Database'!C127</f>
        <v>2005</v>
      </c>
      <c r="D183" s="15">
        <v>3</v>
      </c>
      <c r="E183" s="17">
        <f>'[18]2. BM Database'!F127/1000</f>
        <v>356.1232</v>
      </c>
      <c r="F183" s="41">
        <f t="shared" ref="F183:F197" si="33">F168</f>
        <v>1</v>
      </c>
      <c r="G183" s="44">
        <f>'[18]2. BM Database'!P127/1000</f>
        <v>6.6239999999999997</v>
      </c>
      <c r="H183" s="16">
        <f>G183</f>
        <v>6.6239999999999997</v>
      </c>
      <c r="I183" s="18">
        <f>'[18]2. BM Database'!L127</f>
        <v>1791</v>
      </c>
      <c r="J183" s="18">
        <f>'[18]2. BM Database'!R127</f>
        <v>28</v>
      </c>
      <c r="K183" s="18">
        <f t="shared" ref="K183:K194" si="34">J183*L183</f>
        <v>12</v>
      </c>
      <c r="L183" s="19">
        <f>'[18]2. BM Database'!T127</f>
        <v>0.42857142857142855</v>
      </c>
      <c r="M183" s="9"/>
      <c r="N183" s="9"/>
    </row>
    <row r="184" spans="1:14">
      <c r="A184" s="15" t="str">
        <f>'[18]2. BM Database'!B128</f>
        <v>COOPERATIVE HYDRO EMBRUN INC.</v>
      </c>
      <c r="B184" s="15">
        <v>3070</v>
      </c>
      <c r="C184" s="43">
        <f>'[18]2. BM Database'!C128</f>
        <v>2006</v>
      </c>
      <c r="D184" s="15">
        <v>3</v>
      </c>
      <c r="E184" s="17">
        <f>'[18]2. BM Database'!F128/1000</f>
        <v>361.83847000000003</v>
      </c>
      <c r="F184" s="41">
        <f t="shared" si="33"/>
        <v>1.0181607380073696</v>
      </c>
      <c r="G184" s="44">
        <f>'[18]2. BM Database'!P128/1000</f>
        <v>6.2859999999999996</v>
      </c>
      <c r="H184" s="16">
        <f>MAX(G184,H183)</f>
        <v>6.6239999999999997</v>
      </c>
      <c r="I184" s="18">
        <f>'[18]2. BM Database'!L128</f>
        <v>1836</v>
      </c>
      <c r="J184" s="18">
        <f>'[18]2. BM Database'!R128</f>
        <v>28</v>
      </c>
      <c r="K184" s="18">
        <f t="shared" si="34"/>
        <v>12</v>
      </c>
      <c r="L184" s="19">
        <f>'[18]2. BM Database'!T128</f>
        <v>0.42857142857142855</v>
      </c>
      <c r="M184" s="9"/>
      <c r="N184" s="9"/>
    </row>
    <row r="185" spans="1:14">
      <c r="A185" s="15" t="str">
        <f>'[18]2. BM Database'!B129</f>
        <v>COOPERATIVE HYDRO EMBRUN INC.</v>
      </c>
      <c r="B185" s="15">
        <v>3070</v>
      </c>
      <c r="C185" s="43">
        <f>'[18]2. BM Database'!C129</f>
        <v>2007</v>
      </c>
      <c r="D185" s="15">
        <v>3</v>
      </c>
      <c r="E185" s="17">
        <f>'[18]2. BM Database'!F129/1000</f>
        <v>394.00213999999994</v>
      </c>
      <c r="F185" s="41">
        <f t="shared" si="33"/>
        <v>1.0531931014872313</v>
      </c>
      <c r="G185" s="44">
        <f>'[18]2. BM Database'!P129/1000</f>
        <v>7.0839999999999996</v>
      </c>
      <c r="H185" s="16">
        <f t="shared" ref="H185:H197" si="35">MAX(G185,H184)</f>
        <v>7.0839999999999996</v>
      </c>
      <c r="I185" s="18">
        <f>'[18]2. BM Database'!L129</f>
        <v>1882</v>
      </c>
      <c r="J185" s="18">
        <f>'[18]2. BM Database'!R129</f>
        <v>27</v>
      </c>
      <c r="K185" s="18">
        <f t="shared" si="34"/>
        <v>12</v>
      </c>
      <c r="L185" s="19">
        <f>'[18]2. BM Database'!T129</f>
        <v>0.44444444444444442</v>
      </c>
      <c r="M185" s="9"/>
      <c r="N185" s="9"/>
    </row>
    <row r="186" spans="1:14">
      <c r="A186" s="15" t="str">
        <f>'[18]2. BM Database'!B130</f>
        <v>COOPERATIVE HYDRO EMBRUN INC.</v>
      </c>
      <c r="B186" s="15">
        <v>3070</v>
      </c>
      <c r="C186" s="43">
        <f>'[18]2. BM Database'!C130</f>
        <v>2008</v>
      </c>
      <c r="D186" s="15">
        <v>3</v>
      </c>
      <c r="E186" s="17">
        <f>'[18]2. BM Database'!F130/1000</f>
        <v>404.63285999999999</v>
      </c>
      <c r="F186" s="41">
        <f t="shared" si="33"/>
        <v>1.078564603993923</v>
      </c>
      <c r="G186" s="44">
        <f>'[18]2. BM Database'!P130/1000</f>
        <v>6.9740000000000002</v>
      </c>
      <c r="H186" s="16">
        <f t="shared" si="35"/>
        <v>7.0839999999999996</v>
      </c>
      <c r="I186" s="18">
        <f>'[18]2. BM Database'!L130</f>
        <v>1936</v>
      </c>
      <c r="J186" s="18">
        <f>'[18]2. BM Database'!R130</f>
        <v>27</v>
      </c>
      <c r="K186" s="18">
        <f t="shared" si="34"/>
        <v>12</v>
      </c>
      <c r="L186" s="19">
        <f>'[18]2. BM Database'!T130</f>
        <v>0.44444444444444442</v>
      </c>
      <c r="M186" s="9"/>
      <c r="N186" s="9"/>
    </row>
    <row r="187" spans="1:14">
      <c r="A187" s="15" t="str">
        <f>'[18]2. BM Database'!B131</f>
        <v>COOPERATIVE HYDRO EMBRUN INC.</v>
      </c>
      <c r="B187" s="15">
        <v>3070</v>
      </c>
      <c r="C187" s="43">
        <f>'[18]2. BM Database'!C131</f>
        <v>2009</v>
      </c>
      <c r="D187" s="15">
        <v>3</v>
      </c>
      <c r="E187" s="17">
        <f>'[18]2. BM Database'!F131/1000</f>
        <v>412.43832000000009</v>
      </c>
      <c r="F187" s="41">
        <f t="shared" si="33"/>
        <v>1.0915070880241431</v>
      </c>
      <c r="G187" s="44">
        <f>'[18]2. BM Database'!P131/1000</f>
        <v>6.8620000000000001</v>
      </c>
      <c r="H187" s="16">
        <f t="shared" si="35"/>
        <v>7.0839999999999996</v>
      </c>
      <c r="I187" s="18">
        <f>'[18]2. BM Database'!L131</f>
        <v>1941</v>
      </c>
      <c r="J187" s="18">
        <f>'[18]2. BM Database'!R131</f>
        <v>27</v>
      </c>
      <c r="K187" s="18">
        <f t="shared" si="34"/>
        <v>12</v>
      </c>
      <c r="L187" s="19">
        <f>'[18]2. BM Database'!T131</f>
        <v>0.44444444444444442</v>
      </c>
      <c r="M187" s="9"/>
      <c r="N187" s="9"/>
    </row>
    <row r="188" spans="1:14">
      <c r="A188" s="15" t="str">
        <f>'[18]2. BM Database'!B132</f>
        <v>COOPERATIVE HYDRO EMBRUN INC.</v>
      </c>
      <c r="B188" s="15">
        <v>3070</v>
      </c>
      <c r="C188" s="43">
        <f>'[18]2. BM Database'!C132</f>
        <v>2010</v>
      </c>
      <c r="D188" s="15">
        <v>3</v>
      </c>
      <c r="E188" s="17">
        <f>'[18]2. BM Database'!F132/1000</f>
        <v>470.78059000000002</v>
      </c>
      <c r="F188" s="41">
        <f t="shared" si="33"/>
        <v>1.1243125351578573</v>
      </c>
      <c r="G188" s="44">
        <f>'[18]2. BM Database'!P132/1000</f>
        <v>6.8620000000000001</v>
      </c>
      <c r="H188" s="16">
        <f t="shared" si="35"/>
        <v>7.0839999999999996</v>
      </c>
      <c r="I188" s="18">
        <f>'[18]2. BM Database'!L132</f>
        <v>1958</v>
      </c>
      <c r="J188" s="18">
        <f>'[18]2. BM Database'!R132</f>
        <v>27</v>
      </c>
      <c r="K188" s="18">
        <f t="shared" si="34"/>
        <v>12</v>
      </c>
      <c r="L188" s="19">
        <f>'[18]2. BM Database'!T132</f>
        <v>0.44444444444444442</v>
      </c>
      <c r="M188" s="9"/>
      <c r="N188" s="9"/>
    </row>
    <row r="189" spans="1:14">
      <c r="A189" s="15" t="str">
        <f>'[18]2. BM Database'!B133</f>
        <v>COOPERATIVE HYDRO EMBRUN INC.</v>
      </c>
      <c r="B189" s="15">
        <v>3070</v>
      </c>
      <c r="C189" s="43">
        <f>'[18]2. BM Database'!C133</f>
        <v>2011</v>
      </c>
      <c r="D189" s="15">
        <v>3</v>
      </c>
      <c r="E189" s="17">
        <f>'[18]2. BM Database'!F133/1000</f>
        <v>535.73499000000004</v>
      </c>
      <c r="F189" s="41">
        <f t="shared" si="33"/>
        <v>1.1430978626415853</v>
      </c>
      <c r="G189" s="44">
        <f>'[18]2. BM Database'!P133/1000</f>
        <v>6.7439999999999998</v>
      </c>
      <c r="H189" s="16">
        <f t="shared" si="35"/>
        <v>7.0839999999999996</v>
      </c>
      <c r="I189" s="18">
        <f>'[18]2. BM Database'!L133</f>
        <v>1954</v>
      </c>
      <c r="J189" s="18">
        <f>'[18]2. BM Database'!R133</f>
        <v>27</v>
      </c>
      <c r="K189" s="18">
        <f t="shared" si="34"/>
        <v>12</v>
      </c>
      <c r="L189" s="19">
        <f>'[18]2. BM Database'!T133</f>
        <v>0.44444444444444442</v>
      </c>
      <c r="M189" s="9"/>
      <c r="N189" s="9"/>
    </row>
    <row r="190" spans="1:14">
      <c r="A190" s="15" t="str">
        <f>'[18]2. BM Database'!B134</f>
        <v>COOPERATIVE HYDRO EMBRUN INC.</v>
      </c>
      <c r="B190" s="15">
        <v>3070</v>
      </c>
      <c r="C190" s="43">
        <f>'[18]2. BM Database'!C134</f>
        <v>2012</v>
      </c>
      <c r="D190" s="15">
        <v>3</v>
      </c>
      <c r="E190" s="17">
        <f>'[18]2. BM Database'!F134/1000</f>
        <v>527.7308700000001</v>
      </c>
      <c r="F190" s="41">
        <f t="shared" si="33"/>
        <v>1.160126854517312</v>
      </c>
      <c r="G190" s="44">
        <f>'[18]2. BM Database'!P134/1000</f>
        <v>6.6070000000000002</v>
      </c>
      <c r="H190" s="16">
        <f t="shared" si="35"/>
        <v>7.0839999999999996</v>
      </c>
      <c r="I190" s="18">
        <f>'[18]2. BM Database'!L134</f>
        <v>1956</v>
      </c>
      <c r="J190" s="18">
        <f>'[18]2. BM Database'!R134</f>
        <v>27</v>
      </c>
      <c r="K190" s="18">
        <f t="shared" si="34"/>
        <v>12</v>
      </c>
      <c r="L190" s="19">
        <f>'[18]2. BM Database'!T134</f>
        <v>0.44444444444444442</v>
      </c>
      <c r="M190" s="9"/>
      <c r="N190" s="9"/>
    </row>
    <row r="191" spans="1:14" s="15" customFormat="1">
      <c r="A191" s="15" t="s">
        <v>35</v>
      </c>
      <c r="B191" s="15">
        <v>3070</v>
      </c>
      <c r="C191" s="43">
        <v>2013</v>
      </c>
      <c r="D191" s="15">
        <v>3</v>
      </c>
      <c r="E191" s="17">
        <f>HLOOKUP(A191,'[19]2013 Benchmarking Calculations'!$I$3:$CC$76,6,FALSE)/1000</f>
        <v>634.62457000000006</v>
      </c>
      <c r="F191" s="41">
        <f t="shared" si="33"/>
        <v>1.178602141578931</v>
      </c>
      <c r="G191" s="44">
        <f>HLOOKUP(A191,'[19]2013 Benchmarking Calculations'!$I$3:$CC$76,57,FALSE)/1000</f>
        <v>6.6840000000000002</v>
      </c>
      <c r="H191" s="16">
        <f t="shared" si="35"/>
        <v>7.0839999999999996</v>
      </c>
      <c r="I191" s="18">
        <f>HLOOKUP(A191,'[19]2013 Benchmarking Calculations'!$I$3:$CC$76,53,FALSE)</f>
        <v>1962</v>
      </c>
      <c r="J191" s="18">
        <f>HLOOKUP(A191,'[19]2013 Benchmarking Calculations'!$I$3:$CC$76,71,FALSE)</f>
        <v>28</v>
      </c>
      <c r="K191" s="18">
        <f t="shared" si="34"/>
        <v>12</v>
      </c>
      <c r="L191" s="19">
        <f>HLOOKUP(A191,'[19]2013 PBR data '!B$42:BV$68,15,FALSE)/HLOOKUP(A191,'[19]2013 PBR data '!B$42:BV$68,13,FALSE)</f>
        <v>0.42857142857142855</v>
      </c>
      <c r="M191" s="9"/>
      <c r="N191" s="9"/>
    </row>
    <row r="192" spans="1:14" s="15" customFormat="1">
      <c r="A192" s="15" t="s">
        <v>35</v>
      </c>
      <c r="B192" s="15">
        <v>3070</v>
      </c>
      <c r="C192" s="43">
        <v>2014</v>
      </c>
      <c r="D192" s="15">
        <v>3</v>
      </c>
      <c r="E192" s="17">
        <f>VLOOKUP(A192,[20]Result!$B$12:$D$84,2,FALSE)/10^3</f>
        <v>567.32500000000005</v>
      </c>
      <c r="F192" s="41">
        <f t="shared" si="33"/>
        <v>1.2030671041042156</v>
      </c>
      <c r="G192" s="44">
        <f>VLOOKUP(A192,'[21]General transpose'!$A$1:$AF$73,26,FALSE)/10^3</f>
        <v>6.8879999999999999</v>
      </c>
      <c r="H192" s="16">
        <f t="shared" si="35"/>
        <v>7.0839999999999996</v>
      </c>
      <c r="I192" s="18">
        <f>VLOOKUP(A192,'[21]General transpose'!$A$1:$AF$73,8,FALSE)</f>
        <v>1985</v>
      </c>
      <c r="J192" s="18">
        <f>VLOOKUP(A192,'[21]General transpose'!$A$1:$AF$73,16,FALSE)</f>
        <v>33</v>
      </c>
      <c r="K192" s="18">
        <f t="shared" si="34"/>
        <v>17</v>
      </c>
      <c r="L192" s="19">
        <f>VLOOKUP(A192,'[21]General transpose'!$A$1:$AF$73,17,FALSE)</f>
        <v>0.51515151515151514</v>
      </c>
      <c r="M192" s="9"/>
      <c r="N192" s="9"/>
    </row>
    <row r="193" spans="1:14" s="15" customFormat="1">
      <c r="A193" s="15" t="s">
        <v>35</v>
      </c>
      <c r="B193" s="15">
        <v>3070</v>
      </c>
      <c r="C193" s="43">
        <v>2015</v>
      </c>
      <c r="D193" s="15">
        <v>3</v>
      </c>
      <c r="E193" s="17">
        <f>VLOOKUP(A192,[20]Result!$B$12:$D$84,3,FALSE)/10^3</f>
        <v>613.27200000000005</v>
      </c>
      <c r="F193" s="41">
        <f t="shared" si="33"/>
        <v>1.2312762402864634</v>
      </c>
      <c r="G193" s="44">
        <f>VLOOKUP(A192,'[22]General transpose'!$A$1:$AF$73,26,FALSE)/10^3</f>
        <v>6.6349999999999998</v>
      </c>
      <c r="H193" s="16">
        <f t="shared" si="35"/>
        <v>7.0839999999999996</v>
      </c>
      <c r="I193" s="18">
        <f>VLOOKUP(A192,'[22]General transpose'!$A$1:$AF$73,8,FALSE)</f>
        <v>2059</v>
      </c>
      <c r="J193" s="18">
        <f>VLOOKUP(A192,'[22]General transpose'!$A$1:$AF$73,16,FALSE)</f>
        <v>36</v>
      </c>
      <c r="K193" s="18">
        <f t="shared" si="34"/>
        <v>19</v>
      </c>
      <c r="L193" s="19">
        <f>VLOOKUP(A192,'[22]General transpose'!$A$1:$AF$73,17,FALSE)</f>
        <v>0.52777777777777779</v>
      </c>
      <c r="M193" s="9"/>
      <c r="N193" s="9"/>
    </row>
    <row r="194" spans="1:14" s="15" customFormat="1">
      <c r="A194" s="15" t="s">
        <v>35</v>
      </c>
      <c r="B194" s="15">
        <v>3070</v>
      </c>
      <c r="C194" s="43">
        <v>2016</v>
      </c>
      <c r="D194" s="15">
        <v>3</v>
      </c>
      <c r="E194" s="17">
        <f>'[14]2016 Benchmarking Calculations'!$T$8/1000</f>
        <v>602.88082000000009</v>
      </c>
      <c r="F194" s="41">
        <f t="shared" si="33"/>
        <v>1.2455044937824149</v>
      </c>
      <c r="G194" s="44">
        <f>HLOOKUP(A194,[23]General!$A$1:$BQ$23,22,FALSE)/10^3</f>
        <v>6.4459999999999997</v>
      </c>
      <c r="H194" s="16">
        <f t="shared" si="35"/>
        <v>7.0839999999999996</v>
      </c>
      <c r="I194" s="18">
        <f>HLOOKUP(A194,[23]General!$A$1:$BQ$23,9,FALSE)</f>
        <v>2137</v>
      </c>
      <c r="J194" s="18">
        <f>HLOOKUP(A194,[23]General!$A$1:$BQ$23,17,FALSE)</f>
        <v>34</v>
      </c>
      <c r="K194" s="18">
        <f t="shared" si="34"/>
        <v>18</v>
      </c>
      <c r="L194" s="19">
        <f>HLOOKUP(A194,[23]General!$A$1:$BQ$23,18,FALSE)</f>
        <v>0.52941176470588236</v>
      </c>
      <c r="M194" s="9"/>
      <c r="N194" s="9"/>
    </row>
    <row r="195" spans="1:14" s="15" customFormat="1">
      <c r="A195" s="15" t="s">
        <v>35</v>
      </c>
      <c r="B195" s="15">
        <v>3070</v>
      </c>
      <c r="C195" s="43">
        <v>2017</v>
      </c>
      <c r="D195" s="15">
        <v>3</v>
      </c>
      <c r="E195" s="17">
        <f>'[14]2017 Benchmarking Calculations'!$U$9/1000</f>
        <v>666.86557999999991</v>
      </c>
      <c r="F195" s="41">
        <f t="shared" si="33"/>
        <v>1.2674505553724562</v>
      </c>
      <c r="G195" s="44">
        <f>'[14]2017 Benchmarking Calculations'!$U$60/1000</f>
        <v>6.5170000000000003</v>
      </c>
      <c r="H195" s="16">
        <f t="shared" si="35"/>
        <v>7.0839999999999996</v>
      </c>
      <c r="I195" s="18">
        <f>'[14]2017 Benchmarking Calculations'!$U$56</f>
        <v>2242</v>
      </c>
      <c r="J195" s="18">
        <f>'[14]2017 Utility Characteristics'!$M$79</f>
        <v>36</v>
      </c>
      <c r="K195" s="15">
        <f>'[14]2017 Utility Characteristics'!$M$81</f>
        <v>18</v>
      </c>
      <c r="L195" s="19">
        <f>K195/J195</f>
        <v>0.5</v>
      </c>
      <c r="M195" s="9"/>
      <c r="N195" s="9"/>
    </row>
    <row r="196" spans="1:14" s="15" customFormat="1">
      <c r="A196" s="15" t="s">
        <v>35</v>
      </c>
      <c r="B196" s="15">
        <v>3070</v>
      </c>
      <c r="C196" s="43">
        <v>2018</v>
      </c>
      <c r="D196" s="15">
        <v>3</v>
      </c>
      <c r="E196" s="17">
        <f>'[16]2018 Benchmarking Calculations'!$U$10/1000</f>
        <v>689.12633999999991</v>
      </c>
      <c r="F196" s="41">
        <f t="shared" si="33"/>
        <v>1.2994718602728874</v>
      </c>
      <c r="G196" s="44">
        <f>'[16]2018 Benchmarking Calculations'!$U$61/1000</f>
        <v>6.8579999999999997</v>
      </c>
      <c r="H196" s="16">
        <f t="shared" si="35"/>
        <v>7.0839999999999996</v>
      </c>
      <c r="I196" s="18">
        <f>'[16]2018 Benchmarking Calculations'!$U$57</f>
        <v>2305</v>
      </c>
      <c r="J196" s="18">
        <f>'[16]2018 Utility Characteristics'!$O$103</f>
        <v>36</v>
      </c>
      <c r="K196" s="18">
        <f>'[16]2018 Utility Characteristics'!$O$105</f>
        <v>18</v>
      </c>
      <c r="L196" s="19">
        <f>K196/J196</f>
        <v>0.5</v>
      </c>
      <c r="M196" s="9"/>
      <c r="N196" s="9"/>
    </row>
    <row r="197" spans="1:14" s="15" customFormat="1">
      <c r="A197" s="15" t="s">
        <v>35</v>
      </c>
      <c r="B197" s="15">
        <v>3070</v>
      </c>
      <c r="C197" s="43">
        <v>2019</v>
      </c>
      <c r="D197" s="15">
        <v>3</v>
      </c>
      <c r="E197" s="17">
        <f>'[17]2019 Benchmarking Calculations'!$U$10/1000</f>
        <v>691.10748999999998</v>
      </c>
      <c r="F197" s="41">
        <f t="shared" si="33"/>
        <v>1.3352608354138498</v>
      </c>
      <c r="G197" s="44">
        <f>'[17]2019 Benchmarking Calculations'!$U$61/1000</f>
        <v>6.4290000000000003</v>
      </c>
      <c r="H197" s="16">
        <f t="shared" si="35"/>
        <v>7.0839999999999996</v>
      </c>
      <c r="I197" s="18">
        <f>'[17]2019 Benchmarking Calculations'!$U$57</f>
        <v>2366</v>
      </c>
      <c r="J197" s="18">
        <f>'[17]2019 Utility Characteristics'!$O$16+'[17]2019 Utility Characteristics'!$O$18</f>
        <v>36</v>
      </c>
      <c r="K197" s="18">
        <f>'[17]2019 Utility Characteristics'!$O$18</f>
        <v>18</v>
      </c>
      <c r="L197" s="19">
        <f>K197/J197</f>
        <v>0.5</v>
      </c>
      <c r="M197" s="9"/>
      <c r="N197" s="9"/>
    </row>
    <row r="198" spans="1:14">
      <c r="A198" s="15" t="str">
        <f>'[18]2. BM Database'!B138</f>
        <v>E.L.K. ENERGY INC.</v>
      </c>
      <c r="B198" s="15">
        <v>3048</v>
      </c>
      <c r="C198" s="43">
        <f>'[18]2. BM Database'!C138</f>
        <v>2005</v>
      </c>
      <c r="D198" s="15">
        <v>3</v>
      </c>
      <c r="E198" s="17">
        <f>'[18]2. BM Database'!F138/1000</f>
        <v>1131.6761600000002</v>
      </c>
      <c r="F198" s="41">
        <f t="shared" ref="F198:F212" si="36">F183</f>
        <v>1</v>
      </c>
      <c r="G198" s="44">
        <f>'[18]2. BM Database'!P138/1000</f>
        <v>47.353999999999999</v>
      </c>
      <c r="H198" s="16">
        <f>G198</f>
        <v>47.353999999999999</v>
      </c>
      <c r="I198" s="18">
        <f>'[18]2. BM Database'!L138</f>
        <v>10555</v>
      </c>
      <c r="J198" s="18">
        <f>'[18]2. BM Database'!R138</f>
        <v>142</v>
      </c>
      <c r="K198" s="18">
        <f t="shared" ref="K198:K209" si="37">J198*L198</f>
        <v>52</v>
      </c>
      <c r="L198" s="19">
        <f>'[18]2. BM Database'!T138</f>
        <v>0.36619718309859156</v>
      </c>
      <c r="M198" s="9"/>
      <c r="N198" s="9"/>
    </row>
    <row r="199" spans="1:14">
      <c r="A199" s="15" t="str">
        <f>'[18]2. BM Database'!B139</f>
        <v>E.L.K. ENERGY INC.</v>
      </c>
      <c r="B199" s="15">
        <v>3048</v>
      </c>
      <c r="C199" s="43">
        <f>'[18]2. BM Database'!C139</f>
        <v>2006</v>
      </c>
      <c r="D199" s="15">
        <v>3</v>
      </c>
      <c r="E199" s="17">
        <f>'[18]2. BM Database'!F139/1000</f>
        <v>1836.4586900000002</v>
      </c>
      <c r="F199" s="41">
        <f t="shared" si="36"/>
        <v>1.0181607380073696</v>
      </c>
      <c r="G199" s="44">
        <f>'[18]2. BM Database'!P139/1000</f>
        <v>53.17</v>
      </c>
      <c r="H199" s="16">
        <f>MAX(G199,H198)</f>
        <v>53.17</v>
      </c>
      <c r="I199" s="18">
        <f>'[18]2. BM Database'!L139</f>
        <v>10626</v>
      </c>
      <c r="J199" s="18">
        <f>'[18]2. BM Database'!R139</f>
        <v>145</v>
      </c>
      <c r="K199" s="18">
        <f t="shared" si="37"/>
        <v>55</v>
      </c>
      <c r="L199" s="19">
        <f>'[18]2. BM Database'!T139</f>
        <v>0.37931034482758619</v>
      </c>
      <c r="M199" s="9"/>
      <c r="N199" s="9"/>
    </row>
    <row r="200" spans="1:14">
      <c r="A200" s="15" t="str">
        <f>'[18]2. BM Database'!B140</f>
        <v>E.L.K. ENERGY INC.</v>
      </c>
      <c r="B200" s="15">
        <v>3048</v>
      </c>
      <c r="C200" s="43">
        <f>'[18]2. BM Database'!C140</f>
        <v>2007</v>
      </c>
      <c r="D200" s="15">
        <v>3</v>
      </c>
      <c r="E200" s="17">
        <f>'[18]2. BM Database'!F140/1000</f>
        <v>2003.3608700000004</v>
      </c>
      <c r="F200" s="41">
        <f t="shared" si="36"/>
        <v>1.0531931014872313</v>
      </c>
      <c r="G200" s="44">
        <f>'[18]2. BM Database'!P140/1000</f>
        <v>61.744999999999997</v>
      </c>
      <c r="H200" s="16">
        <f t="shared" ref="H200:H212" si="38">MAX(G200,H199)</f>
        <v>61.744999999999997</v>
      </c>
      <c r="I200" s="18">
        <f>'[18]2. BM Database'!L140</f>
        <v>10719</v>
      </c>
      <c r="J200" s="18">
        <f>'[18]2. BM Database'!R140</f>
        <v>146</v>
      </c>
      <c r="K200" s="18">
        <f t="shared" si="37"/>
        <v>56</v>
      </c>
      <c r="L200" s="19">
        <f>'[18]2. BM Database'!T140</f>
        <v>0.38356164383561642</v>
      </c>
      <c r="M200" s="9"/>
      <c r="N200" s="9"/>
    </row>
    <row r="201" spans="1:14">
      <c r="A201" s="15" t="str">
        <f>'[18]2. BM Database'!B141</f>
        <v>E.L.K. ENERGY INC.</v>
      </c>
      <c r="B201" s="15">
        <v>3048</v>
      </c>
      <c r="C201" s="43">
        <f>'[18]2. BM Database'!C141</f>
        <v>2008</v>
      </c>
      <c r="D201" s="15">
        <v>3</v>
      </c>
      <c r="E201" s="17">
        <f>'[18]2. BM Database'!F141/1000</f>
        <v>1961.7357699999995</v>
      </c>
      <c r="F201" s="41">
        <f t="shared" si="36"/>
        <v>1.078564603993923</v>
      </c>
      <c r="G201" s="44">
        <f>'[18]2. BM Database'!P141/1000</f>
        <v>58.453000000000003</v>
      </c>
      <c r="H201" s="16">
        <f t="shared" si="38"/>
        <v>61.744999999999997</v>
      </c>
      <c r="I201" s="18">
        <f>'[18]2. BM Database'!L141</f>
        <v>10853</v>
      </c>
      <c r="J201" s="18">
        <f>'[18]2. BM Database'!R141</f>
        <v>147</v>
      </c>
      <c r="K201" s="18">
        <f t="shared" si="37"/>
        <v>58</v>
      </c>
      <c r="L201" s="19">
        <f>'[18]2. BM Database'!T141</f>
        <v>0.39455782312925169</v>
      </c>
      <c r="M201" s="9"/>
      <c r="N201" s="9"/>
    </row>
    <row r="202" spans="1:14">
      <c r="A202" s="15" t="str">
        <f>'[18]2. BM Database'!B142</f>
        <v>E.L.K. ENERGY INC.</v>
      </c>
      <c r="B202" s="15">
        <v>3048</v>
      </c>
      <c r="C202" s="43">
        <f>'[18]2. BM Database'!C142</f>
        <v>2009</v>
      </c>
      <c r="D202" s="15">
        <v>3</v>
      </c>
      <c r="E202" s="17">
        <f>'[18]2. BM Database'!F142/1000</f>
        <v>2277.8251</v>
      </c>
      <c r="F202" s="41">
        <f t="shared" si="36"/>
        <v>1.0915070880241431</v>
      </c>
      <c r="G202" s="44">
        <f>'[18]2. BM Database'!P142/1000</f>
        <v>56.218000000000004</v>
      </c>
      <c r="H202" s="16">
        <f t="shared" si="38"/>
        <v>61.744999999999997</v>
      </c>
      <c r="I202" s="18">
        <f>'[18]2. BM Database'!L142</f>
        <v>11112</v>
      </c>
      <c r="J202" s="18">
        <f>'[18]2. BM Database'!R142</f>
        <v>147</v>
      </c>
      <c r="K202" s="18">
        <f t="shared" si="37"/>
        <v>58</v>
      </c>
      <c r="L202" s="19">
        <f>'[18]2. BM Database'!T142</f>
        <v>0.39455782312925169</v>
      </c>
      <c r="M202" s="9"/>
      <c r="N202" s="9"/>
    </row>
    <row r="203" spans="1:14">
      <c r="A203" s="15" t="str">
        <f>'[18]2. BM Database'!B143</f>
        <v>E.L.K. ENERGY INC.</v>
      </c>
      <c r="B203" s="15">
        <v>3048</v>
      </c>
      <c r="C203" s="43">
        <f>'[18]2. BM Database'!C143</f>
        <v>2010</v>
      </c>
      <c r="D203" s="15">
        <v>3</v>
      </c>
      <c r="E203" s="17">
        <f>'[18]2. BM Database'!F143/1000</f>
        <v>1868.7732000000001</v>
      </c>
      <c r="F203" s="41">
        <f t="shared" si="36"/>
        <v>1.1243125351578573</v>
      </c>
      <c r="G203" s="44">
        <f>'[18]2. BM Database'!P143/1000</f>
        <v>62.277000000000001</v>
      </c>
      <c r="H203" s="16">
        <f t="shared" si="38"/>
        <v>62.277000000000001</v>
      </c>
      <c r="I203" s="18">
        <f>'[18]2. BM Database'!L143</f>
        <v>11205</v>
      </c>
      <c r="J203" s="18">
        <f>'[18]2. BM Database'!R143</f>
        <v>149</v>
      </c>
      <c r="K203" s="18">
        <f t="shared" si="37"/>
        <v>59.999999999999993</v>
      </c>
      <c r="L203" s="19">
        <f>'[18]2. BM Database'!T143</f>
        <v>0.40268456375838924</v>
      </c>
      <c r="M203" s="9"/>
      <c r="N203" s="9"/>
    </row>
    <row r="204" spans="1:14">
      <c r="A204" s="15" t="str">
        <f>'[18]2. BM Database'!B144</f>
        <v>E.L.K. ENERGY INC.</v>
      </c>
      <c r="B204" s="15">
        <v>3048</v>
      </c>
      <c r="C204" s="43">
        <f>'[18]2. BM Database'!C144</f>
        <v>2011</v>
      </c>
      <c r="D204" s="15">
        <v>3</v>
      </c>
      <c r="E204" s="17">
        <f>'[18]2. BM Database'!F144/1000</f>
        <v>2100.5744600000003</v>
      </c>
      <c r="F204" s="41">
        <f t="shared" si="36"/>
        <v>1.1430978626415853</v>
      </c>
      <c r="G204" s="44">
        <f>'[18]2. BM Database'!P144/1000</f>
        <v>64.272000000000006</v>
      </c>
      <c r="H204" s="16">
        <f t="shared" si="38"/>
        <v>64.272000000000006</v>
      </c>
      <c r="I204" s="18">
        <f>'[18]2. BM Database'!L144</f>
        <v>11276</v>
      </c>
      <c r="J204" s="18">
        <f>'[18]2. BM Database'!R144</f>
        <v>150</v>
      </c>
      <c r="K204" s="18">
        <f t="shared" si="37"/>
        <v>61</v>
      </c>
      <c r="L204" s="19">
        <f>'[18]2. BM Database'!T144</f>
        <v>0.40666666666666668</v>
      </c>
      <c r="M204" s="9"/>
      <c r="N204" s="9"/>
    </row>
    <row r="205" spans="1:14">
      <c r="A205" s="15" t="str">
        <f>'[18]2. BM Database'!B145</f>
        <v>E.L.K. ENERGY INC.</v>
      </c>
      <c r="B205" s="15">
        <v>3048</v>
      </c>
      <c r="C205" s="43">
        <f>'[18]2. BM Database'!C145</f>
        <v>2012</v>
      </c>
      <c r="D205" s="15">
        <v>3</v>
      </c>
      <c r="E205" s="17">
        <f>'[18]2. BM Database'!F145/1000</f>
        <v>2301.3285700000001</v>
      </c>
      <c r="F205" s="41">
        <f t="shared" si="36"/>
        <v>1.160126854517312</v>
      </c>
      <c r="G205" s="44">
        <f>'[18]2. BM Database'!P145/1000</f>
        <v>63.216999999999999</v>
      </c>
      <c r="H205" s="16">
        <f t="shared" si="38"/>
        <v>64.272000000000006</v>
      </c>
      <c r="I205" s="18">
        <f>'[18]2. BM Database'!L145</f>
        <v>11371</v>
      </c>
      <c r="J205" s="18">
        <f>'[18]2. BM Database'!R145</f>
        <v>152</v>
      </c>
      <c r="K205" s="18">
        <f t="shared" si="37"/>
        <v>63</v>
      </c>
      <c r="L205" s="19">
        <f>'[18]2. BM Database'!T145</f>
        <v>0.41447368421052633</v>
      </c>
      <c r="M205" s="9"/>
      <c r="N205" s="9"/>
    </row>
    <row r="206" spans="1:14" s="15" customFormat="1">
      <c r="A206" s="15" t="s">
        <v>36</v>
      </c>
      <c r="B206" s="15">
        <v>3048</v>
      </c>
      <c r="C206" s="43">
        <v>2013</v>
      </c>
      <c r="D206" s="15">
        <v>3</v>
      </c>
      <c r="E206" s="17">
        <f>HLOOKUP(A206,'[19]2013 Benchmarking Calculations'!$I$3:$CC$76,6,FALSE)/1000</f>
        <v>2251.4293199999997</v>
      </c>
      <c r="F206" s="41">
        <f t="shared" si="36"/>
        <v>1.178602141578931</v>
      </c>
      <c r="G206" s="44">
        <f>HLOOKUP(A206,'[19]2013 Benchmarking Calculations'!$I$3:$CC$76,57,FALSE)/1000</f>
        <v>57.591999999999999</v>
      </c>
      <c r="H206" s="16">
        <f t="shared" si="38"/>
        <v>64.272000000000006</v>
      </c>
      <c r="I206" s="18">
        <f>HLOOKUP(A206,'[19]2013 Benchmarking Calculations'!$I$3:$CC$76,53,FALSE)</f>
        <v>11483</v>
      </c>
      <c r="J206" s="18">
        <f>HLOOKUP(A206,'[19]2013 Benchmarking Calculations'!$I$3:$CC$76,71,FALSE)</f>
        <v>155</v>
      </c>
      <c r="K206" s="18">
        <f t="shared" si="37"/>
        <v>66</v>
      </c>
      <c r="L206" s="19">
        <f>HLOOKUP(A206,'[19]2013 PBR data '!B$42:BV$68,15,FALSE)/HLOOKUP(A206,'[19]2013 PBR data '!B$42:BV$68,13,FALSE)</f>
        <v>0.4258064516129032</v>
      </c>
      <c r="M206" s="9"/>
      <c r="N206" s="9"/>
    </row>
    <row r="207" spans="1:14" s="15" customFormat="1">
      <c r="A207" s="15" t="s">
        <v>36</v>
      </c>
      <c r="B207" s="15">
        <v>3048</v>
      </c>
      <c r="C207" s="43">
        <v>2014</v>
      </c>
      <c r="D207" s="15">
        <v>3</v>
      </c>
      <c r="E207" s="17">
        <f>VLOOKUP(A207,[20]Result!$B$12:$D$84,2,FALSE)/10^3</f>
        <v>2191.873</v>
      </c>
      <c r="F207" s="41">
        <f t="shared" si="36"/>
        <v>1.2030671041042156</v>
      </c>
      <c r="G207" s="44">
        <f>VLOOKUP(A207,'[21]General transpose'!$A$1:$AF$73,26,FALSE)/10^3</f>
        <v>54.881999999999998</v>
      </c>
      <c r="H207" s="16">
        <f t="shared" si="38"/>
        <v>64.272000000000006</v>
      </c>
      <c r="I207" s="18">
        <f>VLOOKUP(A207,'[21]General transpose'!$A$1:$AF$73,8,FALSE)</f>
        <v>12398</v>
      </c>
      <c r="J207" s="18">
        <f>VLOOKUP(A207,'[21]General transpose'!$A$1:$AF$73,16,FALSE)</f>
        <v>157</v>
      </c>
      <c r="K207" s="18">
        <f t="shared" si="37"/>
        <v>68</v>
      </c>
      <c r="L207" s="19">
        <f>VLOOKUP(A207,'[21]General transpose'!$A$1:$AF$73,17,FALSE)</f>
        <v>0.43312101910828027</v>
      </c>
      <c r="M207" s="9"/>
      <c r="N207" s="9"/>
    </row>
    <row r="208" spans="1:14" s="15" customFormat="1">
      <c r="A208" s="15" t="s">
        <v>36</v>
      </c>
      <c r="B208" s="15">
        <v>3048</v>
      </c>
      <c r="C208" s="43">
        <v>2015</v>
      </c>
      <c r="D208" s="15">
        <v>3</v>
      </c>
      <c r="E208" s="17">
        <f>VLOOKUP(A207,[20]Result!$B$12:$D$84,3,FALSE)/10^3</f>
        <v>2585.9119999999998</v>
      </c>
      <c r="F208" s="41">
        <f t="shared" si="36"/>
        <v>1.2312762402864634</v>
      </c>
      <c r="G208" s="44">
        <f>VLOOKUP(A207,'[22]General transpose'!$A$1:$AF$73,26,FALSE)/10^3</f>
        <v>59.146000000000001</v>
      </c>
      <c r="H208" s="16">
        <f t="shared" si="38"/>
        <v>64.272000000000006</v>
      </c>
      <c r="I208" s="18">
        <f>'[14]2015 Benchmarking Calculations'!$U$55</f>
        <v>11705</v>
      </c>
      <c r="J208" s="18">
        <f>VLOOKUP(A207,'[22]General transpose'!$A$1:$AF$73,16,FALSE)</f>
        <v>157</v>
      </c>
      <c r="K208" s="18">
        <f t="shared" si="37"/>
        <v>68</v>
      </c>
      <c r="L208" s="19">
        <f>VLOOKUP(A207,'[22]General transpose'!$A$1:$AF$73,17,FALSE)</f>
        <v>0.43312101910828027</v>
      </c>
      <c r="M208" s="9"/>
      <c r="N208" s="9"/>
    </row>
    <row r="209" spans="1:14" s="15" customFormat="1">
      <c r="A209" s="15" t="s">
        <v>36</v>
      </c>
      <c r="B209" s="15">
        <v>3048</v>
      </c>
      <c r="C209" s="43">
        <v>2016</v>
      </c>
      <c r="D209" s="15">
        <v>3</v>
      </c>
      <c r="E209" s="17">
        <f>'[14]2016 Benchmarking Calculations'!$U$8/1000</f>
        <v>2512.5113600000004</v>
      </c>
      <c r="F209" s="41">
        <f t="shared" si="36"/>
        <v>1.2455044937824149</v>
      </c>
      <c r="G209" s="44">
        <f>HLOOKUP(A209,[23]General!$A$1:$BQ$23,22,FALSE)/10^3</f>
        <v>60.936</v>
      </c>
      <c r="H209" s="16">
        <f t="shared" si="38"/>
        <v>64.272000000000006</v>
      </c>
      <c r="I209" s="18">
        <f>'[14]2016 Benchmarking Calculations'!$U$55</f>
        <v>11795</v>
      </c>
      <c r="J209" s="18">
        <f>HLOOKUP(A209,[23]General!$A$1:$BQ$23,17,FALSE)</f>
        <v>157</v>
      </c>
      <c r="K209" s="18">
        <f t="shared" si="37"/>
        <v>68</v>
      </c>
      <c r="L209" s="19">
        <f>HLOOKUP(A209,[23]General!$A$1:$BQ$23,18,FALSE)</f>
        <v>0.43312101910828027</v>
      </c>
      <c r="M209" s="9"/>
      <c r="N209" s="9"/>
    </row>
    <row r="210" spans="1:14" s="15" customFormat="1">
      <c r="A210" s="15" t="s">
        <v>36</v>
      </c>
      <c r="B210" s="15">
        <v>3048</v>
      </c>
      <c r="C210" s="43">
        <v>2017</v>
      </c>
      <c r="D210" s="15">
        <v>3</v>
      </c>
      <c r="E210" s="17">
        <f>'[14]2017 Benchmarking Calculations'!$V$9/1000</f>
        <v>2601.2068899999999</v>
      </c>
      <c r="F210" s="41">
        <f t="shared" si="36"/>
        <v>1.2674505553724562</v>
      </c>
      <c r="G210" s="44">
        <f>'[14]2017 Benchmarking Calculations'!$V$60/1000</f>
        <v>57.220999999999997</v>
      </c>
      <c r="H210" s="16">
        <f t="shared" si="38"/>
        <v>64.272000000000006</v>
      </c>
      <c r="I210" s="136">
        <f>'[16]2018 Revisions to 2017 Data'!$F$10</f>
        <v>11982</v>
      </c>
      <c r="J210" s="18">
        <f>'[14]2017 Utility Characteristics'!$N$79</f>
        <v>157</v>
      </c>
      <c r="K210" s="15">
        <f>'[14]2017 Utility Characteristics'!$N$81</f>
        <v>68</v>
      </c>
      <c r="L210" s="19">
        <f>K210/J210</f>
        <v>0.43312101910828027</v>
      </c>
      <c r="M210" s="9"/>
      <c r="N210" s="9"/>
    </row>
    <row r="211" spans="1:14" s="15" customFormat="1">
      <c r="A211" s="15" t="s">
        <v>36</v>
      </c>
      <c r="B211" s="15">
        <v>3048</v>
      </c>
      <c r="C211" s="43">
        <v>2018</v>
      </c>
      <c r="D211" s="15">
        <v>3</v>
      </c>
      <c r="E211" s="17">
        <f>'[16]2018 Benchmarking Calculations'!$V$10/1000</f>
        <v>2605.4632499999998</v>
      </c>
      <c r="F211" s="41">
        <f t="shared" si="36"/>
        <v>1.2994718602728874</v>
      </c>
      <c r="G211" s="44">
        <f>'[16]2018 Benchmarking Calculations'!$V$61/1000</f>
        <v>65.611999999999995</v>
      </c>
      <c r="H211" s="16">
        <f t="shared" si="38"/>
        <v>65.611999999999995</v>
      </c>
      <c r="I211" s="18">
        <f>'[16]2018 Benchmarking Calculations'!$V$57</f>
        <v>12412</v>
      </c>
      <c r="J211" s="18">
        <f>'[16]2018 Utility Characteristics'!$P$103</f>
        <v>162</v>
      </c>
      <c r="K211" s="18">
        <f>'[16]2018 Utility Characteristics'!$P$105</f>
        <v>73</v>
      </c>
      <c r="L211" s="19">
        <f>K211/J211</f>
        <v>0.45061728395061729</v>
      </c>
      <c r="M211" s="9"/>
      <c r="N211" s="9"/>
    </row>
    <row r="212" spans="1:14" s="15" customFormat="1">
      <c r="A212" s="15" t="s">
        <v>36</v>
      </c>
      <c r="B212" s="15">
        <v>3048</v>
      </c>
      <c r="C212" s="43">
        <v>2019</v>
      </c>
      <c r="D212" s="15">
        <v>3</v>
      </c>
      <c r="E212" s="17">
        <f>'[17]2019 Benchmarking Calculations'!$V$10/1000</f>
        <v>2787.8079099999991</v>
      </c>
      <c r="F212" s="41">
        <f t="shared" si="36"/>
        <v>1.3352608354138498</v>
      </c>
      <c r="G212" s="44">
        <f>'[17]2019 Benchmarking Calculations'!$V$61/1000</f>
        <v>62.826999999999998</v>
      </c>
      <c r="H212" s="16">
        <f t="shared" si="38"/>
        <v>65.611999999999995</v>
      </c>
      <c r="I212" s="18">
        <f>'[17]2019 Benchmarking Calculations'!$V$57</f>
        <v>12479</v>
      </c>
      <c r="J212" s="18">
        <f>'[17]2019 Utility Characteristics'!$P$16+'[17]2019 Utility Characteristics'!$P$18</f>
        <v>165</v>
      </c>
      <c r="K212" s="18">
        <f>'[17]2019 Utility Characteristics'!$P$18</f>
        <v>76</v>
      </c>
      <c r="L212" s="19">
        <f>K212/J212</f>
        <v>0.46060606060606063</v>
      </c>
      <c r="M212" s="9"/>
      <c r="N212" s="9"/>
    </row>
    <row r="213" spans="1:14" s="15" customFormat="1">
      <c r="A213" s="15" t="s">
        <v>320</v>
      </c>
      <c r="B213" s="15">
        <v>3016</v>
      </c>
      <c r="C213" s="43">
        <f t="shared" ref="C213:C227" si="39">C198</f>
        <v>2005</v>
      </c>
      <c r="D213" s="15">
        <v>3</v>
      </c>
      <c r="E213" s="17"/>
      <c r="F213" s="41">
        <f t="shared" ref="F213:F227" si="40">F198</f>
        <v>1</v>
      </c>
      <c r="G213" s="17"/>
      <c r="H213" s="16"/>
      <c r="I213" s="18"/>
      <c r="J213" s="18"/>
      <c r="L213" s="19"/>
      <c r="M213" s="9"/>
      <c r="N213" s="9"/>
    </row>
    <row r="214" spans="1:14" s="15" customFormat="1">
      <c r="A214" s="15" t="s">
        <v>320</v>
      </c>
      <c r="B214" s="15">
        <v>3016</v>
      </c>
      <c r="C214" s="43">
        <f t="shared" si="39"/>
        <v>2006</v>
      </c>
      <c r="D214" s="15">
        <v>3</v>
      </c>
      <c r="E214" s="17"/>
      <c r="F214" s="41">
        <f t="shared" si="40"/>
        <v>1.0181607380073696</v>
      </c>
      <c r="G214" s="17"/>
      <c r="H214" s="16"/>
      <c r="I214" s="18"/>
      <c r="J214" s="18"/>
      <c r="L214" s="19"/>
      <c r="M214" s="9"/>
      <c r="N214" s="9"/>
    </row>
    <row r="215" spans="1:14" s="15" customFormat="1">
      <c r="A215" s="15" t="s">
        <v>320</v>
      </c>
      <c r="B215" s="15">
        <v>3016</v>
      </c>
      <c r="C215" s="43">
        <f t="shared" si="39"/>
        <v>2007</v>
      </c>
      <c r="D215" s="15">
        <v>3</v>
      </c>
      <c r="E215" s="17"/>
      <c r="F215" s="41">
        <f t="shared" si="40"/>
        <v>1.0531931014872313</v>
      </c>
      <c r="G215" s="17"/>
      <c r="H215" s="16"/>
      <c r="I215" s="18"/>
      <c r="J215" s="18"/>
      <c r="L215" s="19"/>
      <c r="M215" s="9"/>
      <c r="N215" s="9"/>
    </row>
    <row r="216" spans="1:14" s="15" customFormat="1">
      <c r="A216" s="15" t="s">
        <v>320</v>
      </c>
      <c r="B216" s="15">
        <v>3016</v>
      </c>
      <c r="C216" s="43">
        <f t="shared" si="39"/>
        <v>2008</v>
      </c>
      <c r="D216" s="15">
        <v>3</v>
      </c>
      <c r="E216" s="17"/>
      <c r="F216" s="41">
        <f t="shared" si="40"/>
        <v>1.078564603993923</v>
      </c>
      <c r="G216" s="17"/>
      <c r="H216" s="16"/>
      <c r="I216" s="18"/>
      <c r="J216" s="18"/>
      <c r="L216" s="19"/>
      <c r="M216" s="9"/>
      <c r="N216" s="9"/>
    </row>
    <row r="217" spans="1:14" s="15" customFormat="1">
      <c r="A217" s="15" t="s">
        <v>320</v>
      </c>
      <c r="B217" s="15">
        <v>3016</v>
      </c>
      <c r="C217" s="43">
        <f t="shared" si="39"/>
        <v>2009</v>
      </c>
      <c r="D217" s="15">
        <v>3</v>
      </c>
      <c r="E217" s="17"/>
      <c r="F217" s="41">
        <f t="shared" si="40"/>
        <v>1.0915070880241431</v>
      </c>
      <c r="G217" s="17"/>
      <c r="H217" s="16"/>
      <c r="I217" s="18"/>
      <c r="J217" s="18"/>
      <c r="L217" s="19"/>
      <c r="M217" s="9"/>
      <c r="N217" s="9"/>
    </row>
    <row r="218" spans="1:14" s="15" customFormat="1">
      <c r="A218" s="15" t="s">
        <v>320</v>
      </c>
      <c r="B218" s="15">
        <v>3016</v>
      </c>
      <c r="C218" s="43">
        <f t="shared" si="39"/>
        <v>2010</v>
      </c>
      <c r="D218" s="15">
        <v>3</v>
      </c>
      <c r="E218" s="17"/>
      <c r="F218" s="41">
        <f t="shared" si="40"/>
        <v>1.1243125351578573</v>
      </c>
      <c r="G218" s="17"/>
      <c r="H218" s="16"/>
      <c r="I218" s="18"/>
      <c r="J218" s="18"/>
      <c r="L218" s="19"/>
      <c r="M218" s="9"/>
      <c r="N218" s="9"/>
    </row>
    <row r="219" spans="1:14" s="15" customFormat="1">
      <c r="A219" s="15" t="s">
        <v>320</v>
      </c>
      <c r="B219" s="15">
        <v>3016</v>
      </c>
      <c r="C219" s="43">
        <f t="shared" si="39"/>
        <v>2011</v>
      </c>
      <c r="D219" s="15">
        <v>3</v>
      </c>
      <c r="E219" s="17"/>
      <c r="F219" s="41">
        <f t="shared" si="40"/>
        <v>1.1430978626415853</v>
      </c>
      <c r="G219" s="17"/>
      <c r="H219" s="16"/>
      <c r="I219" s="18"/>
      <c r="J219" s="18"/>
      <c r="L219" s="19"/>
      <c r="M219" s="9"/>
      <c r="N219" s="9"/>
    </row>
    <row r="220" spans="1:14" s="15" customFormat="1">
      <c r="A220" s="15" t="s">
        <v>320</v>
      </c>
      <c r="B220" s="15">
        <v>3016</v>
      </c>
      <c r="C220" s="43">
        <f t="shared" si="39"/>
        <v>2012</v>
      </c>
      <c r="D220" s="15">
        <v>3</v>
      </c>
      <c r="E220" s="17"/>
      <c r="F220" s="41">
        <f t="shared" si="40"/>
        <v>1.160126854517312</v>
      </c>
      <c r="G220" s="17"/>
      <c r="H220" s="16"/>
      <c r="I220" s="18"/>
      <c r="J220" s="18"/>
      <c r="L220" s="19"/>
      <c r="M220" s="9"/>
      <c r="N220" s="9"/>
    </row>
    <row r="221" spans="1:14" s="15" customFormat="1">
      <c r="A221" s="15" t="s">
        <v>320</v>
      </c>
      <c r="B221" s="15">
        <v>3016</v>
      </c>
      <c r="C221" s="43">
        <f t="shared" si="39"/>
        <v>2013</v>
      </c>
      <c r="D221" s="15">
        <v>3</v>
      </c>
      <c r="E221" s="17"/>
      <c r="F221" s="41">
        <f t="shared" si="40"/>
        <v>1.178602141578931</v>
      </c>
      <c r="G221" s="17"/>
      <c r="H221" s="16"/>
      <c r="I221" s="18"/>
      <c r="J221" s="18"/>
      <c r="L221" s="19"/>
      <c r="M221" s="9"/>
      <c r="N221" s="9"/>
    </row>
    <row r="222" spans="1:14" s="15" customFormat="1">
      <c r="A222" s="15" t="s">
        <v>320</v>
      </c>
      <c r="B222" s="15">
        <v>3016</v>
      </c>
      <c r="C222" s="43">
        <f t="shared" si="39"/>
        <v>2014</v>
      </c>
      <c r="D222" s="15">
        <v>3</v>
      </c>
      <c r="E222" s="17"/>
      <c r="F222" s="41">
        <f t="shared" si="40"/>
        <v>1.2030671041042156</v>
      </c>
      <c r="G222" s="17"/>
      <c r="H222" s="16"/>
      <c r="I222" s="18"/>
      <c r="J222" s="18"/>
      <c r="L222" s="19"/>
      <c r="M222" s="9"/>
      <c r="N222" s="9"/>
    </row>
    <row r="223" spans="1:14" s="15" customFormat="1">
      <c r="A223" s="15" t="s">
        <v>320</v>
      </c>
      <c r="B223" s="15">
        <v>3016</v>
      </c>
      <c r="C223" s="43">
        <f t="shared" si="39"/>
        <v>2015</v>
      </c>
      <c r="D223" s="15">
        <v>3</v>
      </c>
      <c r="E223" s="17"/>
      <c r="F223" s="41">
        <f t="shared" si="40"/>
        <v>1.2312762402864634</v>
      </c>
      <c r="G223" s="17"/>
      <c r="H223" s="16"/>
      <c r="I223" s="18"/>
      <c r="J223" s="18"/>
      <c r="L223" s="19"/>
      <c r="M223" s="9"/>
      <c r="N223" s="9"/>
    </row>
    <row r="224" spans="1:14" s="15" customFormat="1">
      <c r="A224" s="15" t="s">
        <v>320</v>
      </c>
      <c r="B224" s="15">
        <v>3016</v>
      </c>
      <c r="C224" s="43">
        <f t="shared" si="39"/>
        <v>2016</v>
      </c>
      <c r="D224" s="15">
        <v>3</v>
      </c>
      <c r="E224" s="17">
        <f>'[14]2016 Benchmarking Calculations'!$O$8/1000</f>
        <v>16658.607539999997</v>
      </c>
      <c r="F224" s="41">
        <f t="shared" si="40"/>
        <v>1.2455044937824149</v>
      </c>
      <c r="G224" s="17">
        <f>'[14]2016 Benchmarking Calculations'!$O$59/1000</f>
        <v>334.471</v>
      </c>
      <c r="H224" s="16">
        <f t="shared" ref="H224:H227" si="41">MAX(H223,G224)</f>
        <v>334.471</v>
      </c>
      <c r="I224" s="18">
        <f>'[14]2016 Benchmarking Calculations'!$O$55</f>
        <v>64125</v>
      </c>
      <c r="J224" s="18">
        <f>'[14]2016 Utility Characteristics'!$H$45</f>
        <v>1727</v>
      </c>
      <c r="K224" s="18">
        <f>'[14]2016 Utility Characteristics'!$H$47</f>
        <v>532</v>
      </c>
      <c r="L224" s="19">
        <f>K224/J224</f>
        <v>0.30804863925883036</v>
      </c>
      <c r="M224" s="9"/>
      <c r="N224" s="9"/>
    </row>
    <row r="225" spans="1:14" s="15" customFormat="1">
      <c r="A225" s="15" t="s">
        <v>320</v>
      </c>
      <c r="B225" s="15">
        <v>3016</v>
      </c>
      <c r="C225" s="43">
        <f t="shared" si="39"/>
        <v>2017</v>
      </c>
      <c r="D225" s="15">
        <v>3</v>
      </c>
      <c r="E225" s="17">
        <f>'[14]2017 Benchmarking Calculations'!$W$9/1000</f>
        <v>17339.704309999997</v>
      </c>
      <c r="F225" s="41">
        <f t="shared" si="40"/>
        <v>1.2674505553724562</v>
      </c>
      <c r="G225" s="44">
        <f>'[14]2017 Benchmarking Calculations'!$W$60/1000</f>
        <v>305.71800000000002</v>
      </c>
      <c r="H225" s="16">
        <f t="shared" si="41"/>
        <v>334.471</v>
      </c>
      <c r="I225" s="18">
        <f>'[14]2017 Benchmarking Calculations'!$W$56</f>
        <v>64726</v>
      </c>
      <c r="J225" s="18">
        <f>'[14]2017 Utility Characteristics'!$O$79</f>
        <v>1487</v>
      </c>
      <c r="K225" s="18">
        <f>'[14]2017 Utility Characteristics'!$O$81</f>
        <v>507</v>
      </c>
      <c r="L225" s="19">
        <f>K225/J225</f>
        <v>0.34095494283792871</v>
      </c>
      <c r="M225" s="9"/>
      <c r="N225" s="9"/>
    </row>
    <row r="226" spans="1:14" s="15" customFormat="1">
      <c r="A226" s="15" t="s">
        <v>320</v>
      </c>
      <c r="B226" s="15">
        <v>3016</v>
      </c>
      <c r="C226" s="43">
        <f t="shared" si="39"/>
        <v>2018</v>
      </c>
      <c r="D226" s="15">
        <v>3</v>
      </c>
      <c r="E226" s="17">
        <f>'[16]2018 Benchmarking Calculations'!$W$10/1000</f>
        <v>17677.971389999995</v>
      </c>
      <c r="F226" s="41">
        <f t="shared" si="40"/>
        <v>1.2994718602728874</v>
      </c>
      <c r="G226" s="44">
        <f>'[16]2018 Benchmarking Calculations'!$W$61/1000</f>
        <v>331.15300000000002</v>
      </c>
      <c r="H226" s="16">
        <f t="shared" si="41"/>
        <v>334.471</v>
      </c>
      <c r="I226" s="18">
        <f>'[16]2018 Benchmarking Calculations'!$W$57</f>
        <v>65404</v>
      </c>
      <c r="J226" s="18">
        <f>'[16]2018 Utility Characteristics'!$Q$103</f>
        <v>1510</v>
      </c>
      <c r="K226" s="18">
        <f>'[16]2018 Utility Characteristics'!$Q$105</f>
        <v>531</v>
      </c>
      <c r="L226" s="19">
        <f>K226/J226</f>
        <v>0.35165562913907283</v>
      </c>
      <c r="M226" s="9"/>
      <c r="N226" s="9"/>
    </row>
    <row r="227" spans="1:14" s="15" customFormat="1">
      <c r="A227" s="15" t="s">
        <v>320</v>
      </c>
      <c r="B227" s="15">
        <v>3016</v>
      </c>
      <c r="C227" s="43">
        <f t="shared" si="39"/>
        <v>2019</v>
      </c>
      <c r="D227" s="15">
        <v>3</v>
      </c>
      <c r="E227" s="17">
        <f>'[17]2019 Benchmarking Calculations'!$W$10/1000</f>
        <v>18361.849140000002</v>
      </c>
      <c r="F227" s="41">
        <f t="shared" si="40"/>
        <v>1.3352608354138498</v>
      </c>
      <c r="G227" s="44">
        <f>'[17]2019 Benchmarking Calculations'!$W$61/1000</f>
        <v>302.61900000000003</v>
      </c>
      <c r="H227" s="16">
        <f t="shared" si="41"/>
        <v>334.471</v>
      </c>
      <c r="I227" s="18">
        <f>'[17]2019 Benchmarking Calculations'!$W$57</f>
        <v>66529</v>
      </c>
      <c r="J227" s="18">
        <f>'[17]2019 Utility Characteristics'!$Q$16+'[17]2019 Utility Characteristics'!$Q$18</f>
        <v>1523</v>
      </c>
      <c r="K227" s="18">
        <f>'[17]2019 Utility Characteristics'!$Q$18</f>
        <v>540</v>
      </c>
      <c r="L227" s="19">
        <f>K227/J227</f>
        <v>0.35456336178594877</v>
      </c>
      <c r="M227" s="9"/>
      <c r="N227" s="9"/>
    </row>
    <row r="228" spans="1:14">
      <c r="A228" s="15" t="str">
        <f>'[18]2. BM Database'!B149</f>
        <v>ENERSOURCE HYDRO MISSISSAUGA INC.</v>
      </c>
      <c r="B228" s="15">
        <v>3006</v>
      </c>
      <c r="C228" s="43">
        <f>'[18]2. BM Database'!C149</f>
        <v>2005</v>
      </c>
      <c r="D228" s="15">
        <v>3</v>
      </c>
      <c r="E228" s="17">
        <f>'[18]2. BM Database'!F149/1000</f>
        <v>37243.069000000003</v>
      </c>
      <c r="F228" s="41">
        <f t="shared" ref="F228:F242" si="42">F213</f>
        <v>1</v>
      </c>
      <c r="G228" s="44">
        <f>'[18]2. BM Database'!P149/1000</f>
        <v>1570.2</v>
      </c>
      <c r="H228" s="16">
        <f>G228</f>
        <v>1570.2</v>
      </c>
      <c r="I228" s="18">
        <f>'[18]2. BM Database'!L149</f>
        <v>178140</v>
      </c>
      <c r="J228" s="18">
        <f>'[18]2. BM Database'!R149</f>
        <v>5027</v>
      </c>
      <c r="K228" s="18">
        <f t="shared" ref="K228:K239" si="43">J228*L228</f>
        <v>3312</v>
      </c>
      <c r="L228" s="19">
        <f>'[18]2. BM Database'!T149</f>
        <v>0.65884225184006362</v>
      </c>
      <c r="M228" s="9"/>
      <c r="N228" s="9"/>
    </row>
    <row r="229" spans="1:14">
      <c r="A229" s="15" t="str">
        <f>'[18]2. BM Database'!B150</f>
        <v>ENERSOURCE HYDRO MISSISSAUGA INC.</v>
      </c>
      <c r="B229" s="15">
        <v>3006</v>
      </c>
      <c r="C229" s="43">
        <f>'[18]2. BM Database'!C150</f>
        <v>2006</v>
      </c>
      <c r="D229" s="15">
        <v>3</v>
      </c>
      <c r="E229" s="17">
        <f>'[18]2. BM Database'!F150/1000</f>
        <v>37928.324999999997</v>
      </c>
      <c r="F229" s="41">
        <f t="shared" si="42"/>
        <v>1.0181607380073696</v>
      </c>
      <c r="G229" s="44">
        <f>'[18]2. BM Database'!P150/1000</f>
        <v>1610.3</v>
      </c>
      <c r="H229" s="16">
        <f>MAX(G229,H228)</f>
        <v>1610.3</v>
      </c>
      <c r="I229" s="18">
        <f>'[18]2. BM Database'!L150</f>
        <v>182596</v>
      </c>
      <c r="J229" s="18">
        <f>'[18]2. BM Database'!R150</f>
        <v>5092</v>
      </c>
      <c r="K229" s="18">
        <f t="shared" si="43"/>
        <v>3335</v>
      </c>
      <c r="L229" s="19">
        <f>'[18]2. BM Database'!T150</f>
        <v>0.65494893951296151</v>
      </c>
      <c r="M229" s="9"/>
      <c r="N229" s="9"/>
    </row>
    <row r="230" spans="1:14">
      <c r="A230" s="15" t="str">
        <f>'[18]2. BM Database'!B151</f>
        <v>ENERSOURCE HYDRO MISSISSAUGA INC.</v>
      </c>
      <c r="B230" s="15">
        <v>3006</v>
      </c>
      <c r="C230" s="43">
        <f>'[18]2. BM Database'!C151</f>
        <v>2007</v>
      </c>
      <c r="D230" s="15">
        <v>3</v>
      </c>
      <c r="E230" s="17">
        <f>'[18]2. BM Database'!F151/1000</f>
        <v>42892.374000000003</v>
      </c>
      <c r="F230" s="41">
        <f t="shared" si="42"/>
        <v>1.0531931014872313</v>
      </c>
      <c r="G230" s="44">
        <f>'[18]2. BM Database'!P151/1000</f>
        <v>1556.9</v>
      </c>
      <c r="H230" s="16">
        <f t="shared" ref="H230:H239" si="44">MAX(G230,H229)</f>
        <v>1610.3</v>
      </c>
      <c r="I230" s="18">
        <f>'[18]2. BM Database'!L151</f>
        <v>183715</v>
      </c>
      <c r="J230" s="18">
        <f>'[18]2. BM Database'!R151</f>
        <v>5180</v>
      </c>
      <c r="K230" s="18">
        <f t="shared" si="43"/>
        <v>3381</v>
      </c>
      <c r="L230" s="19">
        <f>'[18]2. BM Database'!T151</f>
        <v>0.6527027027027027</v>
      </c>
      <c r="M230" s="9"/>
      <c r="N230" s="9"/>
    </row>
    <row r="231" spans="1:14">
      <c r="A231" s="15" t="str">
        <f>'[18]2. BM Database'!B152</f>
        <v>ENERSOURCE HYDRO MISSISSAUGA INC.</v>
      </c>
      <c r="B231" s="15">
        <v>3006</v>
      </c>
      <c r="C231" s="43">
        <f>'[18]2. BM Database'!C152</f>
        <v>2008</v>
      </c>
      <c r="D231" s="15">
        <v>3</v>
      </c>
      <c r="E231" s="17">
        <f>'[18]2. BM Database'!F152/1000</f>
        <v>42259.512999999999</v>
      </c>
      <c r="F231" s="41">
        <f t="shared" si="42"/>
        <v>1.078564603993923</v>
      </c>
      <c r="G231" s="44">
        <f>'[18]2. BM Database'!P152/1000</f>
        <v>1507.9</v>
      </c>
      <c r="H231" s="16">
        <f t="shared" si="44"/>
        <v>1610.3</v>
      </c>
      <c r="I231" s="18">
        <f>'[18]2. BM Database'!L152</f>
        <v>186929</v>
      </c>
      <c r="J231" s="18">
        <f>'[18]2. BM Database'!R152</f>
        <v>5246</v>
      </c>
      <c r="K231" s="18">
        <f t="shared" si="43"/>
        <v>3430</v>
      </c>
      <c r="L231" s="19">
        <f>'[18]2. BM Database'!T152</f>
        <v>0.65383149065955015</v>
      </c>
      <c r="M231" s="9"/>
      <c r="N231" s="9"/>
    </row>
    <row r="232" spans="1:14">
      <c r="A232" s="15" t="str">
        <f>'[18]2. BM Database'!B153</f>
        <v>ENERSOURCE HYDRO MISSISSAUGA INC.</v>
      </c>
      <c r="B232" s="15">
        <v>3006</v>
      </c>
      <c r="C232" s="43">
        <f>'[18]2. BM Database'!C153</f>
        <v>2009</v>
      </c>
      <c r="D232" s="15">
        <v>3</v>
      </c>
      <c r="E232" s="17">
        <f>'[18]2. BM Database'!F153/1000</f>
        <v>47489.950774598918</v>
      </c>
      <c r="F232" s="41">
        <f t="shared" si="42"/>
        <v>1.0915070880241431</v>
      </c>
      <c r="G232" s="44">
        <f>'[18]2. BM Database'!P153/1000</f>
        <v>1504</v>
      </c>
      <c r="H232" s="16">
        <f t="shared" si="44"/>
        <v>1610.3</v>
      </c>
      <c r="I232" s="18">
        <f>'[18]2. BM Database'!L153</f>
        <v>189540</v>
      </c>
      <c r="J232" s="18">
        <f>'[18]2. BM Database'!R153</f>
        <v>5300</v>
      </c>
      <c r="K232" s="18">
        <f t="shared" si="43"/>
        <v>3466</v>
      </c>
      <c r="L232" s="19">
        <f>'[18]2. BM Database'!T153</f>
        <v>0.65396226415094338</v>
      </c>
      <c r="M232" s="9"/>
      <c r="N232" s="9"/>
    </row>
    <row r="233" spans="1:14">
      <c r="A233" s="15" t="str">
        <f>'[18]2. BM Database'!B154</f>
        <v>ENERSOURCE HYDRO MISSISSAUGA INC.</v>
      </c>
      <c r="B233" s="15">
        <v>3006</v>
      </c>
      <c r="C233" s="43">
        <f>'[18]2. BM Database'!C154</f>
        <v>2010</v>
      </c>
      <c r="D233" s="15">
        <v>3</v>
      </c>
      <c r="E233" s="17">
        <f>'[18]2. BM Database'!F154/1000</f>
        <v>41013.152000000002</v>
      </c>
      <c r="F233" s="41">
        <f t="shared" si="42"/>
        <v>1.1243125351578573</v>
      </c>
      <c r="G233" s="44">
        <f>'[18]2. BM Database'!P154/1000</f>
        <v>1546.6</v>
      </c>
      <c r="H233" s="16">
        <f t="shared" si="44"/>
        <v>1610.3</v>
      </c>
      <c r="I233" s="18">
        <f>'[18]2. BM Database'!L154</f>
        <v>192960</v>
      </c>
      <c r="J233" s="18">
        <f>'[18]2. BM Database'!R154</f>
        <v>5167</v>
      </c>
      <c r="K233" s="18">
        <f t="shared" si="43"/>
        <v>3360</v>
      </c>
      <c r="L233" s="19">
        <f>'[18]2. BM Database'!T154</f>
        <v>0.65028062705631895</v>
      </c>
      <c r="M233" s="9"/>
      <c r="N233" s="9"/>
    </row>
    <row r="234" spans="1:14">
      <c r="A234" s="15" t="str">
        <f>'[18]2. BM Database'!B155</f>
        <v>ENERSOURCE HYDRO MISSISSAUGA INC.</v>
      </c>
      <c r="B234" s="15">
        <v>3006</v>
      </c>
      <c r="C234" s="43">
        <f>'[18]2. BM Database'!C155</f>
        <v>2011</v>
      </c>
      <c r="D234" s="15">
        <v>3</v>
      </c>
      <c r="E234" s="17">
        <f>'[18]2. BM Database'!F155/1000</f>
        <v>42768.101390000003</v>
      </c>
      <c r="F234" s="41">
        <f t="shared" si="42"/>
        <v>1.1430978626415853</v>
      </c>
      <c r="G234" s="44">
        <f>'[18]2. BM Database'!P155/1000</f>
        <v>1606.4939999999999</v>
      </c>
      <c r="H234" s="16">
        <f t="shared" si="44"/>
        <v>1610.3</v>
      </c>
      <c r="I234" s="18">
        <f>'[18]2. BM Database'!L155</f>
        <v>195381</v>
      </c>
      <c r="J234" s="18">
        <f>'[18]2. BM Database'!R155</f>
        <v>5163</v>
      </c>
      <c r="K234" s="18">
        <f t="shared" si="43"/>
        <v>3365.0000000000005</v>
      </c>
      <c r="L234" s="19">
        <f>'[18]2. BM Database'!T155</f>
        <v>0.65175285686616313</v>
      </c>
      <c r="M234" s="9"/>
      <c r="N234" s="9"/>
    </row>
    <row r="235" spans="1:14">
      <c r="A235" s="15" t="str">
        <f>'[18]2. BM Database'!B156</f>
        <v>ENERSOURCE HYDRO MISSISSAUGA INC.</v>
      </c>
      <c r="B235" s="15">
        <v>3006</v>
      </c>
      <c r="C235" s="43">
        <f>'[18]2. BM Database'!C156</f>
        <v>2012</v>
      </c>
      <c r="D235" s="15">
        <v>3</v>
      </c>
      <c r="E235" s="17">
        <f>'[18]2. BM Database'!F156/1000</f>
        <v>50243.86911</v>
      </c>
      <c r="F235" s="41">
        <f t="shared" si="42"/>
        <v>1.160126854517312</v>
      </c>
      <c r="G235" s="44">
        <f>'[18]2. BM Database'!P156/1000</f>
        <v>1552.6849999999999</v>
      </c>
      <c r="H235" s="16">
        <f t="shared" si="44"/>
        <v>1610.3</v>
      </c>
      <c r="I235" s="18">
        <f>'[18]2. BM Database'!L156</f>
        <v>197746</v>
      </c>
      <c r="J235" s="18">
        <f>'[18]2. BM Database'!R156</f>
        <v>5168</v>
      </c>
      <c r="K235" s="18">
        <f t="shared" si="43"/>
        <v>3370</v>
      </c>
      <c r="L235" s="19">
        <f>'[18]2. BM Database'!T156</f>
        <v>0.65208978328173373</v>
      </c>
      <c r="M235" s="9"/>
      <c r="N235" s="9"/>
    </row>
    <row r="236" spans="1:14" s="15" customFormat="1">
      <c r="A236" s="15" t="s">
        <v>37</v>
      </c>
      <c r="B236" s="15">
        <v>3006</v>
      </c>
      <c r="C236" s="43">
        <v>2013</v>
      </c>
      <c r="D236" s="15">
        <v>3</v>
      </c>
      <c r="E236" s="17">
        <f>HLOOKUP(A236,'[19]2013 Benchmarking Calculations'!$I$3:$CC$76,6,FALSE)/1000</f>
        <v>52980.753739999993</v>
      </c>
      <c r="F236" s="41">
        <f t="shared" si="42"/>
        <v>1.178602141578931</v>
      </c>
      <c r="G236" s="44">
        <f>HLOOKUP(A236,'[19]2013 Benchmarking Calculations'!$I$3:$CC$76,57,FALSE)/1000</f>
        <v>1540.527</v>
      </c>
      <c r="H236" s="16">
        <f t="shared" si="44"/>
        <v>1610.3</v>
      </c>
      <c r="I236" s="18">
        <f>HLOOKUP(A236,'[19]2013 Benchmarking Calculations'!$I$3:$CC$76,53,FALSE)</f>
        <v>199871</v>
      </c>
      <c r="J236" s="18">
        <f>HLOOKUP(A236,'[19]2013 Benchmarking Calculations'!$I$3:$CC$76,71,FALSE)</f>
        <v>5174</v>
      </c>
      <c r="K236" s="18">
        <f t="shared" si="43"/>
        <v>3376</v>
      </c>
      <c r="L236" s="19">
        <f>HLOOKUP(A236,'[19]2013 PBR data '!B$42:BV$68,15,FALSE)/HLOOKUP(A236,'[19]2013 PBR data '!B$42:BV$68,13,FALSE)</f>
        <v>0.65249323540780824</v>
      </c>
      <c r="M236" s="9"/>
      <c r="N236" s="9"/>
    </row>
    <row r="237" spans="1:14" s="15" customFormat="1">
      <c r="A237" s="15" t="s">
        <v>37</v>
      </c>
      <c r="B237" s="15">
        <v>3006</v>
      </c>
      <c r="C237" s="43">
        <v>2014</v>
      </c>
      <c r="D237" s="15">
        <v>3</v>
      </c>
      <c r="E237" s="17">
        <f>VLOOKUP(A237,[20]Result!$B$12:$D$84,2,FALSE)/10^3</f>
        <v>50285.453000000001</v>
      </c>
      <c r="F237" s="41">
        <f t="shared" si="42"/>
        <v>1.2030671041042156</v>
      </c>
      <c r="G237" s="44">
        <f>VLOOKUP(A237,'[21]General transpose'!$A$1:$AF$73,26,FALSE)/10^3</f>
        <v>1350.1949999999999</v>
      </c>
      <c r="H237" s="16">
        <f t="shared" si="44"/>
        <v>1610.3</v>
      </c>
      <c r="I237" s="18">
        <f>VLOOKUP(A237,'[21]General transpose'!$A$1:$AF$73,8,FALSE)</f>
        <v>201359</v>
      </c>
      <c r="J237" s="18">
        <f>VLOOKUP(A237,'[21]General transpose'!$A$1:$AF$73,16,FALSE)</f>
        <v>5180</v>
      </c>
      <c r="K237" s="18">
        <f t="shared" si="43"/>
        <v>3386.0000000000005</v>
      </c>
      <c r="L237" s="19">
        <f>VLOOKUP(A237,'[21]General transpose'!$A$1:$AF$73,17,FALSE)</f>
        <v>0.65366795366795372</v>
      </c>
      <c r="M237" s="9"/>
      <c r="N237" s="9"/>
    </row>
    <row r="238" spans="1:14" s="15" customFormat="1">
      <c r="A238" s="15" t="s">
        <v>37</v>
      </c>
      <c r="B238" s="15">
        <v>3006</v>
      </c>
      <c r="C238" s="43">
        <v>2015</v>
      </c>
      <c r="D238" s="15">
        <v>3</v>
      </c>
      <c r="E238" s="17">
        <f>VLOOKUP(A237,[20]Result!$B$12:$D$84,3,FALSE)/10^3</f>
        <v>58060.012000000002</v>
      </c>
      <c r="F238" s="41">
        <f t="shared" si="42"/>
        <v>1.2312762402864634</v>
      </c>
      <c r="G238" s="44">
        <f>VLOOKUP(A237,'[22]General transpose'!$A$1:$AF$73,26,FALSE)/10^3</f>
        <v>1391.623</v>
      </c>
      <c r="H238" s="16">
        <f t="shared" si="44"/>
        <v>1610.3</v>
      </c>
      <c r="I238" s="18">
        <f>VLOOKUP(A237,'[22]General transpose'!$A$1:$AF$73,8,FALSE)</f>
        <v>203466</v>
      </c>
      <c r="J238" s="18">
        <f>VLOOKUP(A237,'[22]General transpose'!$A$1:$AF$73,16,FALSE)</f>
        <v>5203</v>
      </c>
      <c r="K238" s="18">
        <f t="shared" si="43"/>
        <v>3404</v>
      </c>
      <c r="L238" s="19">
        <f>VLOOKUP(A237,'[22]General transpose'!$A$1:$AF$73,17,FALSE)</f>
        <v>0.65423793965020183</v>
      </c>
      <c r="M238" s="9"/>
      <c r="N238" s="9"/>
    </row>
    <row r="239" spans="1:14" s="15" customFormat="1">
      <c r="A239" s="15" t="s">
        <v>37</v>
      </c>
      <c r="B239" s="15">
        <v>3006</v>
      </c>
      <c r="C239" s="43">
        <v>2016</v>
      </c>
      <c r="D239" s="15">
        <v>3</v>
      </c>
      <c r="E239" s="17">
        <f>'[14]2016 Benchmarking Calculations'!$V$8/1000</f>
        <v>60562.293410000006</v>
      </c>
      <c r="F239" s="41">
        <f t="shared" si="42"/>
        <v>1.2455044937824149</v>
      </c>
      <c r="G239" s="44">
        <f>HLOOKUP(A239,[23]General!$A$1:$BQ$23,22,FALSE)/10^3</f>
        <v>1455.239</v>
      </c>
      <c r="H239" s="16">
        <f t="shared" si="44"/>
        <v>1610.3</v>
      </c>
      <c r="I239" s="18">
        <f>HLOOKUP(A239,[23]General!$A$1:$BQ$23,9,FALSE)</f>
        <v>204728</v>
      </c>
      <c r="J239" s="18">
        <f>HLOOKUP(A239,[23]General!$A$1:$BQ$23,17,FALSE)</f>
        <v>5220</v>
      </c>
      <c r="K239" s="18">
        <f t="shared" si="43"/>
        <v>3416</v>
      </c>
      <c r="L239" s="19">
        <f>HLOOKUP(A239,[23]General!$A$1:$BQ$23,18,FALSE)</f>
        <v>0.65440613026819927</v>
      </c>
      <c r="M239" s="9"/>
      <c r="N239" s="9"/>
    </row>
    <row r="240" spans="1:14" s="15" customFormat="1">
      <c r="A240" s="15" t="s">
        <v>37</v>
      </c>
      <c r="B240" s="15">
        <v>3006</v>
      </c>
      <c r="C240" s="43">
        <v>2017</v>
      </c>
      <c r="D240" s="15">
        <v>3</v>
      </c>
      <c r="E240" s="17"/>
      <c r="F240" s="41">
        <f t="shared" si="42"/>
        <v>1.2674505553724562</v>
      </c>
      <c r="G240" s="44"/>
      <c r="H240" s="16"/>
      <c r="I240" s="18"/>
      <c r="J240" s="18"/>
      <c r="L240" s="19"/>
      <c r="M240" s="9"/>
      <c r="N240" s="9"/>
    </row>
    <row r="241" spans="1:14" s="15" customFormat="1">
      <c r="A241" s="15" t="s">
        <v>37</v>
      </c>
      <c r="B241" s="15">
        <v>3006</v>
      </c>
      <c r="C241" s="43">
        <v>2018</v>
      </c>
      <c r="D241" s="15">
        <v>3</v>
      </c>
      <c r="E241" s="17"/>
      <c r="F241" s="41">
        <f t="shared" si="42"/>
        <v>1.2994718602728874</v>
      </c>
      <c r="G241" s="44"/>
      <c r="H241" s="16"/>
      <c r="I241" s="18"/>
      <c r="J241" s="18"/>
      <c r="L241" s="19"/>
      <c r="M241" s="9"/>
      <c r="N241" s="9"/>
    </row>
    <row r="242" spans="1:14" s="15" customFormat="1">
      <c r="A242" s="15" t="s">
        <v>37</v>
      </c>
      <c r="B242" s="15">
        <v>3006</v>
      </c>
      <c r="C242" s="43">
        <v>2019</v>
      </c>
      <c r="D242" s="15">
        <v>3</v>
      </c>
      <c r="E242" s="17"/>
      <c r="F242" s="41">
        <f t="shared" si="42"/>
        <v>1.3352608354138498</v>
      </c>
      <c r="G242" s="44"/>
      <c r="H242" s="16"/>
      <c r="I242" s="18"/>
      <c r="J242" s="18"/>
      <c r="L242" s="19"/>
      <c r="M242" s="9"/>
      <c r="N242" s="9"/>
    </row>
    <row r="243" spans="1:14">
      <c r="A243" s="15" t="str">
        <f>'[18]2. BM Database'!B160</f>
        <v>Entegrus Powerlines</v>
      </c>
      <c r="B243" s="15">
        <v>3022</v>
      </c>
      <c r="C243" s="43">
        <f>'[18]2. BM Database'!C160</f>
        <v>2005</v>
      </c>
      <c r="D243" s="15">
        <v>3</v>
      </c>
      <c r="E243" s="17">
        <f>'[18]2. BM Database'!F160/1000</f>
        <v>6773.0418600000003</v>
      </c>
      <c r="F243" s="41">
        <f t="shared" ref="F243:F257" si="45">F228</f>
        <v>1</v>
      </c>
      <c r="G243" s="44">
        <f>'[18]2. BM Database'!P160/1000</f>
        <v>224.559</v>
      </c>
      <c r="H243" s="16">
        <f>G243</f>
        <v>224.559</v>
      </c>
      <c r="I243" s="18">
        <f>'[18]2. BM Database'!L160</f>
        <v>39559</v>
      </c>
      <c r="J243" s="18">
        <f>'[18]2. BM Database'!R160</f>
        <v>901</v>
      </c>
      <c r="K243" s="18">
        <f t="shared" ref="K243:K254" si="46">J243*L243</f>
        <v>260</v>
      </c>
      <c r="L243" s="19">
        <f>'[18]2. BM Database'!T160</f>
        <v>0.28856825749167592</v>
      </c>
      <c r="M243" s="9"/>
      <c r="N243" s="9"/>
    </row>
    <row r="244" spans="1:14">
      <c r="A244" s="15" t="str">
        <f>'[18]2. BM Database'!B161</f>
        <v>Entegrus Powerlines</v>
      </c>
      <c r="B244" s="15">
        <v>3022</v>
      </c>
      <c r="C244" s="43">
        <f>'[18]2. BM Database'!C161</f>
        <v>2006</v>
      </c>
      <c r="D244" s="15">
        <v>3</v>
      </c>
      <c r="E244" s="17">
        <f>'[18]2. BM Database'!F161/1000</f>
        <v>6778.8699100000003</v>
      </c>
      <c r="F244" s="41">
        <f t="shared" si="45"/>
        <v>1.0181607380073696</v>
      </c>
      <c r="G244" s="44">
        <f>'[18]2. BM Database'!P161/1000</f>
        <v>224.07</v>
      </c>
      <c r="H244" s="16">
        <f>MAX(G244,H243)</f>
        <v>224.559</v>
      </c>
      <c r="I244" s="18">
        <f>'[18]2. BM Database'!L161</f>
        <v>39667</v>
      </c>
      <c r="J244" s="18">
        <f>'[18]2. BM Database'!R161</f>
        <v>898</v>
      </c>
      <c r="K244" s="18">
        <f t="shared" si="46"/>
        <v>242</v>
      </c>
      <c r="L244" s="19">
        <f>'[18]2. BM Database'!T161</f>
        <v>0.26948775055679286</v>
      </c>
      <c r="M244" s="9"/>
      <c r="N244" s="9"/>
    </row>
    <row r="245" spans="1:14">
      <c r="A245" s="15" t="str">
        <f>'[18]2. BM Database'!B162</f>
        <v>Entegrus Powerlines</v>
      </c>
      <c r="B245" s="15">
        <v>3022</v>
      </c>
      <c r="C245" s="43">
        <f>'[18]2. BM Database'!C162</f>
        <v>2007</v>
      </c>
      <c r="D245" s="15">
        <v>3</v>
      </c>
      <c r="E245" s="17">
        <f>'[18]2. BM Database'!F162/1000</f>
        <v>6787.3061299999999</v>
      </c>
      <c r="F245" s="41">
        <f t="shared" si="45"/>
        <v>1.0531931014872313</v>
      </c>
      <c r="G245" s="44">
        <f>'[18]2. BM Database'!P162/1000</f>
        <v>212.10499999999999</v>
      </c>
      <c r="H245" s="16">
        <f t="shared" ref="H245:H257" si="47">MAX(G245,H244)</f>
        <v>224.559</v>
      </c>
      <c r="I245" s="18">
        <f>'[18]2. BM Database'!L162</f>
        <v>39163</v>
      </c>
      <c r="J245" s="18">
        <f>'[18]2. BM Database'!R162</f>
        <v>892</v>
      </c>
      <c r="K245" s="18">
        <f t="shared" si="46"/>
        <v>240</v>
      </c>
      <c r="L245" s="19">
        <f>'[18]2. BM Database'!T162</f>
        <v>0.26905829596412556</v>
      </c>
      <c r="M245" s="9"/>
      <c r="N245" s="9"/>
    </row>
    <row r="246" spans="1:14">
      <c r="A246" s="15" t="str">
        <f>'[18]2. BM Database'!B163</f>
        <v>Entegrus Powerlines</v>
      </c>
      <c r="B246" s="15">
        <v>3022</v>
      </c>
      <c r="C246" s="43">
        <f>'[18]2. BM Database'!C163</f>
        <v>2008</v>
      </c>
      <c r="D246" s="15">
        <v>3</v>
      </c>
      <c r="E246" s="17">
        <f>'[18]2. BM Database'!F163/1000</f>
        <v>7060.0173500000001</v>
      </c>
      <c r="F246" s="41">
        <f t="shared" si="45"/>
        <v>1.078564603993923</v>
      </c>
      <c r="G246" s="44">
        <f>'[18]2. BM Database'!P163/1000</f>
        <v>202.81700000000001</v>
      </c>
      <c r="H246" s="16">
        <f t="shared" si="47"/>
        <v>224.559</v>
      </c>
      <c r="I246" s="18">
        <f>'[18]2. BM Database'!L163</f>
        <v>39120</v>
      </c>
      <c r="J246" s="18">
        <f>'[18]2. BM Database'!R163</f>
        <v>901</v>
      </c>
      <c r="K246" s="18">
        <f t="shared" si="46"/>
        <v>251</v>
      </c>
      <c r="L246" s="19">
        <f>'[18]2. BM Database'!T163</f>
        <v>0.27857935627081021</v>
      </c>
      <c r="M246" s="9"/>
      <c r="N246" s="9"/>
    </row>
    <row r="247" spans="1:14">
      <c r="A247" s="15" t="str">
        <f>'[18]2. BM Database'!B164</f>
        <v>Entegrus Powerlines</v>
      </c>
      <c r="B247" s="15">
        <v>3022</v>
      </c>
      <c r="C247" s="43">
        <f>'[18]2. BM Database'!C164</f>
        <v>2009</v>
      </c>
      <c r="D247" s="15">
        <v>3</v>
      </c>
      <c r="E247" s="17">
        <f>'[18]2. BM Database'!F164/1000</f>
        <v>7101.9831199999999</v>
      </c>
      <c r="F247" s="41">
        <f t="shared" si="45"/>
        <v>1.0915070880241431</v>
      </c>
      <c r="G247" s="44">
        <f>'[18]2. BM Database'!P164/1000</f>
        <v>184.67699999999999</v>
      </c>
      <c r="H247" s="16">
        <f t="shared" si="47"/>
        <v>224.559</v>
      </c>
      <c r="I247" s="18">
        <f>'[18]2. BM Database'!L164</f>
        <v>39836</v>
      </c>
      <c r="J247" s="18">
        <f>'[18]2. BM Database'!R164</f>
        <v>935</v>
      </c>
      <c r="K247" s="18">
        <f t="shared" si="46"/>
        <v>252.99999999999997</v>
      </c>
      <c r="L247" s="19">
        <f>'[18]2. BM Database'!T164</f>
        <v>0.27058823529411763</v>
      </c>
      <c r="M247" s="9"/>
      <c r="N247" s="9"/>
    </row>
    <row r="248" spans="1:14">
      <c r="A248" s="15" t="str">
        <f>'[18]2. BM Database'!B165</f>
        <v>Entegrus Powerlines</v>
      </c>
      <c r="B248" s="15">
        <v>3022</v>
      </c>
      <c r="C248" s="43">
        <f>'[18]2. BM Database'!C165</f>
        <v>2010</v>
      </c>
      <c r="D248" s="15">
        <v>3</v>
      </c>
      <c r="E248" s="17">
        <f>'[18]2. BM Database'!F165/1000</f>
        <v>8108.6048001489053</v>
      </c>
      <c r="F248" s="41">
        <f t="shared" si="45"/>
        <v>1.1243125351578573</v>
      </c>
      <c r="G248" s="44">
        <f>'[18]2. BM Database'!P165/1000</f>
        <v>198.4</v>
      </c>
      <c r="H248" s="16">
        <f t="shared" si="47"/>
        <v>224.559</v>
      </c>
      <c r="I248" s="18">
        <f>'[18]2. BM Database'!L165</f>
        <v>39892</v>
      </c>
      <c r="J248" s="18">
        <f>'[18]2. BM Database'!R165</f>
        <v>1008</v>
      </c>
      <c r="K248" s="18">
        <f t="shared" si="46"/>
        <v>310</v>
      </c>
      <c r="L248" s="19">
        <f>'[18]2. BM Database'!T165</f>
        <v>0.30753968253968256</v>
      </c>
      <c r="M248" s="9"/>
      <c r="N248" s="9"/>
    </row>
    <row r="249" spans="1:14">
      <c r="A249" s="15" t="str">
        <f>'[18]2. BM Database'!B166</f>
        <v>Entegrus Powerlines</v>
      </c>
      <c r="B249" s="15">
        <v>3022</v>
      </c>
      <c r="C249" s="43">
        <f>'[18]2. BM Database'!C166</f>
        <v>2011</v>
      </c>
      <c r="D249" s="15">
        <v>3</v>
      </c>
      <c r="E249" s="17">
        <f>'[18]2. BM Database'!F166/1000</f>
        <v>8427.8278200000004</v>
      </c>
      <c r="F249" s="41">
        <f t="shared" si="45"/>
        <v>1.1430978626415853</v>
      </c>
      <c r="G249" s="44">
        <f>'[18]2. BM Database'!P166/1000</f>
        <v>173.38499999999999</v>
      </c>
      <c r="H249" s="16">
        <f t="shared" si="47"/>
        <v>224.559</v>
      </c>
      <c r="I249" s="18">
        <f>'[18]2. BM Database'!L166</f>
        <v>40120</v>
      </c>
      <c r="J249" s="18">
        <f>'[18]2. BM Database'!R166</f>
        <v>946</v>
      </c>
      <c r="K249" s="18">
        <f t="shared" si="46"/>
        <v>268</v>
      </c>
      <c r="L249" s="19">
        <f>'[18]2. BM Database'!T166</f>
        <v>0.28329809725158561</v>
      </c>
      <c r="M249" s="9"/>
      <c r="N249" s="9"/>
    </row>
    <row r="250" spans="1:14">
      <c r="A250" s="15" t="str">
        <f>'[18]2. BM Database'!B167</f>
        <v>Entegrus Powerlines</v>
      </c>
      <c r="B250" s="15">
        <v>3022</v>
      </c>
      <c r="C250" s="43">
        <f>'[18]2. BM Database'!C167</f>
        <v>2012</v>
      </c>
      <c r="D250" s="15">
        <v>3</v>
      </c>
      <c r="E250" s="17">
        <f>'[18]2. BM Database'!F167/1000</f>
        <v>7989.4098829510967</v>
      </c>
      <c r="F250" s="41">
        <f t="shared" si="45"/>
        <v>1.160126854517312</v>
      </c>
      <c r="G250" s="44">
        <f>'[18]2. BM Database'!P167/1000</f>
        <v>199.69900000000001</v>
      </c>
      <c r="H250" s="16">
        <f t="shared" si="47"/>
        <v>224.559</v>
      </c>
      <c r="I250" s="18">
        <f>'[18]2. BM Database'!L167</f>
        <v>40232</v>
      </c>
      <c r="J250" s="18">
        <f>'[18]2. BM Database'!R167</f>
        <v>959</v>
      </c>
      <c r="K250" s="18">
        <f t="shared" si="46"/>
        <v>270</v>
      </c>
      <c r="L250" s="19">
        <f>'[18]2. BM Database'!T167</f>
        <v>0.28154327424400416</v>
      </c>
      <c r="M250" s="9"/>
      <c r="N250" s="9"/>
    </row>
    <row r="251" spans="1:14" s="15" customFormat="1">
      <c r="A251" s="15" t="s">
        <v>97</v>
      </c>
      <c r="B251" s="15">
        <v>3022</v>
      </c>
      <c r="C251" s="43">
        <v>2013</v>
      </c>
      <c r="D251" s="15">
        <v>3</v>
      </c>
      <c r="E251" s="17">
        <f>'[14]2013 Benchmarking Calculations'!$W$8/1000</f>
        <v>8926.2216800000006</v>
      </c>
      <c r="F251" s="41">
        <f t="shared" si="45"/>
        <v>1.178602141578931</v>
      </c>
      <c r="G251" s="44">
        <f>HLOOKUP(A251,'[19]2013 Benchmarking Calculations'!$I$3:$CC$76,57,FALSE)/1000</f>
        <v>193.03299999999999</v>
      </c>
      <c r="H251" s="16">
        <f t="shared" si="47"/>
        <v>224.559</v>
      </c>
      <c r="I251" s="18">
        <f>HLOOKUP(A251,'[19]2013 Benchmarking Calculations'!$I$3:$CC$76,53,FALSE)</f>
        <v>40385</v>
      </c>
      <c r="J251" s="18">
        <f>HLOOKUP(A251,'[19]2013 Benchmarking Calculations'!$I$3:$CC$76,71,FALSE)</f>
        <v>957</v>
      </c>
      <c r="K251" s="18">
        <f t="shared" si="46"/>
        <v>274</v>
      </c>
      <c r="L251" s="19">
        <f>HLOOKUP(A251,'[19]2013 PBR data '!B$42:BV$68,15,FALSE)/HLOOKUP(A251,'[19]2013 PBR data '!B$42:BV$68,13,FALSE)</f>
        <v>0.28631138975966564</v>
      </c>
      <c r="M251" s="9"/>
      <c r="N251" s="9"/>
    </row>
    <row r="252" spans="1:14" s="15" customFormat="1">
      <c r="A252" s="15" t="s">
        <v>97</v>
      </c>
      <c r="B252" s="15">
        <v>3022</v>
      </c>
      <c r="C252" s="43">
        <v>2014</v>
      </c>
      <c r="D252" s="15">
        <v>3</v>
      </c>
      <c r="E252" s="17">
        <f>[20]Result!$C$26/10^3</f>
        <v>8803.8690000000006</v>
      </c>
      <c r="F252" s="41">
        <f t="shared" si="45"/>
        <v>1.2030671041042156</v>
      </c>
      <c r="G252" s="44">
        <f>VLOOKUP(A252,'[21]General transpose'!$A$1:$AF$73,26,FALSE)/10^3</f>
        <v>173.75</v>
      </c>
      <c r="H252" s="16">
        <f t="shared" si="47"/>
        <v>224.559</v>
      </c>
      <c r="I252" s="18">
        <f>VLOOKUP(A252,'[21]General transpose'!$A$1:$AF$73,8,FALSE)</f>
        <v>40503</v>
      </c>
      <c r="J252" s="18">
        <f>VLOOKUP(A252,'[21]General transpose'!$A$1:$AF$73,16,FALSE)</f>
        <v>955</v>
      </c>
      <c r="K252" s="18">
        <f t="shared" si="46"/>
        <v>272</v>
      </c>
      <c r="L252" s="19">
        <f>VLOOKUP(A252,'[21]General transpose'!$A$1:$AF$73,17,FALSE)</f>
        <v>0.28481675392670158</v>
      </c>
      <c r="M252" s="9"/>
      <c r="N252" s="9"/>
    </row>
    <row r="253" spans="1:14" s="15" customFormat="1">
      <c r="A253" s="15" t="s">
        <v>97</v>
      </c>
      <c r="B253" s="15">
        <v>3022</v>
      </c>
      <c r="C253" s="43">
        <v>2015</v>
      </c>
      <c r="D253" s="15">
        <v>3</v>
      </c>
      <c r="E253" s="17">
        <f>[20]Result!$D$26/10^3</f>
        <v>8867.6290000000008</v>
      </c>
      <c r="F253" s="41">
        <f t="shared" si="45"/>
        <v>1.2312762402864634</v>
      </c>
      <c r="G253" s="44">
        <f>VLOOKUP(A252,'[22]General transpose'!$A$1:$AF$73,26,FALSE)/10^3</f>
        <v>175.602</v>
      </c>
      <c r="H253" s="16">
        <f t="shared" si="47"/>
        <v>224.559</v>
      </c>
      <c r="I253" s="18">
        <f>VLOOKUP(A252,'[22]General transpose'!$A$1:$AF$73,8,FALSE)</f>
        <v>40659</v>
      </c>
      <c r="J253" s="18">
        <f>VLOOKUP(A252,'[22]General transpose'!$A$1:$AF$73,16,FALSE)</f>
        <v>954</v>
      </c>
      <c r="K253" s="18">
        <f t="shared" si="46"/>
        <v>274</v>
      </c>
      <c r="L253" s="19">
        <f>VLOOKUP(A252,'[22]General transpose'!$A$1:$AF$73,17,FALSE)</f>
        <v>0.28721174004192873</v>
      </c>
      <c r="M253" s="9"/>
      <c r="N253" s="9"/>
    </row>
    <row r="254" spans="1:14" s="15" customFormat="1">
      <c r="A254" s="15" t="s">
        <v>97</v>
      </c>
      <c r="B254" s="15">
        <v>3022</v>
      </c>
      <c r="C254" s="43">
        <v>2016</v>
      </c>
      <c r="D254" s="15">
        <v>3</v>
      </c>
      <c r="E254" s="17">
        <f>'[14]2016 Benchmarking Calculations'!$W$8/1000</f>
        <v>9372.2300299999988</v>
      </c>
      <c r="F254" s="41">
        <f t="shared" si="45"/>
        <v>1.2455044937824149</v>
      </c>
      <c r="G254" s="44">
        <f>HLOOKUP(A254,[23]General!$A$1:$BQ$23,22,FALSE)/10^3</f>
        <v>195.28299999999999</v>
      </c>
      <c r="H254" s="16">
        <f t="shared" si="47"/>
        <v>224.559</v>
      </c>
      <c r="I254" s="18">
        <f>'[14]2016 Benchmarking Calculations'!$W$55</f>
        <v>40834</v>
      </c>
      <c r="J254" s="18">
        <f>HLOOKUP(A254,[23]General!$A$1:$BQ$23,17,FALSE)</f>
        <v>953</v>
      </c>
      <c r="K254" s="18">
        <f t="shared" si="46"/>
        <v>272</v>
      </c>
      <c r="L254" s="19">
        <f>HLOOKUP(A254,[23]General!$A$1:$BQ$23,18,FALSE)</f>
        <v>0.28541448058761804</v>
      </c>
      <c r="M254" s="9"/>
      <c r="N254" s="9"/>
    </row>
    <row r="255" spans="1:14" s="15" customFormat="1">
      <c r="A255" s="15" t="s">
        <v>97</v>
      </c>
      <c r="B255" s="15">
        <v>3022</v>
      </c>
      <c r="C255" s="43">
        <v>2017</v>
      </c>
      <c r="D255" s="15">
        <v>3</v>
      </c>
      <c r="E255" s="17">
        <f>'[14]2017 Benchmarking Calculations'!$Y$9/1000</f>
        <v>9247.1884999999984</v>
      </c>
      <c r="F255" s="41">
        <f t="shared" si="45"/>
        <v>1.2674505553724562</v>
      </c>
      <c r="G255" s="44">
        <f>[15]General!$O$20/1000</f>
        <v>173.916</v>
      </c>
      <c r="H255" s="16">
        <f t="shared" si="47"/>
        <v>224.559</v>
      </c>
      <c r="I255" s="18">
        <f>'[14]2017 Benchmarking Calculations'!$Y$56</f>
        <v>41143</v>
      </c>
      <c r="J255" s="18">
        <f>[15]General!$O$17</f>
        <v>988</v>
      </c>
      <c r="K255" s="18">
        <f>J255*L255</f>
        <v>291</v>
      </c>
      <c r="L255" s="19">
        <f>[15]General!$O$16/[15]General!$O$17</f>
        <v>0.29453441295546556</v>
      </c>
      <c r="M255" s="9"/>
      <c r="N255" s="9"/>
    </row>
    <row r="256" spans="1:14" s="15" customFormat="1">
      <c r="A256" s="15" t="s">
        <v>97</v>
      </c>
      <c r="B256" s="15">
        <v>3022</v>
      </c>
      <c r="C256" s="43">
        <v>2018</v>
      </c>
      <c r="D256" s="15">
        <v>3</v>
      </c>
      <c r="E256" s="17">
        <f>'[16]2018 Benchmarking Calculations'!$Y$10/1000</f>
        <v>13576.024710000002</v>
      </c>
      <c r="F256" s="41">
        <f t="shared" si="45"/>
        <v>1.2994718602728874</v>
      </c>
      <c r="G256" s="44">
        <f>'[16]2018 Benchmarking Calculations'!$Y$61/1000</f>
        <v>231.78200000000001</v>
      </c>
      <c r="H256" s="16">
        <f t="shared" si="47"/>
        <v>231.78200000000001</v>
      </c>
      <c r="I256" s="18">
        <f>'[16]2018 Benchmarking Calculations'!$Y$57</f>
        <v>59187</v>
      </c>
      <c r="J256" s="18">
        <f>'[16]2018 Utility Characteristics'!$S$103</f>
        <v>1243</v>
      </c>
      <c r="K256" s="18">
        <f>'[16]2018 Utility Characteristics'!$S$105</f>
        <v>408</v>
      </c>
      <c r="L256" s="19">
        <f>K256/J256</f>
        <v>0.32823813354786807</v>
      </c>
      <c r="M256" s="9"/>
      <c r="N256" s="9"/>
    </row>
    <row r="257" spans="1:14" s="15" customFormat="1">
      <c r="A257" s="15" t="s">
        <v>97</v>
      </c>
      <c r="B257" s="15">
        <v>3022</v>
      </c>
      <c r="C257" s="43">
        <v>2019</v>
      </c>
      <c r="D257" s="15">
        <v>3</v>
      </c>
      <c r="E257" s="17">
        <f>'[17]2019 Benchmarking Calculations'!$Y$10/1000</f>
        <v>13298.367649999998</v>
      </c>
      <c r="F257" s="41">
        <f t="shared" si="45"/>
        <v>1.3352608354138498</v>
      </c>
      <c r="G257" s="44">
        <f>'[17]2019 Benchmarking Calculations'!$Y$61/1000</f>
        <v>229.17400000000001</v>
      </c>
      <c r="H257" s="16">
        <f t="shared" si="47"/>
        <v>231.78200000000001</v>
      </c>
      <c r="I257" s="18">
        <f>'[17]2019 Benchmarking Calculations'!$Y$57</f>
        <v>59811</v>
      </c>
      <c r="J257" s="18">
        <f>'[17]2019 Utility Characteristics'!$S$16+'[17]2019 Utility Characteristics'!$S$18</f>
        <v>980</v>
      </c>
      <c r="K257" s="18">
        <f>'[17]2019 Utility Characteristics'!$S$18</f>
        <v>386</v>
      </c>
      <c r="L257" s="19">
        <f>K257/J257</f>
        <v>0.39387755102040817</v>
      </c>
      <c r="M257" s="9"/>
      <c r="N257" s="9"/>
    </row>
    <row r="258" spans="1:14">
      <c r="A258" s="15" t="str">
        <f>'[18]2. BM Database'!B171</f>
        <v>ENWIN UTILITIES LTD.</v>
      </c>
      <c r="B258" s="15">
        <v>3011</v>
      </c>
      <c r="C258" s="43">
        <f>'[18]2. BM Database'!C171</f>
        <v>2005</v>
      </c>
      <c r="D258" s="15">
        <v>3</v>
      </c>
      <c r="E258" s="17">
        <f>'[18]2. BM Database'!F171/1000</f>
        <v>20930.758999999998</v>
      </c>
      <c r="F258" s="41">
        <f t="shared" ref="F258:F272" si="48">F243</f>
        <v>1</v>
      </c>
      <c r="G258" s="44">
        <f>'[18]2. BM Database'!P171/1000</f>
        <v>640.29999999999995</v>
      </c>
      <c r="H258" s="16">
        <f>G258</f>
        <v>640.29999999999995</v>
      </c>
      <c r="I258" s="18">
        <f>'[18]2. BM Database'!L171</f>
        <v>84254</v>
      </c>
      <c r="J258" s="18">
        <f>'[18]2. BM Database'!R171</f>
        <v>1184</v>
      </c>
      <c r="K258" s="18">
        <f t="shared" ref="K258:K269" si="49">J258*L258</f>
        <v>371</v>
      </c>
      <c r="L258" s="19">
        <f>'[18]2. BM Database'!T171</f>
        <v>0.31334459459459457</v>
      </c>
      <c r="M258" s="9"/>
      <c r="N258" s="9"/>
    </row>
    <row r="259" spans="1:14">
      <c r="A259" s="15" t="str">
        <f>'[18]2. BM Database'!B172</f>
        <v>ENWIN UTILITIES LTD.</v>
      </c>
      <c r="B259" s="15">
        <v>3011</v>
      </c>
      <c r="C259" s="43">
        <f>'[18]2. BM Database'!C172</f>
        <v>2006</v>
      </c>
      <c r="D259" s="15">
        <v>3</v>
      </c>
      <c r="E259" s="17">
        <f>'[18]2. BM Database'!F172/1000</f>
        <v>21191.645</v>
      </c>
      <c r="F259" s="41">
        <f t="shared" si="48"/>
        <v>1.0181607380073696</v>
      </c>
      <c r="G259" s="44">
        <f>'[18]2. BM Database'!P172/1000</f>
        <v>656.7</v>
      </c>
      <c r="H259" s="16">
        <f>MAX(G259,H258)</f>
        <v>656.7</v>
      </c>
      <c r="I259" s="18">
        <f>'[18]2. BM Database'!L172</f>
        <v>84701</v>
      </c>
      <c r="J259" s="18">
        <f>'[18]2. BM Database'!R172</f>
        <v>1158</v>
      </c>
      <c r="K259" s="18">
        <f t="shared" si="49"/>
        <v>446</v>
      </c>
      <c r="L259" s="19">
        <f>'[18]2. BM Database'!T172</f>
        <v>0.38514680483592401</v>
      </c>
      <c r="M259" s="9"/>
      <c r="N259" s="9"/>
    </row>
    <row r="260" spans="1:14">
      <c r="A260" s="15" t="str">
        <f>'[18]2. BM Database'!B173</f>
        <v>ENWIN UTILITIES LTD.</v>
      </c>
      <c r="B260" s="15">
        <v>3011</v>
      </c>
      <c r="C260" s="43">
        <f>'[18]2. BM Database'!C173</f>
        <v>2007</v>
      </c>
      <c r="D260" s="15">
        <v>3</v>
      </c>
      <c r="E260" s="17">
        <f>'[18]2. BM Database'!F173/1000</f>
        <v>28361.38</v>
      </c>
      <c r="F260" s="41">
        <f t="shared" si="48"/>
        <v>1.0531931014872313</v>
      </c>
      <c r="G260" s="44">
        <f>'[18]2. BM Database'!P173/1000</f>
        <v>577.9</v>
      </c>
      <c r="H260" s="16">
        <f t="shared" ref="H260:H272" si="50">MAX(G260,H259)</f>
        <v>656.7</v>
      </c>
      <c r="I260" s="18">
        <f>'[18]2. BM Database'!L173</f>
        <v>84757</v>
      </c>
      <c r="J260" s="18">
        <f>'[18]2. BM Database'!R173</f>
        <v>1133</v>
      </c>
      <c r="K260" s="18">
        <f t="shared" si="49"/>
        <v>410</v>
      </c>
      <c r="L260" s="19">
        <f>'[18]2. BM Database'!T173</f>
        <v>0.36187113857016767</v>
      </c>
      <c r="M260" s="9"/>
      <c r="N260" s="9"/>
    </row>
    <row r="261" spans="1:14">
      <c r="A261" s="15" t="str">
        <f>'[18]2. BM Database'!B174</f>
        <v>ENWIN UTILITIES LTD.</v>
      </c>
      <c r="B261" s="15">
        <v>3011</v>
      </c>
      <c r="C261" s="43">
        <f>'[18]2. BM Database'!C174</f>
        <v>2008</v>
      </c>
      <c r="D261" s="15">
        <v>3</v>
      </c>
      <c r="E261" s="17">
        <f>'[18]2. BM Database'!F174/1000</f>
        <v>20523.552</v>
      </c>
      <c r="F261" s="41">
        <f t="shared" si="48"/>
        <v>1.078564603993923</v>
      </c>
      <c r="G261" s="44">
        <f>'[18]2. BM Database'!P174/1000</f>
        <v>532.6</v>
      </c>
      <c r="H261" s="16">
        <f t="shared" si="50"/>
        <v>656.7</v>
      </c>
      <c r="I261" s="18">
        <f>'[18]2. BM Database'!L174</f>
        <v>84644</v>
      </c>
      <c r="J261" s="18">
        <f>'[18]2. BM Database'!R174</f>
        <v>1133</v>
      </c>
      <c r="K261" s="18">
        <f t="shared" si="49"/>
        <v>410</v>
      </c>
      <c r="L261" s="19">
        <f>'[18]2. BM Database'!T174</f>
        <v>0.36187113857016767</v>
      </c>
      <c r="M261" s="9"/>
      <c r="N261" s="9"/>
    </row>
    <row r="262" spans="1:14">
      <c r="A262" s="15" t="str">
        <f>'[18]2. BM Database'!B175</f>
        <v>ENWIN UTILITIES LTD.</v>
      </c>
      <c r="B262" s="15">
        <v>3011</v>
      </c>
      <c r="C262" s="43">
        <f>'[18]2. BM Database'!C175</f>
        <v>2009</v>
      </c>
      <c r="D262" s="15">
        <v>3</v>
      </c>
      <c r="E262" s="17">
        <f>'[18]2. BM Database'!F175/1000</f>
        <v>19235.053399999997</v>
      </c>
      <c r="F262" s="41">
        <f t="shared" si="48"/>
        <v>1.0915070880241431</v>
      </c>
      <c r="G262" s="44">
        <f>'[18]2. BM Database'!P175/1000</f>
        <v>494.9</v>
      </c>
      <c r="H262" s="16">
        <f t="shared" si="50"/>
        <v>656.7</v>
      </c>
      <c r="I262" s="18">
        <f>'[18]2. BM Database'!L175</f>
        <v>84697</v>
      </c>
      <c r="J262" s="18">
        <f>'[18]2. BM Database'!R175</f>
        <v>1127</v>
      </c>
      <c r="K262" s="18">
        <f t="shared" si="49"/>
        <v>414</v>
      </c>
      <c r="L262" s="19">
        <f>'[18]2. BM Database'!T175</f>
        <v>0.36734693877551022</v>
      </c>
      <c r="M262" s="9"/>
      <c r="N262" s="9"/>
    </row>
    <row r="263" spans="1:14">
      <c r="A263" s="15" t="str">
        <f>'[18]2. BM Database'!B176</f>
        <v>ENWIN UTILITIES LTD.</v>
      </c>
      <c r="B263" s="15">
        <v>3011</v>
      </c>
      <c r="C263" s="43">
        <f>'[18]2. BM Database'!C176</f>
        <v>2010</v>
      </c>
      <c r="D263" s="15">
        <v>3</v>
      </c>
      <c r="E263" s="17">
        <f>'[18]2. BM Database'!F176/1000</f>
        <v>21711.555</v>
      </c>
      <c r="F263" s="41">
        <f t="shared" si="48"/>
        <v>1.1243125351578573</v>
      </c>
      <c r="G263" s="44">
        <f>'[18]2. BM Database'!P176/1000</f>
        <v>517.6</v>
      </c>
      <c r="H263" s="16">
        <f t="shared" si="50"/>
        <v>656.7</v>
      </c>
      <c r="I263" s="18">
        <f>'[18]2. BM Database'!L176</f>
        <v>84866</v>
      </c>
      <c r="J263" s="18">
        <f>'[18]2. BM Database'!R176</f>
        <v>1179</v>
      </c>
      <c r="K263" s="18">
        <f t="shared" si="49"/>
        <v>466</v>
      </c>
      <c r="L263" s="19">
        <f>'[18]2. BM Database'!T176</f>
        <v>0.39525021204410515</v>
      </c>
      <c r="M263" s="9"/>
      <c r="N263" s="9"/>
    </row>
    <row r="264" spans="1:14">
      <c r="A264" s="15" t="str">
        <f>'[18]2. BM Database'!B177</f>
        <v>ENWIN UTILITIES LTD.</v>
      </c>
      <c r="B264" s="15">
        <v>3011</v>
      </c>
      <c r="C264" s="43">
        <f>'[18]2. BM Database'!C177</f>
        <v>2011</v>
      </c>
      <c r="D264" s="15">
        <v>3</v>
      </c>
      <c r="E264" s="17">
        <f>'[18]2. BM Database'!F177/1000</f>
        <v>22272.713230000001</v>
      </c>
      <c r="F264" s="41">
        <f t="shared" si="48"/>
        <v>1.1430978626415853</v>
      </c>
      <c r="G264" s="44">
        <f>'[18]2. BM Database'!P177/1000</f>
        <v>550.9</v>
      </c>
      <c r="H264" s="16">
        <f t="shared" si="50"/>
        <v>656.7</v>
      </c>
      <c r="I264" s="18">
        <f>'[18]2. BM Database'!L177</f>
        <v>85083</v>
      </c>
      <c r="J264" s="18">
        <f>'[18]2. BM Database'!R177</f>
        <v>1176</v>
      </c>
      <c r="K264" s="18">
        <f t="shared" si="49"/>
        <v>467.00000000000006</v>
      </c>
      <c r="L264" s="19">
        <f>'[18]2. BM Database'!T177</f>
        <v>0.39710884353741499</v>
      </c>
      <c r="M264" s="9"/>
      <c r="N264" s="9"/>
    </row>
    <row r="265" spans="1:14">
      <c r="A265" s="15" t="str">
        <f>'[18]2. BM Database'!B178</f>
        <v>ENWIN UTILITIES LTD.</v>
      </c>
      <c r="B265" s="15">
        <v>3011</v>
      </c>
      <c r="C265" s="43">
        <f>'[18]2. BM Database'!C178</f>
        <v>2012</v>
      </c>
      <c r="D265" s="15">
        <v>3</v>
      </c>
      <c r="E265" s="17">
        <f>'[18]2. BM Database'!F178/1000</f>
        <v>25470.629300000001</v>
      </c>
      <c r="F265" s="41">
        <f t="shared" si="48"/>
        <v>1.160126854517312</v>
      </c>
      <c r="G265" s="44">
        <f>'[18]2. BM Database'!P178/1000</f>
        <v>516.29999999999995</v>
      </c>
      <c r="H265" s="16">
        <f t="shared" si="50"/>
        <v>656.7</v>
      </c>
      <c r="I265" s="18">
        <f>'[18]2. BM Database'!L178</f>
        <v>85620</v>
      </c>
      <c r="J265" s="18">
        <f>'[18]2. BM Database'!R178</f>
        <v>1159</v>
      </c>
      <c r="K265" s="18">
        <f t="shared" si="49"/>
        <v>468</v>
      </c>
      <c r="L265" s="19">
        <f>'[18]2. BM Database'!T178</f>
        <v>0.40379637618636754</v>
      </c>
      <c r="M265" s="9"/>
      <c r="N265" s="9"/>
    </row>
    <row r="266" spans="1:14" s="15" customFormat="1">
      <c r="A266" s="15" t="s">
        <v>38</v>
      </c>
      <c r="B266" s="15">
        <v>3011</v>
      </c>
      <c r="C266" s="43">
        <v>2013</v>
      </c>
      <c r="D266" s="15">
        <v>3</v>
      </c>
      <c r="E266" s="17">
        <f>HLOOKUP(A266,'[19]2013 Benchmarking Calculations'!$I$3:$CC$76,6,FALSE)/1000</f>
        <v>21511.933100000002</v>
      </c>
      <c r="F266" s="41">
        <f t="shared" si="48"/>
        <v>1.178602141578931</v>
      </c>
      <c r="G266" s="44">
        <f>HLOOKUP(A266,'[19]2013 Benchmarking Calculations'!$I$3:$CC$76,57,FALSE)/1000</f>
        <v>491.1</v>
      </c>
      <c r="H266" s="16">
        <f t="shared" si="50"/>
        <v>656.7</v>
      </c>
      <c r="I266" s="18">
        <f>HLOOKUP(A266,'[19]2013 Benchmarking Calculations'!$I$3:$CC$76,53,FALSE)</f>
        <v>86018</v>
      </c>
      <c r="J266" s="18">
        <f>HLOOKUP(A266,'[19]2013 Benchmarking Calculations'!$I$3:$CC$76,71,FALSE)</f>
        <v>1157</v>
      </c>
      <c r="K266" s="18">
        <f t="shared" si="49"/>
        <v>469</v>
      </c>
      <c r="L266" s="19">
        <f>HLOOKUP(A266,'[19]2013 PBR data '!B$42:BV$68,15,FALSE)/HLOOKUP(A266,'[19]2013 PBR data '!B$42:BV$68,13,FALSE)</f>
        <v>0.40535868625756266</v>
      </c>
      <c r="M266" s="9"/>
      <c r="N266" s="9"/>
    </row>
    <row r="267" spans="1:14" s="15" customFormat="1">
      <c r="A267" s="15" t="s">
        <v>38</v>
      </c>
      <c r="B267" s="15">
        <v>3011</v>
      </c>
      <c r="C267" s="43">
        <v>2014</v>
      </c>
      <c r="D267" s="15">
        <v>3</v>
      </c>
      <c r="E267" s="17">
        <f>VLOOKUP(A267,[20]Result!$B$12:$D$84,2,FALSE)/10^3</f>
        <v>22773.168000000001</v>
      </c>
      <c r="F267" s="41">
        <f t="shared" si="48"/>
        <v>1.2030671041042156</v>
      </c>
      <c r="G267" s="44">
        <f>VLOOKUP(A267,'[21]General transpose'!$A$1:$AF$73,26,FALSE)/10^3</f>
        <v>451.5</v>
      </c>
      <c r="H267" s="16">
        <f t="shared" si="50"/>
        <v>656.7</v>
      </c>
      <c r="I267" s="18">
        <f>VLOOKUP(A267,'[21]General transpose'!$A$1:$AF$73,8,FALSE)</f>
        <v>86662</v>
      </c>
      <c r="J267" s="18">
        <f>VLOOKUP(A267,'[21]General transpose'!$A$1:$AF$73,16,FALSE)</f>
        <v>1157</v>
      </c>
      <c r="K267" s="18">
        <f t="shared" si="49"/>
        <v>469</v>
      </c>
      <c r="L267" s="19">
        <f>VLOOKUP(A267,'[21]General transpose'!$A$1:$AF$73,17,FALSE)</f>
        <v>0.40535868625756266</v>
      </c>
      <c r="M267" s="9"/>
      <c r="N267" s="9"/>
    </row>
    <row r="268" spans="1:14" s="15" customFormat="1">
      <c r="A268" s="15" t="s">
        <v>38</v>
      </c>
      <c r="B268" s="15">
        <v>3011</v>
      </c>
      <c r="C268" s="43">
        <v>2015</v>
      </c>
      <c r="D268" s="15">
        <v>3</v>
      </c>
      <c r="E268" s="17">
        <f>VLOOKUP(A267,[20]Result!$B$12:$D$84,3,FALSE)/10^3</f>
        <v>23151.257000000001</v>
      </c>
      <c r="F268" s="41">
        <f t="shared" si="48"/>
        <v>1.2312762402864634</v>
      </c>
      <c r="G268" s="44">
        <f>VLOOKUP(A267,'[22]General transpose'!$A$1:$AF$73,26,FALSE)/10^3</f>
        <v>463.4</v>
      </c>
      <c r="H268" s="16">
        <f t="shared" si="50"/>
        <v>656.7</v>
      </c>
      <c r="I268" s="18">
        <f>VLOOKUP(A267,'[22]General transpose'!$A$1:$AF$73,8,FALSE)</f>
        <v>87212</v>
      </c>
      <c r="J268" s="18">
        <f>VLOOKUP(A267,'[22]General transpose'!$A$1:$AF$73,16,FALSE)</f>
        <v>1114</v>
      </c>
      <c r="K268" s="18">
        <f t="shared" si="49"/>
        <v>444</v>
      </c>
      <c r="L268" s="19">
        <f>VLOOKUP(A267,'[22]General transpose'!$A$1:$AF$73,17,FALSE)</f>
        <v>0.3985637342908438</v>
      </c>
      <c r="M268" s="9"/>
      <c r="N268" s="9"/>
    </row>
    <row r="269" spans="1:14" s="15" customFormat="1">
      <c r="A269" s="15" t="s">
        <v>38</v>
      </c>
      <c r="B269" s="15">
        <v>3011</v>
      </c>
      <c r="C269" s="43">
        <v>2016</v>
      </c>
      <c r="D269" s="15">
        <v>3</v>
      </c>
      <c r="E269" s="17">
        <f>'[14]2016 Benchmarking Calculations'!$X$8/1000</f>
        <v>24226.655849999999</v>
      </c>
      <c r="F269" s="41">
        <f t="shared" si="48"/>
        <v>1.2455044937824149</v>
      </c>
      <c r="G269" s="44">
        <f>HLOOKUP(A269,[23]General!$A$1:$BQ$23,22,FALSE)/10^3</f>
        <v>486.4</v>
      </c>
      <c r="H269" s="16">
        <f t="shared" si="50"/>
        <v>656.7</v>
      </c>
      <c r="I269" s="18">
        <f>HLOOKUP(A269,[23]General!$A$1:$BQ$23,9,FALSE)</f>
        <v>87901</v>
      </c>
      <c r="J269" s="18">
        <f>HLOOKUP(A269,[23]General!$A$1:$BQ$23,17,FALSE)</f>
        <v>1116</v>
      </c>
      <c r="K269" s="18">
        <f t="shared" si="49"/>
        <v>448</v>
      </c>
      <c r="L269" s="19">
        <f>HLOOKUP(A269,[23]General!$A$1:$BQ$23,18,FALSE)</f>
        <v>0.40143369175627241</v>
      </c>
      <c r="M269" s="9"/>
      <c r="N269" s="9"/>
    </row>
    <row r="270" spans="1:14" s="15" customFormat="1">
      <c r="A270" s="15" t="s">
        <v>38</v>
      </c>
      <c r="B270" s="15">
        <v>3011</v>
      </c>
      <c r="C270" s="43">
        <v>2017</v>
      </c>
      <c r="D270" s="15">
        <v>3</v>
      </c>
      <c r="E270" s="17">
        <f>'[14]2017 Benchmarking Calculations'!$Z$9/1000</f>
        <v>26481.205320000001</v>
      </c>
      <c r="F270" s="41">
        <f t="shared" si="48"/>
        <v>1.2674505553724562</v>
      </c>
      <c r="G270" s="44">
        <f>[15]General!$P$20/1000</f>
        <v>464.2</v>
      </c>
      <c r="H270" s="16">
        <f t="shared" si="50"/>
        <v>656.7</v>
      </c>
      <c r="I270" s="18">
        <f>[15]General!$P$9</f>
        <v>88422</v>
      </c>
      <c r="J270" s="94">
        <f>J$269+(J$272-J$268)/4</f>
        <v>1123.5</v>
      </c>
      <c r="K270" s="94">
        <f>K$269+(K$272-K$268)/4</f>
        <v>453.5</v>
      </c>
      <c r="L270" s="19">
        <f>[15]General!$P$16/[15]General!$P$17</f>
        <v>0.43416370106761565</v>
      </c>
      <c r="M270" s="9"/>
      <c r="N270" s="9"/>
    </row>
    <row r="271" spans="1:14" s="15" customFormat="1">
      <c r="A271" s="15" t="s">
        <v>38</v>
      </c>
      <c r="B271" s="15">
        <v>3011</v>
      </c>
      <c r="C271" s="43">
        <v>2018</v>
      </c>
      <c r="D271" s="15">
        <v>3</v>
      </c>
      <c r="E271" s="17">
        <f>'[16]2018 Benchmarking Calculations'!$Z$10/1000</f>
        <v>25555.586070000005</v>
      </c>
      <c r="F271" s="41">
        <f t="shared" si="48"/>
        <v>1.2994718602728874</v>
      </c>
      <c r="G271" s="44">
        <f>'[16]2018 Benchmarking Calculations'!$Z$61/1000</f>
        <v>488.9</v>
      </c>
      <c r="H271" s="16">
        <f t="shared" si="50"/>
        <v>656.7</v>
      </c>
      <c r="I271" s="18">
        <f>'[16]2018 Benchmarking Calculations'!$Z$57</f>
        <v>88978</v>
      </c>
      <c r="J271" s="94">
        <f>J$269+(J$272-J$268)/4</f>
        <v>1123.5</v>
      </c>
      <c r="K271" s="94">
        <f>K$269+(K$272-K$268)/4</f>
        <v>453.5</v>
      </c>
      <c r="L271" s="19">
        <f>K271/J271</f>
        <v>0.40364931019136624</v>
      </c>
      <c r="M271" s="9"/>
      <c r="N271" s="9"/>
    </row>
    <row r="272" spans="1:14" s="15" customFormat="1">
      <c r="A272" s="15" t="s">
        <v>38</v>
      </c>
      <c r="B272" s="15">
        <v>3011</v>
      </c>
      <c r="C272" s="43">
        <v>2019</v>
      </c>
      <c r="D272" s="15">
        <v>3</v>
      </c>
      <c r="E272" s="17">
        <f>'[17]2019 Benchmarking Calculations'!$Z$10/1000</f>
        <v>24432.744719999999</v>
      </c>
      <c r="F272" s="41">
        <f t="shared" si="48"/>
        <v>1.3352608354138498</v>
      </c>
      <c r="G272" s="44">
        <f>'[17]2019 Benchmarking Calculations'!$Z$61/1000</f>
        <v>454.3</v>
      </c>
      <c r="H272" s="16">
        <f t="shared" si="50"/>
        <v>656.7</v>
      </c>
      <c r="I272" s="18">
        <f>'[17]2019 Benchmarking Calculations'!$Z$57</f>
        <v>89561</v>
      </c>
      <c r="J272" s="18">
        <f>'[17]2019 Utility Characteristics'!$T$16+'[17]2019 Utility Characteristics'!$T$18</f>
        <v>1144</v>
      </c>
      <c r="K272" s="18">
        <f>'[17]2019 Utility Characteristics'!$T$18</f>
        <v>466</v>
      </c>
      <c r="L272" s="19">
        <f>K272/J272</f>
        <v>0.40734265734265734</v>
      </c>
      <c r="M272" s="9"/>
      <c r="N272" s="9"/>
    </row>
    <row r="273" spans="1:14">
      <c r="A273" s="15" t="str">
        <f>'[18]2. BM Database'!B182</f>
        <v>ERIE THAMES POWERLINES CORPORATION</v>
      </c>
      <c r="B273" s="15">
        <v>3039</v>
      </c>
      <c r="C273" s="43">
        <f>'[18]2. BM Database'!C182</f>
        <v>2005</v>
      </c>
      <c r="D273" s="15">
        <v>3</v>
      </c>
      <c r="E273" s="17">
        <f>'[18]2. BM Database'!F182/1000</f>
        <v>4837.3885400000008</v>
      </c>
      <c r="F273" s="41">
        <f t="shared" ref="F273:F287" si="51">F258</f>
        <v>1</v>
      </c>
      <c r="G273" s="44">
        <f>'[18]2. BM Database'!P182/1000</f>
        <v>86.411000000000001</v>
      </c>
      <c r="H273" s="16">
        <f>G273</f>
        <v>86.411000000000001</v>
      </c>
      <c r="I273" s="18">
        <f>'[18]2. BM Database'!L182</f>
        <v>17179</v>
      </c>
      <c r="J273" s="18">
        <f>'[18]2. BM Database'!R182</f>
        <v>313</v>
      </c>
      <c r="K273" s="18">
        <f t="shared" ref="K273:K284" si="52">J273*L273</f>
        <v>66</v>
      </c>
      <c r="L273" s="19">
        <f>'[18]2. BM Database'!T182</f>
        <v>0.2108626198083067</v>
      </c>
      <c r="M273" s="9"/>
      <c r="N273" s="9"/>
    </row>
    <row r="274" spans="1:14">
      <c r="A274" s="15" t="str">
        <f>'[18]2. BM Database'!B183</f>
        <v>ERIE THAMES POWERLINES CORPORATION</v>
      </c>
      <c r="B274" s="15">
        <v>3039</v>
      </c>
      <c r="C274" s="43">
        <f>'[18]2. BM Database'!C183</f>
        <v>2006</v>
      </c>
      <c r="D274" s="15">
        <v>3</v>
      </c>
      <c r="E274" s="17">
        <f>'[18]2. BM Database'!F183/1000</f>
        <v>5184.0973900000008</v>
      </c>
      <c r="F274" s="41">
        <f t="shared" si="51"/>
        <v>1.0181607380073696</v>
      </c>
      <c r="G274" s="44">
        <f>'[18]2. BM Database'!P183/1000</f>
        <v>95.022999999999996</v>
      </c>
      <c r="H274" s="16">
        <f>MAX(G274,H273)</f>
        <v>95.022999999999996</v>
      </c>
      <c r="I274" s="18">
        <f>'[18]2. BM Database'!L183</f>
        <v>15423</v>
      </c>
      <c r="J274" s="18">
        <f>'[18]2. BM Database'!R183</f>
        <v>313</v>
      </c>
      <c r="K274" s="18">
        <f t="shared" si="52"/>
        <v>66</v>
      </c>
      <c r="L274" s="19">
        <f>'[18]2. BM Database'!T183</f>
        <v>0.2108626198083067</v>
      </c>
      <c r="M274" s="9"/>
      <c r="N274" s="9"/>
    </row>
    <row r="275" spans="1:14">
      <c r="A275" s="15" t="str">
        <f>'[18]2. BM Database'!B184</f>
        <v>ERIE THAMES POWERLINES CORPORATION</v>
      </c>
      <c r="B275" s="15">
        <v>3039</v>
      </c>
      <c r="C275" s="43">
        <f>'[18]2. BM Database'!C184</f>
        <v>2007</v>
      </c>
      <c r="D275" s="15">
        <v>3</v>
      </c>
      <c r="E275" s="17">
        <f>'[18]2. BM Database'!F184/1000</f>
        <v>5882.967209999998</v>
      </c>
      <c r="F275" s="41">
        <f t="shared" si="51"/>
        <v>1.0531931014872313</v>
      </c>
      <c r="G275" s="44">
        <f>'[18]2. BM Database'!P184/1000</f>
        <v>94.218000000000004</v>
      </c>
      <c r="H275" s="16">
        <f t="shared" ref="H275:H287" si="53">MAX(G275,H274)</f>
        <v>95.022999999999996</v>
      </c>
      <c r="I275" s="18">
        <f>'[18]2. BM Database'!L184</f>
        <v>17854</v>
      </c>
      <c r="J275" s="18">
        <f>'[18]2. BM Database'!R184</f>
        <v>308</v>
      </c>
      <c r="K275" s="18">
        <f t="shared" si="52"/>
        <v>63.000000000000007</v>
      </c>
      <c r="L275" s="19">
        <f>'[18]2. BM Database'!T184</f>
        <v>0.20454545454545456</v>
      </c>
      <c r="M275" s="9"/>
      <c r="N275" s="9"/>
    </row>
    <row r="276" spans="1:14">
      <c r="A276" s="15" t="str">
        <f>'[18]2. BM Database'!B185</f>
        <v>ERIE THAMES POWERLINES CORPORATION</v>
      </c>
      <c r="B276" s="15">
        <v>3039</v>
      </c>
      <c r="C276" s="43">
        <f>'[18]2. BM Database'!C185</f>
        <v>2008</v>
      </c>
      <c r="D276" s="15">
        <v>3</v>
      </c>
      <c r="E276" s="17">
        <f>'[18]2. BM Database'!F185/1000</f>
        <v>6070.5361300000004</v>
      </c>
      <c r="F276" s="41">
        <f t="shared" si="51"/>
        <v>1.078564603993923</v>
      </c>
      <c r="G276" s="44">
        <f>'[18]2. BM Database'!P185/1000</f>
        <v>87.671999999999997</v>
      </c>
      <c r="H276" s="16">
        <f t="shared" si="53"/>
        <v>95.022999999999996</v>
      </c>
      <c r="I276" s="18">
        <f>'[18]2. BM Database'!L185</f>
        <v>16319</v>
      </c>
      <c r="J276" s="18">
        <f>'[18]2. BM Database'!R185</f>
        <v>301</v>
      </c>
      <c r="K276" s="18">
        <f t="shared" si="52"/>
        <v>66</v>
      </c>
      <c r="L276" s="19">
        <f>'[18]2. BM Database'!T185</f>
        <v>0.21926910299003322</v>
      </c>
      <c r="M276" s="9"/>
      <c r="N276" s="9"/>
    </row>
    <row r="277" spans="1:14">
      <c r="A277" s="15" t="str">
        <f>'[18]2. BM Database'!B186</f>
        <v>ERIE THAMES POWERLINES CORPORATION</v>
      </c>
      <c r="B277" s="15">
        <v>3039</v>
      </c>
      <c r="C277" s="43">
        <f>'[18]2. BM Database'!C186</f>
        <v>2009</v>
      </c>
      <c r="D277" s="15">
        <v>3</v>
      </c>
      <c r="E277" s="17">
        <f>'[18]2. BM Database'!F186/1000</f>
        <v>5648.4012200000006</v>
      </c>
      <c r="F277" s="41">
        <f t="shared" si="51"/>
        <v>1.0915070880241431</v>
      </c>
      <c r="G277" s="44">
        <f>'[18]2. BM Database'!P186/1000</f>
        <v>92.95</v>
      </c>
      <c r="H277" s="16">
        <f t="shared" si="53"/>
        <v>95.022999999999996</v>
      </c>
      <c r="I277" s="18">
        <f>'[18]2. BM Database'!L186</f>
        <v>17631</v>
      </c>
      <c r="J277" s="18">
        <f>'[18]2. BM Database'!R186</f>
        <v>327</v>
      </c>
      <c r="K277" s="18">
        <f t="shared" si="52"/>
        <v>73</v>
      </c>
      <c r="L277" s="19">
        <f>'[18]2. BM Database'!T186</f>
        <v>0.22324159021406728</v>
      </c>
      <c r="M277" s="9"/>
      <c r="N277" s="9"/>
    </row>
    <row r="278" spans="1:14">
      <c r="A278" s="15" t="str">
        <f>'[18]2. BM Database'!B187</f>
        <v>ERIE THAMES POWERLINES CORPORATION</v>
      </c>
      <c r="B278" s="15">
        <v>3039</v>
      </c>
      <c r="C278" s="43">
        <f>'[18]2. BM Database'!C187</f>
        <v>2010</v>
      </c>
      <c r="D278" s="15">
        <v>3</v>
      </c>
      <c r="E278" s="17">
        <f>'[18]2. BM Database'!F187/1000</f>
        <v>5859.02135</v>
      </c>
      <c r="F278" s="41">
        <f t="shared" si="51"/>
        <v>1.1243125351578573</v>
      </c>
      <c r="G278" s="44">
        <f>'[18]2. BM Database'!P187/1000</f>
        <v>91.125</v>
      </c>
      <c r="H278" s="16">
        <f t="shared" si="53"/>
        <v>95.022999999999996</v>
      </c>
      <c r="I278" s="18">
        <f>'[18]2. BM Database'!L187</f>
        <v>18061</v>
      </c>
      <c r="J278" s="18">
        <f>'[18]2. BM Database'!R187</f>
        <v>327</v>
      </c>
      <c r="K278" s="18">
        <f t="shared" si="52"/>
        <v>73</v>
      </c>
      <c r="L278" s="19">
        <f>'[18]2. BM Database'!T187</f>
        <v>0.22324159021406728</v>
      </c>
      <c r="M278" s="9"/>
      <c r="N278" s="9"/>
    </row>
    <row r="279" spans="1:14">
      <c r="A279" s="15" t="str">
        <f>'[18]2. BM Database'!B188</f>
        <v>ERIE THAMES POWERLINES CORPORATION</v>
      </c>
      <c r="B279" s="15">
        <v>3039</v>
      </c>
      <c r="C279" s="43">
        <f>'[18]2. BM Database'!C188</f>
        <v>2011</v>
      </c>
      <c r="D279" s="15">
        <v>3</v>
      </c>
      <c r="E279" s="17">
        <f>'[18]2. BM Database'!F188/1000</f>
        <v>5712.7602300000008</v>
      </c>
      <c r="F279" s="41">
        <f t="shared" si="51"/>
        <v>1.1430978626415853</v>
      </c>
      <c r="G279" s="44">
        <f>'[18]2. BM Database'!P188/1000</f>
        <v>92.146000000000001</v>
      </c>
      <c r="H279" s="16">
        <f t="shared" si="53"/>
        <v>95.022999999999996</v>
      </c>
      <c r="I279" s="18">
        <f>'[18]2. BM Database'!L188</f>
        <v>18094</v>
      </c>
      <c r="J279" s="18">
        <f>'[18]2. BM Database'!R188</f>
        <v>327</v>
      </c>
      <c r="K279" s="18">
        <f t="shared" si="52"/>
        <v>73</v>
      </c>
      <c r="L279" s="19">
        <f>'[18]2. BM Database'!T188</f>
        <v>0.22324159021406728</v>
      </c>
      <c r="M279" s="9"/>
      <c r="N279" s="9"/>
    </row>
    <row r="280" spans="1:14">
      <c r="A280" s="15" t="str">
        <f>'[18]2. BM Database'!B189</f>
        <v>ERIE THAMES POWERLINES CORPORATION</v>
      </c>
      <c r="B280" s="15">
        <v>3039</v>
      </c>
      <c r="C280" s="43">
        <f>'[18]2. BM Database'!C189</f>
        <v>2012</v>
      </c>
      <c r="D280" s="15">
        <v>3</v>
      </c>
      <c r="E280" s="17">
        <f>'[18]2. BM Database'!F189/1000</f>
        <v>4853.6510199999993</v>
      </c>
      <c r="F280" s="41">
        <f t="shared" si="51"/>
        <v>1.160126854517312</v>
      </c>
      <c r="G280" s="44">
        <f>'[18]2. BM Database'!P189/1000</f>
        <v>95.349000000000004</v>
      </c>
      <c r="H280" s="16">
        <f t="shared" si="53"/>
        <v>95.349000000000004</v>
      </c>
      <c r="I280" s="18">
        <f>'[18]2. BM Database'!L189</f>
        <v>18451</v>
      </c>
      <c r="J280" s="18">
        <f>'[18]2. BM Database'!R189</f>
        <v>337</v>
      </c>
      <c r="K280" s="18">
        <f t="shared" si="52"/>
        <v>88.000000000000014</v>
      </c>
      <c r="L280" s="19">
        <f>'[18]2. BM Database'!T189</f>
        <v>0.26112759643916916</v>
      </c>
      <c r="M280" s="9"/>
      <c r="N280" s="9"/>
    </row>
    <row r="281" spans="1:14" s="15" customFormat="1">
      <c r="A281" s="15" t="s">
        <v>39</v>
      </c>
      <c r="B281" s="15">
        <v>3039</v>
      </c>
      <c r="C281" s="43">
        <v>2013</v>
      </c>
      <c r="D281" s="15">
        <v>3</v>
      </c>
      <c r="E281" s="17">
        <f>HLOOKUP(A281,'[19]2013 Benchmarking Calculations'!$I$3:$CC$76,6,FALSE)/1000</f>
        <v>5504.4316200000003</v>
      </c>
      <c r="F281" s="41">
        <f t="shared" si="51"/>
        <v>1.178602141578931</v>
      </c>
      <c r="G281" s="44">
        <f>HLOOKUP(A281,'[19]2013 Benchmarking Calculations'!$I$3:$CC$76,57,FALSE)/1000</f>
        <v>108.68300000000001</v>
      </c>
      <c r="H281" s="16">
        <f t="shared" si="53"/>
        <v>108.68300000000001</v>
      </c>
      <c r="I281" s="18">
        <f>HLOOKUP(A281,'[19]2013 Benchmarking Calculations'!$I$3:$CC$76,53,FALSE)</f>
        <v>18123</v>
      </c>
      <c r="J281" s="18">
        <f>HLOOKUP(A281,'[19]2013 Benchmarking Calculations'!$I$3:$CC$76,71,FALSE)</f>
        <v>337</v>
      </c>
      <c r="K281" s="18">
        <f t="shared" si="52"/>
        <v>92</v>
      </c>
      <c r="L281" s="19">
        <f>HLOOKUP(A281,'[19]2013 PBR data '!B$42:BV$68,15,FALSE)/HLOOKUP(A281,'[19]2013 PBR data '!B$42:BV$68,13,FALSE)</f>
        <v>0.27299703264094954</v>
      </c>
      <c r="M281" s="9"/>
      <c r="N281" s="9"/>
    </row>
    <row r="282" spans="1:14" s="15" customFormat="1">
      <c r="A282" s="15" t="s">
        <v>39</v>
      </c>
      <c r="B282" s="15">
        <v>3039</v>
      </c>
      <c r="C282" s="43">
        <v>2014</v>
      </c>
      <c r="D282" s="15">
        <v>3</v>
      </c>
      <c r="E282" s="17">
        <f>VLOOKUP(A282,[20]Result!$B$12:$D$84,2,FALSE)/10^3</f>
        <v>5588.4210000000003</v>
      </c>
      <c r="F282" s="41">
        <f t="shared" si="51"/>
        <v>1.2030671041042156</v>
      </c>
      <c r="G282" s="44">
        <f>VLOOKUP(A282,'[21]General transpose'!$A$1:$AF$73,26,FALSE)/10^3</f>
        <v>80.997</v>
      </c>
      <c r="H282" s="16">
        <f t="shared" si="53"/>
        <v>108.68300000000001</v>
      </c>
      <c r="I282" s="18">
        <f>'[14]2014 Benchmarking Calculations'!$Y$55</f>
        <v>18269</v>
      </c>
      <c r="J282" s="18">
        <f>VLOOKUP(A282,'[21]General transpose'!$A$1:$AF$73,16,FALSE)</f>
        <v>342</v>
      </c>
      <c r="K282" s="18">
        <f t="shared" si="52"/>
        <v>95</v>
      </c>
      <c r="L282" s="19">
        <f>VLOOKUP(A282,'[21]General transpose'!$A$1:$AF$73,17,FALSE)</f>
        <v>0.27777777777777779</v>
      </c>
      <c r="M282" s="9"/>
      <c r="N282" s="9"/>
    </row>
    <row r="283" spans="1:14" s="15" customFormat="1">
      <c r="A283" s="15" t="s">
        <v>39</v>
      </c>
      <c r="B283" s="15">
        <v>3039</v>
      </c>
      <c r="C283" s="43">
        <v>2015</v>
      </c>
      <c r="D283" s="15">
        <v>3</v>
      </c>
      <c r="E283" s="17">
        <f>VLOOKUP(A282,[20]Result!$B$12:$D$84,3,FALSE)/10^3</f>
        <v>5682.2160000000003</v>
      </c>
      <c r="F283" s="41">
        <f t="shared" si="51"/>
        <v>1.2312762402864634</v>
      </c>
      <c r="G283" s="44">
        <f>VLOOKUP(A282,'[22]General transpose'!$A$1:$AF$73,26,FALSE)/10^3</f>
        <v>82.552000000000007</v>
      </c>
      <c r="H283" s="16">
        <f t="shared" si="53"/>
        <v>108.68300000000001</v>
      </c>
      <c r="I283" s="18">
        <f>'[14]2015 Benchmarking Calculations'!$Y$55</f>
        <v>18438</v>
      </c>
      <c r="J283" s="18">
        <f>VLOOKUP(A282,'[22]General transpose'!$A$1:$AF$73,16,FALSE)</f>
        <v>352</v>
      </c>
      <c r="K283" s="18">
        <f t="shared" si="52"/>
        <v>107</v>
      </c>
      <c r="L283" s="19">
        <f>VLOOKUP(A282,'[22]General transpose'!$A$1:$AF$73,17,FALSE)</f>
        <v>0.30397727272727271</v>
      </c>
      <c r="M283" s="9"/>
      <c r="N283" s="9"/>
    </row>
    <row r="284" spans="1:14" s="15" customFormat="1">
      <c r="A284" s="15" t="s">
        <v>39</v>
      </c>
      <c r="B284" s="15">
        <v>3039</v>
      </c>
      <c r="C284" s="43">
        <v>2016</v>
      </c>
      <c r="D284" s="15">
        <v>3</v>
      </c>
      <c r="E284" s="17">
        <f>'[14]2016 Benchmarking Calculations'!$Y$8/1000</f>
        <v>6058.0232599999999</v>
      </c>
      <c r="F284" s="41">
        <f t="shared" si="51"/>
        <v>1.2455044937824149</v>
      </c>
      <c r="G284" s="44">
        <f>HLOOKUP(A284,[23]General!$A$1:$BQ$23,22,FALSE)/10^3</f>
        <v>84.53</v>
      </c>
      <c r="H284" s="16">
        <f t="shared" si="53"/>
        <v>108.68300000000001</v>
      </c>
      <c r="I284" s="18">
        <f>'[14]2016 Benchmarking Calculations'!$Y$55</f>
        <v>18641</v>
      </c>
      <c r="J284" s="18">
        <f>HLOOKUP(A284,[23]General!$A$1:$BQ$23,17,FALSE)</f>
        <v>345</v>
      </c>
      <c r="K284" s="18">
        <f t="shared" si="52"/>
        <v>106.00000000000001</v>
      </c>
      <c r="L284" s="19">
        <f>HLOOKUP(A284,[23]General!$A$1:$BQ$23,18,FALSE)</f>
        <v>0.30724637681159422</v>
      </c>
      <c r="M284" s="9"/>
      <c r="N284" s="9"/>
    </row>
    <row r="285" spans="1:14" s="15" customFormat="1">
      <c r="A285" s="15" t="s">
        <v>39</v>
      </c>
      <c r="B285" s="15">
        <v>3039</v>
      </c>
      <c r="C285" s="43">
        <v>2017</v>
      </c>
      <c r="D285" s="15">
        <v>3</v>
      </c>
      <c r="E285" s="17">
        <f>'[14]2017 Benchmarking Calculations'!$AA$9/1000</f>
        <v>6303.1444799999999</v>
      </c>
      <c r="F285" s="41">
        <f t="shared" si="51"/>
        <v>1.2674505553724562</v>
      </c>
      <c r="G285" s="44">
        <f>'[14]2017 Benchmarking Calculations'!$AA$60/1000</f>
        <v>81.295000000000002</v>
      </c>
      <c r="H285" s="16">
        <f t="shared" si="53"/>
        <v>108.68300000000001</v>
      </c>
      <c r="I285" s="18">
        <f>'[14]2017 Benchmarking Calculations'!$AA$56</f>
        <v>18952</v>
      </c>
      <c r="J285" s="18">
        <f>'[14]2017 Utility Characteristics'!$R$79</f>
        <v>347</v>
      </c>
      <c r="K285" s="15">
        <f>'[14]2017 Utility Characteristics'!$R$81</f>
        <v>108</v>
      </c>
      <c r="L285" s="19">
        <f>K285/J285</f>
        <v>0.31123919308357351</v>
      </c>
      <c r="M285" s="9"/>
      <c r="N285" s="9"/>
    </row>
    <row r="286" spans="1:14" s="15" customFormat="1">
      <c r="A286" s="15" t="s">
        <v>391</v>
      </c>
      <c r="B286" s="15">
        <v>3039</v>
      </c>
      <c r="C286" s="43">
        <v>2018</v>
      </c>
      <c r="D286" s="15">
        <v>3</v>
      </c>
      <c r="E286" s="17">
        <f>'[16]2018 Benchmarking Calculations'!$AA$10/1000</f>
        <v>6208.2089000000005</v>
      </c>
      <c r="F286" s="41">
        <f t="shared" si="51"/>
        <v>1.2994718602728874</v>
      </c>
      <c r="G286" s="44">
        <f>'[16]2018 Benchmarking Calculations'!$AA$61/1000</f>
        <v>82.700999999999993</v>
      </c>
      <c r="H286" s="16">
        <f t="shared" si="53"/>
        <v>108.68300000000001</v>
      </c>
      <c r="I286" s="18">
        <f>'[16]2018 Benchmarking Calculations'!$AA$57</f>
        <v>19242</v>
      </c>
      <c r="J286" s="18">
        <f>'[16]2018 Utility Characteristics'!$U$103</f>
        <v>352</v>
      </c>
      <c r="K286" s="18">
        <f>'[16]2018 Utility Characteristics'!$U$105</f>
        <v>107</v>
      </c>
      <c r="L286" s="19">
        <f>K286/J286</f>
        <v>0.30397727272727271</v>
      </c>
      <c r="M286" s="9"/>
      <c r="N286" s="9"/>
    </row>
    <row r="287" spans="1:14" s="15" customFormat="1">
      <c r="A287" s="15" t="s">
        <v>391</v>
      </c>
      <c r="B287" s="15">
        <v>3039</v>
      </c>
      <c r="C287" s="43">
        <v>2019</v>
      </c>
      <c r="D287" s="15">
        <v>3</v>
      </c>
      <c r="E287" s="17">
        <f>'[17]2019 Benchmarking Calculations'!$AA$10/1000</f>
        <v>7261.7215700000006</v>
      </c>
      <c r="F287" s="41">
        <f t="shared" si="51"/>
        <v>1.3352608354138498</v>
      </c>
      <c r="G287" s="44">
        <f>'[17]2019 Benchmarking Calculations'!$AA$61/1000</f>
        <v>111.736</v>
      </c>
      <c r="H287" s="16">
        <f t="shared" si="53"/>
        <v>111.736</v>
      </c>
      <c r="I287" s="18">
        <f>'[17]2019 Benchmarking Calculations'!$AA$57</f>
        <v>23384</v>
      </c>
      <c r="J287" s="18">
        <f>'[17]2019 Utility Characteristics'!$U$16+'[17]2019 Utility Characteristics'!$U$18</f>
        <v>437</v>
      </c>
      <c r="K287" s="18">
        <f>'[17]2019 Utility Characteristics'!$U$18</f>
        <v>142</v>
      </c>
      <c r="L287" s="19">
        <f>K287/J287</f>
        <v>0.32494279176201374</v>
      </c>
      <c r="M287" s="9"/>
      <c r="N287" s="9"/>
    </row>
    <row r="288" spans="1:14">
      <c r="A288" s="15" t="str">
        <f>'[18]2. BM Database'!B193</f>
        <v>ESPANOLA REGIONAL HYDRO DISTRIBUTION CORPORATION</v>
      </c>
      <c r="B288" s="15">
        <v>3067</v>
      </c>
      <c r="C288" s="43">
        <f>'[18]2. BM Database'!C193</f>
        <v>2005</v>
      </c>
      <c r="D288" s="15">
        <v>3</v>
      </c>
      <c r="E288" s="17">
        <f>'[18]2. BM Database'!F193/1000</f>
        <v>763.97604000000001</v>
      </c>
      <c r="F288" s="41">
        <f t="shared" ref="F288:F302" si="54">F273</f>
        <v>1</v>
      </c>
      <c r="G288" s="44">
        <f>'[18]2. BM Database'!P193/1000</f>
        <v>15.021000000000001</v>
      </c>
      <c r="H288" s="16">
        <f>G288</f>
        <v>15.021000000000001</v>
      </c>
      <c r="I288" s="18">
        <f>'[18]2. BM Database'!L193</f>
        <v>3315</v>
      </c>
      <c r="J288" s="18">
        <f>'[18]2. BM Database'!R193</f>
        <v>136</v>
      </c>
      <c r="K288" s="18">
        <f t="shared" ref="K288:K299" si="55">J288*L288</f>
        <v>11</v>
      </c>
      <c r="L288" s="19">
        <f>'[18]2. BM Database'!T193</f>
        <v>8.0882352941176475E-2</v>
      </c>
      <c r="M288" s="9"/>
      <c r="N288" s="9"/>
    </row>
    <row r="289" spans="1:14">
      <c r="A289" s="15" t="str">
        <f>'[18]2. BM Database'!B194</f>
        <v>ESPANOLA REGIONAL HYDRO DISTRIBUTION CORPORATION</v>
      </c>
      <c r="B289" s="15">
        <v>3067</v>
      </c>
      <c r="C289" s="43">
        <f>'[18]2. BM Database'!C194</f>
        <v>2006</v>
      </c>
      <c r="D289" s="15">
        <v>3</v>
      </c>
      <c r="E289" s="17">
        <f>'[18]2. BM Database'!F194/1000</f>
        <v>1011.1436565</v>
      </c>
      <c r="F289" s="41">
        <f t="shared" si="54"/>
        <v>1.0181607380073696</v>
      </c>
      <c r="G289" s="44">
        <f>'[18]2. BM Database'!P194/1000</f>
        <v>13.185</v>
      </c>
      <c r="H289" s="16">
        <f>MAX(G289,H288)</f>
        <v>15.021000000000001</v>
      </c>
      <c r="I289" s="18">
        <f>'[18]2. BM Database'!L194</f>
        <v>3331</v>
      </c>
      <c r="J289" s="18">
        <f>'[18]2. BM Database'!R194</f>
        <v>136</v>
      </c>
      <c r="K289" s="18">
        <f t="shared" si="55"/>
        <v>11</v>
      </c>
      <c r="L289" s="19">
        <f>'[18]2. BM Database'!T194</f>
        <v>8.0882352941176475E-2</v>
      </c>
      <c r="M289" s="9"/>
      <c r="N289" s="9"/>
    </row>
    <row r="290" spans="1:14">
      <c r="A290" s="15" t="str">
        <f>'[18]2. BM Database'!B195</f>
        <v>ESPANOLA REGIONAL HYDRO DISTRIBUTION CORPORATION</v>
      </c>
      <c r="B290" s="15">
        <v>3067</v>
      </c>
      <c r="C290" s="43">
        <f>'[18]2. BM Database'!C195</f>
        <v>2007</v>
      </c>
      <c r="D290" s="15">
        <v>3</v>
      </c>
      <c r="E290" s="17">
        <f>'[18]2. BM Database'!F195/1000</f>
        <v>1029.756521</v>
      </c>
      <c r="F290" s="41">
        <f t="shared" si="54"/>
        <v>1.0531931014872313</v>
      </c>
      <c r="G290" s="44">
        <f>'[18]2. BM Database'!P195/1000</f>
        <v>13.65</v>
      </c>
      <c r="H290" s="16">
        <f t="shared" ref="H290:H302" si="56">MAX(G290,H289)</f>
        <v>15.021000000000001</v>
      </c>
      <c r="I290" s="18">
        <f>'[18]2. BM Database'!L195</f>
        <v>3316</v>
      </c>
      <c r="J290" s="18">
        <f>'[18]2. BM Database'!R195</f>
        <v>137</v>
      </c>
      <c r="K290" s="18">
        <f t="shared" si="55"/>
        <v>11</v>
      </c>
      <c r="L290" s="19">
        <f>'[18]2. BM Database'!T195</f>
        <v>8.0291970802919707E-2</v>
      </c>
      <c r="M290" s="9"/>
      <c r="N290" s="9"/>
    </row>
    <row r="291" spans="1:14">
      <c r="A291" s="15" t="str">
        <f>'[18]2. BM Database'!B196</f>
        <v>ESPANOLA REGIONAL HYDRO DISTRIBUTION CORPORATION</v>
      </c>
      <c r="B291" s="15">
        <v>3067</v>
      </c>
      <c r="C291" s="43">
        <f>'[18]2. BM Database'!C196</f>
        <v>2008</v>
      </c>
      <c r="D291" s="15">
        <v>3</v>
      </c>
      <c r="E291" s="17">
        <f>'[18]2. BM Database'!F196/1000</f>
        <v>1067.9430460000001</v>
      </c>
      <c r="F291" s="41">
        <f t="shared" si="54"/>
        <v>1.078564603993923</v>
      </c>
      <c r="G291" s="44">
        <f>'[18]2. BM Database'!P196/1000</f>
        <v>14.006</v>
      </c>
      <c r="H291" s="16">
        <f t="shared" si="56"/>
        <v>15.021000000000001</v>
      </c>
      <c r="I291" s="18">
        <f>'[18]2. BM Database'!L196</f>
        <v>3349</v>
      </c>
      <c r="J291" s="18">
        <f>'[18]2. BM Database'!R196</f>
        <v>137</v>
      </c>
      <c r="K291" s="18">
        <f t="shared" si="55"/>
        <v>11</v>
      </c>
      <c r="L291" s="19">
        <f>'[18]2. BM Database'!T196</f>
        <v>8.0291970802919707E-2</v>
      </c>
      <c r="M291" s="9"/>
      <c r="N291" s="9"/>
    </row>
    <row r="292" spans="1:14">
      <c r="A292" s="15" t="str">
        <f>'[18]2. BM Database'!B197</f>
        <v>ESPANOLA REGIONAL HYDRO DISTRIBUTION CORPORATION</v>
      </c>
      <c r="B292" s="15">
        <v>3067</v>
      </c>
      <c r="C292" s="43">
        <f>'[18]2. BM Database'!C197</f>
        <v>2009</v>
      </c>
      <c r="D292" s="15">
        <v>3</v>
      </c>
      <c r="E292" s="17">
        <f>'[18]2. BM Database'!F197/1000</f>
        <v>1155.4188715</v>
      </c>
      <c r="F292" s="41">
        <f t="shared" si="54"/>
        <v>1.0915070880241431</v>
      </c>
      <c r="G292" s="44">
        <f>'[18]2. BM Database'!P197/1000</f>
        <v>15.59</v>
      </c>
      <c r="H292" s="16">
        <f t="shared" si="56"/>
        <v>15.59</v>
      </c>
      <c r="I292" s="18">
        <f>'[18]2. BM Database'!L197</f>
        <v>3359</v>
      </c>
      <c r="J292" s="18">
        <f>'[18]2. BM Database'!R197</f>
        <v>137</v>
      </c>
      <c r="K292" s="18">
        <f t="shared" si="55"/>
        <v>11</v>
      </c>
      <c r="L292" s="19">
        <f>'[18]2. BM Database'!T197</f>
        <v>8.0291970802919707E-2</v>
      </c>
      <c r="M292" s="9"/>
      <c r="N292" s="9"/>
    </row>
    <row r="293" spans="1:14">
      <c r="A293" s="15" t="str">
        <f>'[18]2. BM Database'!B198</f>
        <v>ESPANOLA REGIONAL HYDRO DISTRIBUTION CORPORATION</v>
      </c>
      <c r="B293" s="15">
        <v>3067</v>
      </c>
      <c r="C293" s="43">
        <f>'[18]2. BM Database'!C198</f>
        <v>2010</v>
      </c>
      <c r="D293" s="15">
        <v>3</v>
      </c>
      <c r="E293" s="17">
        <f>'[18]2. BM Database'!F198/1000</f>
        <v>1077.2754345000001</v>
      </c>
      <c r="F293" s="41">
        <f t="shared" si="54"/>
        <v>1.1243125351578573</v>
      </c>
      <c r="G293" s="44">
        <f>'[18]2. BM Database'!P198/1000</f>
        <v>13.449</v>
      </c>
      <c r="H293" s="16">
        <f t="shared" si="56"/>
        <v>15.59</v>
      </c>
      <c r="I293" s="18">
        <f>'[18]2. BM Database'!L198</f>
        <v>3300</v>
      </c>
      <c r="J293" s="18">
        <f>'[18]2. BM Database'!R198</f>
        <v>137</v>
      </c>
      <c r="K293" s="18">
        <f t="shared" si="55"/>
        <v>11</v>
      </c>
      <c r="L293" s="19">
        <f>'[18]2. BM Database'!T198</f>
        <v>8.0291970802919707E-2</v>
      </c>
      <c r="M293" s="9"/>
      <c r="N293" s="9"/>
    </row>
    <row r="294" spans="1:14">
      <c r="A294" s="15" t="str">
        <f>'[18]2. BM Database'!B199</f>
        <v>ESPANOLA REGIONAL HYDRO DISTRIBUTION CORPORATION</v>
      </c>
      <c r="B294" s="15">
        <v>3067</v>
      </c>
      <c r="C294" s="43">
        <f>'[18]2. BM Database'!C199</f>
        <v>2011</v>
      </c>
      <c r="D294" s="15">
        <v>3</v>
      </c>
      <c r="E294" s="17">
        <f>'[18]2. BM Database'!F199/1000</f>
        <v>1123.5866852195315</v>
      </c>
      <c r="F294" s="41">
        <f t="shared" si="54"/>
        <v>1.1430978626415853</v>
      </c>
      <c r="G294" s="44">
        <f>'[18]2. BM Database'!P199/1000</f>
        <v>13.753</v>
      </c>
      <c r="H294" s="16">
        <f t="shared" si="56"/>
        <v>15.59</v>
      </c>
      <c r="I294" s="18">
        <f>'[18]2. BM Database'!L199</f>
        <v>3299</v>
      </c>
      <c r="J294" s="18">
        <f>'[18]2. BM Database'!R199</f>
        <v>137</v>
      </c>
      <c r="K294" s="18">
        <f t="shared" si="55"/>
        <v>11</v>
      </c>
      <c r="L294" s="19">
        <f>'[18]2. BM Database'!T199</f>
        <v>8.0291970802919707E-2</v>
      </c>
      <c r="M294" s="9"/>
      <c r="N294" s="9"/>
    </row>
    <row r="295" spans="1:14">
      <c r="A295" s="15" t="str">
        <f>'[18]2. BM Database'!B200</f>
        <v>ESPANOLA REGIONAL HYDRO DISTRIBUTION CORPORATION</v>
      </c>
      <c r="B295" s="15">
        <v>3067</v>
      </c>
      <c r="C295" s="43">
        <f>'[18]2. BM Database'!C200</f>
        <v>2012</v>
      </c>
      <c r="D295" s="15">
        <v>3</v>
      </c>
      <c r="E295" s="17">
        <f>'[18]2. BM Database'!F200/1000</f>
        <v>1305.4509510999999</v>
      </c>
      <c r="F295" s="41">
        <f t="shared" si="54"/>
        <v>1.160126854517312</v>
      </c>
      <c r="G295" s="44">
        <f>'[18]2. BM Database'!P200/1000</f>
        <v>12.523999999999999</v>
      </c>
      <c r="H295" s="16">
        <f t="shared" si="56"/>
        <v>15.59</v>
      </c>
      <c r="I295" s="18">
        <f>'[18]2. BM Database'!L200</f>
        <v>3302</v>
      </c>
      <c r="J295" s="18">
        <f>'[18]2. BM Database'!R200</f>
        <v>137</v>
      </c>
      <c r="K295" s="18">
        <f t="shared" si="55"/>
        <v>11</v>
      </c>
      <c r="L295" s="19">
        <f>'[18]2. BM Database'!T200</f>
        <v>8.0291970802919707E-2</v>
      </c>
      <c r="M295" s="9"/>
      <c r="N295" s="9"/>
    </row>
    <row r="296" spans="1:14" s="15" customFormat="1">
      <c r="A296" s="15" t="s">
        <v>40</v>
      </c>
      <c r="B296" s="15">
        <v>3067</v>
      </c>
      <c r="C296" s="43">
        <v>2013</v>
      </c>
      <c r="D296" s="15">
        <v>3</v>
      </c>
      <c r="E296" s="17">
        <f>HLOOKUP(A296,'[19]2013 Benchmarking Calculations'!$I$3:$CC$76,6,FALSE)/1000</f>
        <v>1295.3672505</v>
      </c>
      <c r="F296" s="41">
        <f t="shared" si="54"/>
        <v>1.178602141578931</v>
      </c>
      <c r="G296" s="44">
        <f>HLOOKUP(A296,'[19]2013 Benchmarking Calculations'!$I$3:$CC$76,57,FALSE)/1000</f>
        <v>13.956</v>
      </c>
      <c r="H296" s="16">
        <f t="shared" si="56"/>
        <v>15.59</v>
      </c>
      <c r="I296" s="18">
        <f>HLOOKUP(A296,'[19]2013 Benchmarking Calculations'!$I$3:$CC$76,53,FALSE)</f>
        <v>3301</v>
      </c>
      <c r="J296" s="18">
        <f>HLOOKUP(A296,'[19]2013 Benchmarking Calculations'!$I$3:$CC$76,71,FALSE)</f>
        <v>138</v>
      </c>
      <c r="K296" s="18">
        <f t="shared" si="55"/>
        <v>10.999999999999998</v>
      </c>
      <c r="L296" s="19">
        <f>HLOOKUP(A296,'[19]2013 PBR data '!B$42:BV$68,15,FALSE)/HLOOKUP(A296,'[19]2013 PBR data '!B$42:BV$68,13,FALSE)</f>
        <v>7.9710144927536225E-2</v>
      </c>
      <c r="M296" s="9"/>
      <c r="N296" s="9"/>
    </row>
    <row r="297" spans="1:14" s="15" customFormat="1">
      <c r="A297" s="15" t="s">
        <v>40</v>
      </c>
      <c r="B297" s="15">
        <v>3067</v>
      </c>
      <c r="C297" s="43">
        <v>2014</v>
      </c>
      <c r="D297" s="15">
        <v>3</v>
      </c>
      <c r="E297" s="17">
        <f>VLOOKUP(A297,[20]Result!$B$12:$D$84,2,FALSE)/10^3</f>
        <v>1243.153</v>
      </c>
      <c r="F297" s="41">
        <f t="shared" si="54"/>
        <v>1.2030671041042156</v>
      </c>
      <c r="G297" s="44">
        <f>VLOOKUP(A297,'[21]General transpose'!$A$1:$AF$73,26,FALSE)/10^3</f>
        <v>12.074999999999999</v>
      </c>
      <c r="H297" s="16">
        <f t="shared" si="56"/>
        <v>15.59</v>
      </c>
      <c r="I297" s="18">
        <f>VLOOKUP(A297,'[21]General transpose'!$A$1:$AF$73,8,FALSE)</f>
        <v>3301</v>
      </c>
      <c r="J297" s="18">
        <f>VLOOKUP(A297,'[21]General transpose'!$A$1:$AF$73,16,FALSE)</f>
        <v>138</v>
      </c>
      <c r="K297" s="18">
        <f t="shared" si="55"/>
        <v>10.999999999999998</v>
      </c>
      <c r="L297" s="19">
        <f>VLOOKUP(A297,'[21]General transpose'!$A$1:$AF$73,17,FALSE)</f>
        <v>7.9710144927536225E-2</v>
      </c>
      <c r="M297" s="9"/>
      <c r="N297" s="9"/>
    </row>
    <row r="298" spans="1:14" s="15" customFormat="1">
      <c r="A298" s="15" t="s">
        <v>40</v>
      </c>
      <c r="B298" s="15">
        <v>3067</v>
      </c>
      <c r="C298" s="43">
        <v>2015</v>
      </c>
      <c r="D298" s="15">
        <v>3</v>
      </c>
      <c r="E298" s="17">
        <f>VLOOKUP(A297,[20]Result!$B$12:$D$84,3,FALSE)/10^3</f>
        <v>1434.729</v>
      </c>
      <c r="F298" s="41">
        <f t="shared" si="54"/>
        <v>1.2312762402864634</v>
      </c>
      <c r="G298" s="44">
        <f>VLOOKUP(A297,'[22]General transpose'!$A$1:$AF$73,26,FALSE)/10^3</f>
        <v>13.571</v>
      </c>
      <c r="H298" s="16">
        <f t="shared" si="56"/>
        <v>15.59</v>
      </c>
      <c r="I298" s="18">
        <f>VLOOKUP(A297,'[22]General transpose'!$A$1:$AF$73,8,FALSE)</f>
        <v>3289</v>
      </c>
      <c r="J298" s="18">
        <f>VLOOKUP(A297,'[22]General transpose'!$A$1:$AF$73,16,FALSE)</f>
        <v>140</v>
      </c>
      <c r="K298" s="18">
        <f t="shared" si="55"/>
        <v>11</v>
      </c>
      <c r="L298" s="19">
        <f>VLOOKUP(A297,'[22]General transpose'!$A$1:$AF$73,17,FALSE)</f>
        <v>7.857142857142857E-2</v>
      </c>
      <c r="M298" s="9"/>
      <c r="N298" s="9"/>
    </row>
    <row r="299" spans="1:14" s="15" customFormat="1">
      <c r="A299" s="15" t="s">
        <v>40</v>
      </c>
      <c r="B299" s="15">
        <v>3067</v>
      </c>
      <c r="C299" s="43">
        <v>2016</v>
      </c>
      <c r="D299" s="15">
        <v>3</v>
      </c>
      <c r="E299" s="17">
        <f>'[14]2016 Benchmarking Calculations'!$Z$8/1000</f>
        <v>1459.2686189999999</v>
      </c>
      <c r="F299" s="41">
        <f t="shared" si="54"/>
        <v>1.2455044937824149</v>
      </c>
      <c r="G299" s="44">
        <f>HLOOKUP(A299,[23]General!$A$1:$BQ$23,22,FALSE)/10^3</f>
        <v>12.316000000000001</v>
      </c>
      <c r="H299" s="16">
        <f t="shared" si="56"/>
        <v>15.59</v>
      </c>
      <c r="I299" s="18">
        <f>HLOOKUP(A299,[23]General!$A$1:$BQ$23,9,FALSE)</f>
        <v>3283</v>
      </c>
      <c r="J299" s="18">
        <f>HLOOKUP(A299,[23]General!$A$1:$BQ$23,17,FALSE)</f>
        <v>140</v>
      </c>
      <c r="K299" s="18">
        <f t="shared" si="55"/>
        <v>11</v>
      </c>
      <c r="L299" s="19">
        <f>HLOOKUP(A299,[23]General!$A$1:$BQ$23,18,FALSE)</f>
        <v>7.857142857142857E-2</v>
      </c>
      <c r="M299" s="9"/>
      <c r="N299" s="9"/>
    </row>
    <row r="300" spans="1:14" s="15" customFormat="1">
      <c r="A300" s="15" t="s">
        <v>40</v>
      </c>
      <c r="B300" s="15">
        <v>3067</v>
      </c>
      <c r="C300" s="43">
        <v>2017</v>
      </c>
      <c r="D300" s="15">
        <v>3</v>
      </c>
      <c r="E300" s="17">
        <f>'[14]2017 Benchmarking Calculations'!$AB$9/1000</f>
        <v>1452.1793185000001</v>
      </c>
      <c r="F300" s="41">
        <f t="shared" si="54"/>
        <v>1.2674505553724562</v>
      </c>
      <c r="G300" s="44">
        <f>'[14]2017 Benchmarking Calculations'!$AB$60/1000</f>
        <v>11.586</v>
      </c>
      <c r="H300" s="16">
        <f t="shared" si="56"/>
        <v>15.59</v>
      </c>
      <c r="I300" s="18">
        <f>'[14]2017 Benchmarking Calculations'!$AB$56</f>
        <v>3288</v>
      </c>
      <c r="J300" s="18">
        <f>'[14]2017 Utility Characteristics'!$S$79</f>
        <v>141</v>
      </c>
      <c r="K300" s="15">
        <f>'[14]2017 Utility Characteristics'!$S$81</f>
        <v>11</v>
      </c>
      <c r="L300" s="19">
        <f>K300/J300</f>
        <v>7.8014184397163122E-2</v>
      </c>
      <c r="M300" s="9"/>
      <c r="N300" s="9"/>
    </row>
    <row r="301" spans="1:14" s="15" customFormat="1">
      <c r="A301" s="15" t="s">
        <v>40</v>
      </c>
      <c r="B301" s="15">
        <v>3067</v>
      </c>
      <c r="C301" s="43">
        <v>2018</v>
      </c>
      <c r="D301" s="15">
        <v>3</v>
      </c>
      <c r="E301" s="17">
        <f>'[16]2018 Benchmarking Calculations'!$AB$10/1000</f>
        <v>1482.6291464999999</v>
      </c>
      <c r="F301" s="41">
        <f t="shared" si="54"/>
        <v>1.2994718602728874</v>
      </c>
      <c r="G301" s="44">
        <f>'[16]2018 Benchmarking Calculations'!$AB$61/1000</f>
        <v>15.504</v>
      </c>
      <c r="H301" s="16">
        <f t="shared" si="56"/>
        <v>15.59</v>
      </c>
      <c r="I301" s="18">
        <f>'[16]2018 Benchmarking Calculations'!$AB$57</f>
        <v>3303</v>
      </c>
      <c r="J301" s="18">
        <f>'[16]2018 Utility Characteristics'!$V$103</f>
        <v>141</v>
      </c>
      <c r="K301" s="18">
        <f>'[16]2018 Utility Characteristics'!$V$105</f>
        <v>11</v>
      </c>
      <c r="L301" s="19">
        <f>K301/J301</f>
        <v>7.8014184397163122E-2</v>
      </c>
      <c r="M301" s="9"/>
      <c r="N301" s="9"/>
    </row>
    <row r="302" spans="1:14" s="15" customFormat="1">
      <c r="A302" s="15" t="s">
        <v>40</v>
      </c>
      <c r="B302" s="15">
        <v>3067</v>
      </c>
      <c r="C302" s="43">
        <v>2019</v>
      </c>
      <c r="D302" s="15">
        <v>3</v>
      </c>
      <c r="E302" s="17">
        <f>'[17]2019 Benchmarking Calculations'!$AB$10/1000</f>
        <v>1709.6671699999999</v>
      </c>
      <c r="F302" s="41">
        <f t="shared" si="54"/>
        <v>1.3352608354138498</v>
      </c>
      <c r="G302" s="44">
        <f>'[17]2019 Benchmarking Calculations'!$AB$61/1000</f>
        <v>16.594000000000001</v>
      </c>
      <c r="H302" s="16">
        <f t="shared" si="56"/>
        <v>16.594000000000001</v>
      </c>
      <c r="I302" s="18">
        <f>'[17]2019 Benchmarking Calculations'!$AB$57</f>
        <v>3309</v>
      </c>
      <c r="J302" s="18">
        <f>'[17]2019 Utility Characteristics'!$V$16+'[17]2019 Utility Characteristics'!$V$18</f>
        <v>141</v>
      </c>
      <c r="K302" s="18">
        <f>'[17]2019 Utility Characteristics'!$V$18</f>
        <v>11</v>
      </c>
      <c r="L302" s="19">
        <f>K302/J302</f>
        <v>7.8014184397163122E-2</v>
      </c>
      <c r="M302" s="9"/>
      <c r="N302" s="9"/>
    </row>
    <row r="303" spans="1:14">
      <c r="A303" s="15" t="str">
        <f>'[18]2. BM Database'!B204</f>
        <v>ESSEX POWERLINES CORPORATION</v>
      </c>
      <c r="B303" s="15">
        <v>3030</v>
      </c>
      <c r="C303" s="43">
        <f>'[18]2. BM Database'!C204</f>
        <v>2005</v>
      </c>
      <c r="D303" s="15">
        <v>3</v>
      </c>
      <c r="E303" s="17">
        <f>'[18]2. BM Database'!F204/1000</f>
        <v>6312.4875199999997</v>
      </c>
      <c r="F303" s="41">
        <f t="shared" ref="F303" si="57">F288</f>
        <v>1</v>
      </c>
      <c r="G303" s="44">
        <f>'[18]2. BM Database'!P204/1000</f>
        <v>138.84200000000001</v>
      </c>
      <c r="H303" s="16">
        <f>G303</f>
        <v>138.84200000000001</v>
      </c>
      <c r="I303" s="18">
        <f>'[18]2. BM Database'!L204</f>
        <v>27437</v>
      </c>
      <c r="J303" s="18">
        <f>'[18]2. BM Database'!R204</f>
        <v>458</v>
      </c>
      <c r="K303" s="18">
        <f t="shared" ref="K303:K314" si="58">J303*L303</f>
        <v>225</v>
      </c>
      <c r="L303" s="19">
        <f>'[18]2. BM Database'!T204</f>
        <v>0.49126637554585151</v>
      </c>
      <c r="M303" s="9"/>
      <c r="N303" s="9"/>
    </row>
    <row r="304" spans="1:14">
      <c r="A304" s="15" t="str">
        <f>'[18]2. BM Database'!B205</f>
        <v>ESSEX POWERLINES CORPORATION</v>
      </c>
      <c r="B304" s="15">
        <v>3030</v>
      </c>
      <c r="C304" s="43">
        <f>'[18]2. BM Database'!C205</f>
        <v>2006</v>
      </c>
      <c r="D304" s="15">
        <v>3</v>
      </c>
      <c r="E304" s="17">
        <f>'[18]2. BM Database'!F205/1000</f>
        <v>5913.5433100000009</v>
      </c>
      <c r="F304" s="41">
        <f t="shared" ref="F304:F317" si="59">F289</f>
        <v>1.0181607380073696</v>
      </c>
      <c r="G304" s="44">
        <f>'[18]2. BM Database'!P205/1000</f>
        <v>142.30000000000001</v>
      </c>
      <c r="H304" s="16">
        <f>MAX(G304,H303)</f>
        <v>142.30000000000001</v>
      </c>
      <c r="I304" s="18">
        <f>'[18]2. BM Database'!L205</f>
        <v>27636</v>
      </c>
      <c r="J304" s="18">
        <f>'[18]2. BM Database'!R205</f>
        <v>462</v>
      </c>
      <c r="K304" s="18">
        <f t="shared" si="58"/>
        <v>229</v>
      </c>
      <c r="L304" s="19">
        <f>'[18]2. BM Database'!T205</f>
        <v>0.49567099567099565</v>
      </c>
      <c r="M304" s="9"/>
      <c r="N304" s="9"/>
    </row>
    <row r="305" spans="1:14">
      <c r="A305" s="15" t="str">
        <f>'[18]2. BM Database'!B206</f>
        <v>ESSEX POWERLINES CORPORATION</v>
      </c>
      <c r="B305" s="15">
        <v>3030</v>
      </c>
      <c r="C305" s="43">
        <f>'[18]2. BM Database'!C206</f>
        <v>2007</v>
      </c>
      <c r="D305" s="15">
        <v>3</v>
      </c>
      <c r="E305" s="17">
        <f>'[18]2. BM Database'!F206/1000</f>
        <v>5567.9847500000005</v>
      </c>
      <c r="F305" s="41">
        <f t="shared" si="59"/>
        <v>1.0531931014872313</v>
      </c>
      <c r="G305" s="44">
        <f>'[18]2. BM Database'!P206/1000</f>
        <v>142.30000000000001</v>
      </c>
      <c r="H305" s="16">
        <f t="shared" ref="H305:H317" si="60">MAX(G305,H304)</f>
        <v>142.30000000000001</v>
      </c>
      <c r="I305" s="18">
        <f>'[18]2. BM Database'!L206</f>
        <v>27789</v>
      </c>
      <c r="J305" s="18">
        <f>'[18]2. BM Database'!R206</f>
        <v>469</v>
      </c>
      <c r="K305" s="18">
        <f t="shared" si="58"/>
        <v>236</v>
      </c>
      <c r="L305" s="19">
        <f>'[18]2. BM Database'!T206</f>
        <v>0.50319829424307039</v>
      </c>
      <c r="M305" s="9"/>
      <c r="N305" s="9"/>
    </row>
    <row r="306" spans="1:14">
      <c r="A306" s="15" t="str">
        <f>'[18]2. BM Database'!B207</f>
        <v>ESSEX POWERLINES CORPORATION</v>
      </c>
      <c r="B306" s="15">
        <v>3030</v>
      </c>
      <c r="C306" s="43">
        <f>'[18]2. BM Database'!C207</f>
        <v>2008</v>
      </c>
      <c r="D306" s="15">
        <v>3</v>
      </c>
      <c r="E306" s="17">
        <f>'[18]2. BM Database'!F207/1000</f>
        <v>5190.3169799999996</v>
      </c>
      <c r="F306" s="41">
        <f t="shared" si="59"/>
        <v>1.078564603993923</v>
      </c>
      <c r="G306" s="44">
        <f>'[18]2. BM Database'!P207/1000</f>
        <v>137.328</v>
      </c>
      <c r="H306" s="16">
        <f t="shared" si="60"/>
        <v>142.30000000000001</v>
      </c>
      <c r="I306" s="18">
        <f>'[18]2. BM Database'!L207</f>
        <v>27929</v>
      </c>
      <c r="J306" s="18">
        <f>'[18]2. BM Database'!R207</f>
        <v>467</v>
      </c>
      <c r="K306" s="18">
        <f t="shared" si="58"/>
        <v>240</v>
      </c>
      <c r="L306" s="19">
        <f>'[18]2. BM Database'!T207</f>
        <v>0.51391862955032119</v>
      </c>
      <c r="M306" s="9"/>
      <c r="N306" s="9"/>
    </row>
    <row r="307" spans="1:14">
      <c r="A307" s="15" t="str">
        <f>'[18]2. BM Database'!B208</f>
        <v>ESSEX POWERLINES CORPORATION</v>
      </c>
      <c r="B307" s="15">
        <v>3030</v>
      </c>
      <c r="C307" s="43">
        <f>'[18]2. BM Database'!C208</f>
        <v>2009</v>
      </c>
      <c r="D307" s="15">
        <v>3</v>
      </c>
      <c r="E307" s="17">
        <f>'[18]2. BM Database'!F208/1000</f>
        <v>5059.6882100000003</v>
      </c>
      <c r="F307" s="41">
        <f t="shared" si="59"/>
        <v>1.0915070880241431</v>
      </c>
      <c r="G307" s="44">
        <f>'[18]2. BM Database'!P208/1000</f>
        <v>122.372</v>
      </c>
      <c r="H307" s="16">
        <f t="shared" si="60"/>
        <v>142.30000000000001</v>
      </c>
      <c r="I307" s="18">
        <f>'[18]2. BM Database'!L208</f>
        <v>28054</v>
      </c>
      <c r="J307" s="18">
        <f>'[18]2. BM Database'!R208</f>
        <v>458</v>
      </c>
      <c r="K307" s="18">
        <f t="shared" si="58"/>
        <v>239.00000000000003</v>
      </c>
      <c r="L307" s="19">
        <f>'[18]2. BM Database'!T208</f>
        <v>0.52183406113537123</v>
      </c>
      <c r="M307" s="9"/>
      <c r="N307" s="9"/>
    </row>
    <row r="308" spans="1:14">
      <c r="A308" s="15" t="str">
        <f>'[18]2. BM Database'!B209</f>
        <v>ESSEX POWERLINES CORPORATION</v>
      </c>
      <c r="B308" s="15">
        <v>3030</v>
      </c>
      <c r="C308" s="43">
        <f>'[18]2. BM Database'!C209</f>
        <v>2010</v>
      </c>
      <c r="D308" s="15">
        <v>3</v>
      </c>
      <c r="E308" s="17">
        <f>'[18]2. BM Database'!F209/1000</f>
        <v>5372.8161799999998</v>
      </c>
      <c r="F308" s="41">
        <f t="shared" si="59"/>
        <v>1.1243125351578573</v>
      </c>
      <c r="G308" s="44">
        <f>'[18]2. BM Database'!P209/1000</f>
        <v>143.41999999999999</v>
      </c>
      <c r="H308" s="16">
        <f t="shared" si="60"/>
        <v>143.41999999999999</v>
      </c>
      <c r="I308" s="18">
        <f>'[18]2. BM Database'!L209</f>
        <v>28183</v>
      </c>
      <c r="J308" s="18">
        <f>'[18]2. BM Database'!R209</f>
        <v>476</v>
      </c>
      <c r="K308" s="18">
        <f t="shared" si="58"/>
        <v>259</v>
      </c>
      <c r="L308" s="19">
        <f>'[18]2. BM Database'!T209</f>
        <v>0.54411764705882348</v>
      </c>
      <c r="M308" s="9"/>
      <c r="N308" s="9"/>
    </row>
    <row r="309" spans="1:14">
      <c r="A309" s="15" t="str">
        <f>'[18]2. BM Database'!B210</f>
        <v>ESSEX POWERLINES CORPORATION</v>
      </c>
      <c r="B309" s="15">
        <v>3030</v>
      </c>
      <c r="C309" s="43">
        <f>'[18]2. BM Database'!C210</f>
        <v>2011</v>
      </c>
      <c r="D309" s="15">
        <v>3</v>
      </c>
      <c r="E309" s="17">
        <f>'[18]2. BM Database'!F210/1000</f>
        <v>5443.5600460022561</v>
      </c>
      <c r="F309" s="41">
        <f t="shared" si="59"/>
        <v>1.1430978626415853</v>
      </c>
      <c r="G309" s="44">
        <f>'[18]2. BM Database'!P210/1000</f>
        <v>125.47799999999999</v>
      </c>
      <c r="H309" s="16">
        <f t="shared" si="60"/>
        <v>143.41999999999999</v>
      </c>
      <c r="I309" s="18">
        <f>'[18]2. BM Database'!L210</f>
        <v>28094</v>
      </c>
      <c r="J309" s="18">
        <f>'[18]2. BM Database'!R210</f>
        <v>465</v>
      </c>
      <c r="K309" s="18">
        <f t="shared" si="58"/>
        <v>254</v>
      </c>
      <c r="L309" s="19">
        <f>'[18]2. BM Database'!T210</f>
        <v>0.54623655913978497</v>
      </c>
      <c r="M309" s="9"/>
      <c r="N309" s="9"/>
    </row>
    <row r="310" spans="1:14">
      <c r="A310" s="15" t="str">
        <f>'[18]2. BM Database'!B211</f>
        <v>ESSEX POWERLINES CORPORATION</v>
      </c>
      <c r="B310" s="15">
        <v>3030</v>
      </c>
      <c r="C310" s="43">
        <f>'[18]2. BM Database'!C211</f>
        <v>2012</v>
      </c>
      <c r="D310" s="15">
        <v>3</v>
      </c>
      <c r="E310" s="17">
        <f>'[18]2. BM Database'!F211/1000</f>
        <v>6034.0945385246941</v>
      </c>
      <c r="F310" s="41">
        <f t="shared" si="59"/>
        <v>1.160126854517312</v>
      </c>
      <c r="G310" s="44">
        <f>'[18]2. BM Database'!P211/1000</f>
        <v>122.227</v>
      </c>
      <c r="H310" s="16">
        <f t="shared" si="60"/>
        <v>143.41999999999999</v>
      </c>
      <c r="I310" s="18">
        <f>'[18]2. BM Database'!L211</f>
        <v>28130</v>
      </c>
      <c r="J310" s="18">
        <f>'[18]2. BM Database'!R211</f>
        <v>448</v>
      </c>
      <c r="K310" s="18">
        <f t="shared" si="58"/>
        <v>248</v>
      </c>
      <c r="L310" s="19">
        <f>'[18]2. BM Database'!T211</f>
        <v>0.5535714285714286</v>
      </c>
      <c r="M310" s="9"/>
      <c r="N310" s="9"/>
    </row>
    <row r="311" spans="1:14" s="15" customFormat="1">
      <c r="A311" s="15" t="s">
        <v>41</v>
      </c>
      <c r="B311" s="15">
        <v>3030</v>
      </c>
      <c r="C311" s="43">
        <v>2013</v>
      </c>
      <c r="D311" s="15">
        <v>3</v>
      </c>
      <c r="E311" s="17">
        <f>HLOOKUP(A311,'[19]2013 Benchmarking Calculations'!$I$3:$CC$76,6,FALSE)/1000</f>
        <v>5885.9952000000012</v>
      </c>
      <c r="F311" s="41">
        <f t="shared" si="59"/>
        <v>1.178602141578931</v>
      </c>
      <c r="G311" s="44">
        <f>HLOOKUP(A311,'[19]2013 Benchmarking Calculations'!$I$3:$CC$76,57,FALSE)/1000</f>
        <v>133.124</v>
      </c>
      <c r="H311" s="16">
        <f t="shared" si="60"/>
        <v>143.41999999999999</v>
      </c>
      <c r="I311" s="18">
        <f>HLOOKUP(A311,'[19]2013 Benchmarking Calculations'!$I$3:$CC$76,53,FALSE)</f>
        <v>28400</v>
      </c>
      <c r="J311" s="18">
        <f>HLOOKUP(A311,'[19]2013 Benchmarking Calculations'!$I$3:$CC$76,71,FALSE)</f>
        <v>467</v>
      </c>
      <c r="K311" s="18">
        <f t="shared" si="58"/>
        <v>272</v>
      </c>
      <c r="L311" s="19">
        <f>HLOOKUP(A311,'[19]2013 PBR data '!B$42:BV$68,15,FALSE)/HLOOKUP(A311,'[19]2013 PBR data '!B$42:BV$68,13,FALSE)</f>
        <v>0.58244111349036398</v>
      </c>
      <c r="M311" s="9"/>
      <c r="N311" s="9"/>
    </row>
    <row r="312" spans="1:14" s="15" customFormat="1">
      <c r="A312" s="15" t="s">
        <v>41</v>
      </c>
      <c r="B312" s="15">
        <v>3030</v>
      </c>
      <c r="C312" s="43">
        <v>2014</v>
      </c>
      <c r="D312" s="15">
        <v>3</v>
      </c>
      <c r="E312" s="17">
        <f>VLOOKUP(A312,[20]Result!$B$12:$D$84,2,FALSE)/10^3</f>
        <v>6639.1080000000002</v>
      </c>
      <c r="F312" s="41">
        <f t="shared" si="59"/>
        <v>1.2030671041042156</v>
      </c>
      <c r="G312" s="44">
        <f>VLOOKUP(A312,'[21]General transpose'!$A$1:$AF$73,26,FALSE)/10^3</f>
        <v>122.20099999999999</v>
      </c>
      <c r="H312" s="16">
        <f t="shared" si="60"/>
        <v>143.41999999999999</v>
      </c>
      <c r="I312" s="18">
        <f>VLOOKUP(A312,'[21]General transpose'!$A$1:$AF$73,8,FALSE)</f>
        <v>28640</v>
      </c>
      <c r="J312" s="18">
        <f>VLOOKUP(A312,'[21]General transpose'!$A$1:$AF$73,16,FALSE)</f>
        <v>461</v>
      </c>
      <c r="K312" s="18">
        <f t="shared" si="58"/>
        <v>269</v>
      </c>
      <c r="L312" s="19">
        <f>VLOOKUP(A312,'[21]General transpose'!$A$1:$AF$73,17,FALSE)</f>
        <v>0.58351409978308022</v>
      </c>
      <c r="M312" s="9"/>
      <c r="N312" s="9"/>
    </row>
    <row r="313" spans="1:14" s="15" customFormat="1">
      <c r="A313" s="15" t="s">
        <v>41</v>
      </c>
      <c r="B313" s="15">
        <v>3030</v>
      </c>
      <c r="C313" s="43">
        <v>2015</v>
      </c>
      <c r="D313" s="15">
        <v>3</v>
      </c>
      <c r="E313" s="17">
        <f>VLOOKUP(A312,[20]Result!$B$12:$D$84,3,FALSE)/10^3</f>
        <v>6658.0060000000003</v>
      </c>
      <c r="F313" s="41">
        <f t="shared" si="59"/>
        <v>1.2312762402864634</v>
      </c>
      <c r="G313" s="44">
        <f>VLOOKUP(A312,'[22]General transpose'!$A$1:$AF$73,26,FALSE)/10^3</f>
        <v>109.044</v>
      </c>
      <c r="H313" s="16">
        <f t="shared" si="60"/>
        <v>143.41999999999999</v>
      </c>
      <c r="I313" s="18">
        <f>VLOOKUP(A312,'[22]General transpose'!$A$1:$AF$73,8,FALSE)</f>
        <v>28892</v>
      </c>
      <c r="J313" s="18">
        <f>VLOOKUP(A312,'[22]General transpose'!$A$1:$AF$73,16,FALSE)</f>
        <v>448</v>
      </c>
      <c r="K313" s="18">
        <f t="shared" si="58"/>
        <v>260</v>
      </c>
      <c r="L313" s="19">
        <f>VLOOKUP(A312,'[22]General transpose'!$A$1:$AF$73,17,FALSE)</f>
        <v>0.5803571428571429</v>
      </c>
      <c r="M313" s="9"/>
      <c r="N313" s="9"/>
    </row>
    <row r="314" spans="1:14" s="15" customFormat="1">
      <c r="A314" s="15" t="s">
        <v>41</v>
      </c>
      <c r="B314" s="15">
        <v>3030</v>
      </c>
      <c r="C314" s="43">
        <v>2016</v>
      </c>
      <c r="D314" s="15">
        <v>3</v>
      </c>
      <c r="E314" s="17">
        <f>'[14]2016 Benchmarking Calculations'!$AA$8/1000</f>
        <v>6535.0755533999982</v>
      </c>
      <c r="F314" s="41">
        <f t="shared" si="59"/>
        <v>1.2455044937824149</v>
      </c>
      <c r="G314" s="44">
        <f>HLOOKUP(A314,[23]General!$A$1:$BQ$23,22,FALSE)/10^3</f>
        <v>119.44799999999999</v>
      </c>
      <c r="H314" s="16">
        <f t="shared" si="60"/>
        <v>143.41999999999999</v>
      </c>
      <c r="I314" s="18">
        <f>HLOOKUP(A314,[23]General!$A$1:$BQ$23,9,FALSE)</f>
        <v>29327</v>
      </c>
      <c r="J314" s="18">
        <f>HLOOKUP(A314,[23]General!$A$1:$BQ$23,17,FALSE)</f>
        <v>449</v>
      </c>
      <c r="K314" s="18">
        <f t="shared" si="58"/>
        <v>263</v>
      </c>
      <c r="L314" s="19">
        <f>HLOOKUP(A314,[23]General!$A$1:$BQ$23,18,FALSE)</f>
        <v>0.58574610244988867</v>
      </c>
      <c r="M314" s="9"/>
      <c r="N314" s="9"/>
    </row>
    <row r="315" spans="1:14" s="15" customFormat="1">
      <c r="A315" s="15" t="s">
        <v>41</v>
      </c>
      <c r="B315" s="15">
        <v>3030</v>
      </c>
      <c r="C315" s="43">
        <v>2017</v>
      </c>
      <c r="D315" s="15">
        <v>3</v>
      </c>
      <c r="E315" s="17">
        <f>'[14]2017 Benchmarking Calculations'!$AC$9/1000</f>
        <v>6904.0379000000003</v>
      </c>
      <c r="F315" s="41">
        <f t="shared" si="59"/>
        <v>1.2674505553724562</v>
      </c>
      <c r="G315" s="44">
        <f>[15]General!$S$20/1000</f>
        <v>109.252</v>
      </c>
      <c r="H315" s="16">
        <f t="shared" si="60"/>
        <v>143.41999999999999</v>
      </c>
      <c r="I315" s="18">
        <f>[15]General!$S$9</f>
        <v>29756</v>
      </c>
      <c r="J315" s="18">
        <f>[15]General!$S$17</f>
        <v>455</v>
      </c>
      <c r="K315" s="18">
        <f>J315*L315</f>
        <v>265</v>
      </c>
      <c r="L315" s="19">
        <f>[15]General!$S$16/[15]General!$S$17</f>
        <v>0.58241758241758246</v>
      </c>
      <c r="M315" s="9"/>
      <c r="N315" s="9"/>
    </row>
    <row r="316" spans="1:14" s="15" customFormat="1">
      <c r="A316" s="15" t="s">
        <v>41</v>
      </c>
      <c r="B316" s="15">
        <v>3030</v>
      </c>
      <c r="C316" s="43">
        <v>2018</v>
      </c>
      <c r="D316" s="15">
        <v>3</v>
      </c>
      <c r="E316" s="17">
        <f>'[16]2018 Benchmarking Calculations'!$AC$10/1000</f>
        <v>7545.3894199999986</v>
      </c>
      <c r="F316" s="41">
        <f t="shared" si="59"/>
        <v>1.2994718602728874</v>
      </c>
      <c r="G316" s="44">
        <f>'[16]2018 Benchmarking Calculations'!$AC$61/1000</f>
        <v>126.059</v>
      </c>
      <c r="H316" s="16">
        <f t="shared" si="60"/>
        <v>143.41999999999999</v>
      </c>
      <c r="I316" s="18">
        <f>'[16]2018 Benchmarking Calculations'!$AC$57</f>
        <v>30016</v>
      </c>
      <c r="J316" s="18">
        <f>'[16]2018 Utility Characteristics'!$W$103</f>
        <v>457</v>
      </c>
      <c r="K316" s="18">
        <f>'[16]2018 Utility Characteristics'!$W$105</f>
        <v>269</v>
      </c>
      <c r="L316" s="19">
        <f>K316/J316</f>
        <v>0.5886214442013129</v>
      </c>
      <c r="M316" s="9"/>
      <c r="N316" s="9"/>
    </row>
    <row r="317" spans="1:14" s="15" customFormat="1">
      <c r="A317" s="15" t="s">
        <v>41</v>
      </c>
      <c r="B317" s="15">
        <v>3030</v>
      </c>
      <c r="C317" s="43">
        <v>2019</v>
      </c>
      <c r="D317" s="15">
        <v>3</v>
      </c>
      <c r="E317" s="17">
        <f>'[17]2019 Benchmarking Calculations'!$AC$10/1000</f>
        <v>7356.4129499999999</v>
      </c>
      <c r="F317" s="41">
        <f t="shared" si="59"/>
        <v>1.3352608354138498</v>
      </c>
      <c r="G317" s="44">
        <f>'[17]2019 Benchmarking Calculations'!$AC$61/1000</f>
        <v>120.116</v>
      </c>
      <c r="H317" s="16">
        <f t="shared" si="60"/>
        <v>143.41999999999999</v>
      </c>
      <c r="I317" s="18">
        <f>'[17]2019 Benchmarking Calculations'!$AC$57</f>
        <v>30397</v>
      </c>
      <c r="J317" s="18">
        <f>'[17]2019 Utility Characteristics'!$W$16+'[17]2019 Utility Characteristics'!$W$18</f>
        <v>456</v>
      </c>
      <c r="K317" s="18">
        <f>'[17]2019 Utility Characteristics'!$W$18</f>
        <v>273</v>
      </c>
      <c r="L317" s="19">
        <f>K317/J317</f>
        <v>0.59868421052631582</v>
      </c>
      <c r="M317" s="9"/>
      <c r="N317" s="9"/>
    </row>
    <row r="318" spans="1:14">
      <c r="A318" s="15" t="str">
        <f>'[18]2. BM Database'!B215</f>
        <v>FESTIVAL HYDRO INC.</v>
      </c>
      <c r="B318" s="15">
        <v>3037</v>
      </c>
      <c r="C318" s="43">
        <f>'[18]2. BM Database'!C215</f>
        <v>2005</v>
      </c>
      <c r="D318" s="15">
        <v>3</v>
      </c>
      <c r="E318" s="17">
        <f>'[18]2. BM Database'!F215/1000</f>
        <v>3037.7173399999997</v>
      </c>
      <c r="F318" s="41">
        <f t="shared" ref="F318:F332" si="61">F303</f>
        <v>1</v>
      </c>
      <c r="G318" s="44">
        <f>'[18]2. BM Database'!P215/1000</f>
        <v>101.863</v>
      </c>
      <c r="H318" s="16">
        <f>G318</f>
        <v>101.863</v>
      </c>
      <c r="I318" s="18">
        <f>'[18]2. BM Database'!L215</f>
        <v>18860</v>
      </c>
      <c r="J318" s="18">
        <f>'[18]2. BM Database'!R215</f>
        <v>275</v>
      </c>
      <c r="K318" s="18">
        <f t="shared" ref="K318:K329" si="62">J318*L318</f>
        <v>90</v>
      </c>
      <c r="L318" s="19">
        <f>'[18]2. BM Database'!T215</f>
        <v>0.32727272727272727</v>
      </c>
      <c r="M318" s="9"/>
      <c r="N318" s="9"/>
    </row>
    <row r="319" spans="1:14">
      <c r="A319" s="15" t="str">
        <f>'[18]2. BM Database'!B216</f>
        <v>FESTIVAL HYDRO INC.</v>
      </c>
      <c r="B319" s="15">
        <v>3037</v>
      </c>
      <c r="C319" s="43">
        <f>'[18]2. BM Database'!C216</f>
        <v>2006</v>
      </c>
      <c r="D319" s="15">
        <v>3</v>
      </c>
      <c r="E319" s="17">
        <f>'[18]2. BM Database'!F216/1000</f>
        <v>3204.6691700000001</v>
      </c>
      <c r="F319" s="41">
        <f t="shared" si="61"/>
        <v>1.0181607380073696</v>
      </c>
      <c r="G319" s="44">
        <f>'[18]2. BM Database'!P216/1000</f>
        <v>111.673</v>
      </c>
      <c r="H319" s="16">
        <f>MAX(G319,H318)</f>
        <v>111.673</v>
      </c>
      <c r="I319" s="18">
        <f>'[18]2. BM Database'!L216</f>
        <v>19025</v>
      </c>
      <c r="J319" s="18">
        <f>'[18]2. BM Database'!R216</f>
        <v>274</v>
      </c>
      <c r="K319" s="18">
        <f t="shared" si="62"/>
        <v>90</v>
      </c>
      <c r="L319" s="19">
        <f>'[18]2. BM Database'!T216</f>
        <v>0.32846715328467152</v>
      </c>
      <c r="M319" s="9"/>
      <c r="N319" s="9"/>
    </row>
    <row r="320" spans="1:14">
      <c r="A320" s="15" t="str">
        <f>'[18]2. BM Database'!B217</f>
        <v>FESTIVAL HYDRO INC.</v>
      </c>
      <c r="B320" s="15">
        <v>3037</v>
      </c>
      <c r="C320" s="43">
        <f>'[18]2. BM Database'!C217</f>
        <v>2007</v>
      </c>
      <c r="D320" s="15">
        <v>3</v>
      </c>
      <c r="E320" s="17">
        <f>'[18]2. BM Database'!F217/1000</f>
        <v>3327.7473300000001</v>
      </c>
      <c r="F320" s="41">
        <f t="shared" si="61"/>
        <v>1.0531931014872313</v>
      </c>
      <c r="G320" s="44">
        <f>'[18]2. BM Database'!P217/1000</f>
        <v>107.69</v>
      </c>
      <c r="H320" s="16">
        <f t="shared" ref="H320:H332" si="63">MAX(G320,H319)</f>
        <v>111.673</v>
      </c>
      <c r="I320" s="18">
        <f>'[18]2. BM Database'!L217</f>
        <v>19262</v>
      </c>
      <c r="J320" s="18">
        <f>'[18]2. BM Database'!R217</f>
        <v>274</v>
      </c>
      <c r="K320" s="18">
        <f t="shared" si="62"/>
        <v>90</v>
      </c>
      <c r="L320" s="19">
        <f>'[18]2. BM Database'!T217</f>
        <v>0.32846715328467152</v>
      </c>
      <c r="M320" s="9"/>
      <c r="N320" s="9"/>
    </row>
    <row r="321" spans="1:14">
      <c r="A321" s="15" t="str">
        <f>'[18]2. BM Database'!B218</f>
        <v>FESTIVAL HYDRO INC.</v>
      </c>
      <c r="B321" s="15">
        <v>3037</v>
      </c>
      <c r="C321" s="43">
        <f>'[18]2. BM Database'!C218</f>
        <v>2008</v>
      </c>
      <c r="D321" s="15">
        <v>3</v>
      </c>
      <c r="E321" s="17">
        <f>'[18]2. BM Database'!F218/1000</f>
        <v>3575.1713199999999</v>
      </c>
      <c r="F321" s="41">
        <f t="shared" si="61"/>
        <v>1.078564603993923</v>
      </c>
      <c r="G321" s="44">
        <f>'[18]2. BM Database'!P218/1000</f>
        <v>105.205</v>
      </c>
      <c r="H321" s="16">
        <f t="shared" si="63"/>
        <v>111.673</v>
      </c>
      <c r="I321" s="18">
        <f>'[18]2. BM Database'!L218</f>
        <v>19394</v>
      </c>
      <c r="J321" s="18">
        <f>'[18]2. BM Database'!R218</f>
        <v>274</v>
      </c>
      <c r="K321" s="18">
        <f t="shared" si="62"/>
        <v>90</v>
      </c>
      <c r="L321" s="19">
        <f>'[18]2. BM Database'!T218</f>
        <v>0.32846715328467152</v>
      </c>
      <c r="M321" s="9"/>
      <c r="N321" s="9"/>
    </row>
    <row r="322" spans="1:14">
      <c r="A322" s="15" t="str">
        <f>'[18]2. BM Database'!B219</f>
        <v>FESTIVAL HYDRO INC.</v>
      </c>
      <c r="B322" s="15">
        <v>3037</v>
      </c>
      <c r="C322" s="43">
        <f>'[18]2. BM Database'!C219</f>
        <v>2009</v>
      </c>
      <c r="D322" s="15">
        <v>3</v>
      </c>
      <c r="E322" s="17">
        <f>'[18]2. BM Database'!F219/1000</f>
        <v>3609.0988600000001</v>
      </c>
      <c r="F322" s="41">
        <f t="shared" si="61"/>
        <v>1.0915070880241431</v>
      </c>
      <c r="G322" s="44">
        <f>'[18]2. BM Database'!P219/1000</f>
        <v>99.72</v>
      </c>
      <c r="H322" s="16">
        <f t="shared" si="63"/>
        <v>111.673</v>
      </c>
      <c r="I322" s="18">
        <f>'[18]2. BM Database'!L219</f>
        <v>19531</v>
      </c>
      <c r="J322" s="18">
        <f>'[18]2. BM Database'!R219</f>
        <v>276</v>
      </c>
      <c r="K322" s="18">
        <f t="shared" si="62"/>
        <v>92</v>
      </c>
      <c r="L322" s="19">
        <f>'[18]2. BM Database'!T219</f>
        <v>0.33333333333333331</v>
      </c>
      <c r="M322" s="9"/>
      <c r="N322" s="9"/>
    </row>
    <row r="323" spans="1:14">
      <c r="A323" s="15" t="str">
        <f>'[18]2. BM Database'!B220</f>
        <v>FESTIVAL HYDRO INC.</v>
      </c>
      <c r="B323" s="15">
        <v>3037</v>
      </c>
      <c r="C323" s="43">
        <f>'[18]2. BM Database'!C220</f>
        <v>2010</v>
      </c>
      <c r="D323" s="15">
        <v>3</v>
      </c>
      <c r="E323" s="17">
        <f>'[18]2. BM Database'!F220/1000</f>
        <v>3818.2637799999993</v>
      </c>
      <c r="F323" s="41">
        <f t="shared" si="61"/>
        <v>1.1243125351578573</v>
      </c>
      <c r="G323" s="44">
        <f>'[18]2. BM Database'!P220/1000</f>
        <v>103.1</v>
      </c>
      <c r="H323" s="16">
        <f t="shared" si="63"/>
        <v>111.673</v>
      </c>
      <c r="I323" s="18">
        <f>'[18]2. BM Database'!L220</f>
        <v>19579</v>
      </c>
      <c r="J323" s="18">
        <f>'[18]2. BM Database'!R220</f>
        <v>277</v>
      </c>
      <c r="K323" s="18">
        <f t="shared" si="62"/>
        <v>92</v>
      </c>
      <c r="L323" s="19">
        <f>'[18]2. BM Database'!T220</f>
        <v>0.33212996389891697</v>
      </c>
      <c r="M323" s="9"/>
      <c r="N323" s="9"/>
    </row>
    <row r="324" spans="1:14">
      <c r="A324" s="15" t="str">
        <f>'[18]2. BM Database'!B221</f>
        <v>FESTIVAL HYDRO INC.</v>
      </c>
      <c r="B324" s="15">
        <v>3037</v>
      </c>
      <c r="C324" s="43">
        <f>'[18]2. BM Database'!C221</f>
        <v>2011</v>
      </c>
      <c r="D324" s="15">
        <v>3</v>
      </c>
      <c r="E324" s="17">
        <f>'[18]2. BM Database'!F221/1000</f>
        <v>3938.5922799999998</v>
      </c>
      <c r="F324" s="41">
        <f t="shared" si="61"/>
        <v>1.1430978626415853</v>
      </c>
      <c r="G324" s="44">
        <f>'[18]2. BM Database'!P221/1000</f>
        <v>107.41500000000001</v>
      </c>
      <c r="H324" s="16">
        <f t="shared" si="63"/>
        <v>111.673</v>
      </c>
      <c r="I324" s="18">
        <f>'[18]2. BM Database'!L221</f>
        <v>19885</v>
      </c>
      <c r="J324" s="18">
        <f>'[18]2. BM Database'!R221</f>
        <v>277</v>
      </c>
      <c r="K324" s="18">
        <f t="shared" si="62"/>
        <v>92</v>
      </c>
      <c r="L324" s="19">
        <f>'[18]2. BM Database'!T221</f>
        <v>0.33212996389891697</v>
      </c>
      <c r="M324" s="9"/>
      <c r="N324" s="9"/>
    </row>
    <row r="325" spans="1:14">
      <c r="A325" s="15" t="str">
        <f>'[18]2. BM Database'!B222</f>
        <v>FESTIVAL HYDRO INC.</v>
      </c>
      <c r="B325" s="15">
        <v>3037</v>
      </c>
      <c r="C325" s="43">
        <f>'[18]2. BM Database'!C222</f>
        <v>2012</v>
      </c>
      <c r="D325" s="15">
        <v>3</v>
      </c>
      <c r="E325" s="17">
        <f>'[18]2. BM Database'!F222/1000</f>
        <v>4528.9112516520017</v>
      </c>
      <c r="F325" s="41">
        <f t="shared" si="61"/>
        <v>1.160126854517312</v>
      </c>
      <c r="G325" s="44">
        <f>'[18]2. BM Database'!P222/1000</f>
        <v>104.736</v>
      </c>
      <c r="H325" s="16">
        <f t="shared" si="63"/>
        <v>111.673</v>
      </c>
      <c r="I325" s="18">
        <f>'[18]2. BM Database'!L222</f>
        <v>20057</v>
      </c>
      <c r="J325" s="18">
        <f>'[18]2. BM Database'!R222</f>
        <v>277</v>
      </c>
      <c r="K325" s="18">
        <f t="shared" si="62"/>
        <v>92</v>
      </c>
      <c r="L325" s="19">
        <f>'[18]2. BM Database'!T222</f>
        <v>0.33212996389891697</v>
      </c>
      <c r="M325" s="9"/>
      <c r="N325" s="9"/>
    </row>
    <row r="326" spans="1:14" s="15" customFormat="1">
      <c r="A326" s="15" t="s">
        <v>42</v>
      </c>
      <c r="B326" s="15">
        <v>3037</v>
      </c>
      <c r="C326" s="43">
        <v>2013</v>
      </c>
      <c r="D326" s="15">
        <v>3</v>
      </c>
      <c r="E326" s="17">
        <f>HLOOKUP(A326,'[19]2013 Benchmarking Calculations'!$I$3:$CC$76,6,FALSE)/1000</f>
        <v>4923.3870500000012</v>
      </c>
      <c r="F326" s="41">
        <f t="shared" si="61"/>
        <v>1.178602141578931</v>
      </c>
      <c r="G326" s="44">
        <f>HLOOKUP(A326,'[19]2013 Benchmarking Calculations'!$I$3:$CC$76,57,FALSE)/1000</f>
        <v>105.361</v>
      </c>
      <c r="H326" s="16">
        <f t="shared" si="63"/>
        <v>111.673</v>
      </c>
      <c r="I326" s="18">
        <f>HLOOKUP(A326,'[19]2013 Benchmarking Calculations'!$I$3:$CC$76,53,FALSE)</f>
        <v>20187</v>
      </c>
      <c r="J326" s="18">
        <f>HLOOKUP(A326,'[19]2013 Benchmarking Calculations'!$I$3:$CC$76,71,FALSE)</f>
        <v>256</v>
      </c>
      <c r="K326" s="18">
        <f t="shared" si="62"/>
        <v>94</v>
      </c>
      <c r="L326" s="19">
        <f>HLOOKUP(A326,'[19]2013 PBR data '!B$42:BV$68,15,FALSE)/HLOOKUP(A326,'[19]2013 PBR data '!B$42:BV$68,13,FALSE)</f>
        <v>0.3671875</v>
      </c>
      <c r="M326" s="9"/>
      <c r="N326" s="9"/>
    </row>
    <row r="327" spans="1:14" s="15" customFormat="1">
      <c r="A327" s="15" t="s">
        <v>42</v>
      </c>
      <c r="B327" s="15">
        <v>3037</v>
      </c>
      <c r="C327" s="43">
        <v>2014</v>
      </c>
      <c r="D327" s="15">
        <v>3</v>
      </c>
      <c r="E327" s="17">
        <f>VLOOKUP(A327,[20]Result!$B$12:$D$84,2,FALSE)/10^3</f>
        <v>5001.5860000000002</v>
      </c>
      <c r="F327" s="41">
        <f t="shared" si="61"/>
        <v>1.2030671041042156</v>
      </c>
      <c r="G327" s="44">
        <f>VLOOKUP(A327,'[21]General transpose'!$A$1:$AF$73,26,FALSE)/10^3</f>
        <v>100.08</v>
      </c>
      <c r="H327" s="16">
        <f t="shared" si="63"/>
        <v>111.673</v>
      </c>
      <c r="I327" s="18">
        <f>VLOOKUP(A327,'[21]General transpose'!$A$1:$AF$73,8,FALSE)</f>
        <v>20362</v>
      </c>
      <c r="J327" s="18">
        <f>VLOOKUP(A327,'[21]General transpose'!$A$1:$AF$73,16,FALSE)</f>
        <v>258</v>
      </c>
      <c r="K327" s="18">
        <f t="shared" si="62"/>
        <v>93</v>
      </c>
      <c r="L327" s="19">
        <f>VLOOKUP(A327,'[21]General transpose'!$A$1:$AF$73,17,FALSE)</f>
        <v>0.36046511627906974</v>
      </c>
      <c r="M327" s="9"/>
      <c r="N327" s="9"/>
    </row>
    <row r="328" spans="1:14" s="15" customFormat="1">
      <c r="A328" s="15" t="s">
        <v>42</v>
      </c>
      <c r="B328" s="15">
        <v>3037</v>
      </c>
      <c r="C328" s="43">
        <v>2015</v>
      </c>
      <c r="D328" s="15">
        <v>3</v>
      </c>
      <c r="E328" s="17">
        <f>VLOOKUP(A327,[20]Result!$B$12:$D$84,3,FALSE)/10^3</f>
        <v>5095.6540000000005</v>
      </c>
      <c r="F328" s="41">
        <f t="shared" si="61"/>
        <v>1.2312762402864634</v>
      </c>
      <c r="G328" s="44">
        <f>VLOOKUP(A327,'[22]General transpose'!$A$1:$AF$73,26,FALSE)/10^3</f>
        <v>104.538</v>
      </c>
      <c r="H328" s="16">
        <f t="shared" si="63"/>
        <v>111.673</v>
      </c>
      <c r="I328" s="18">
        <f>VLOOKUP(A327,'[22]General transpose'!$A$1:$AF$73,8,FALSE)</f>
        <v>20556</v>
      </c>
      <c r="J328" s="18">
        <f>VLOOKUP(A327,'[22]General transpose'!$A$1:$AF$73,16,FALSE)</f>
        <v>260</v>
      </c>
      <c r="K328" s="18">
        <f t="shared" si="62"/>
        <v>95</v>
      </c>
      <c r="L328" s="19">
        <f>VLOOKUP(A327,'[22]General transpose'!$A$1:$AF$73,17,FALSE)</f>
        <v>0.36538461538461536</v>
      </c>
      <c r="M328" s="9"/>
      <c r="N328" s="9"/>
    </row>
    <row r="329" spans="1:14" s="15" customFormat="1">
      <c r="A329" s="15" t="s">
        <v>42</v>
      </c>
      <c r="B329" s="15">
        <v>3037</v>
      </c>
      <c r="C329" s="43">
        <v>2016</v>
      </c>
      <c r="D329" s="15">
        <v>3</v>
      </c>
      <c r="E329" s="17">
        <f>'[14]2016 Benchmarking Calculations'!$AB$8/1000</f>
        <v>5538.9137599999995</v>
      </c>
      <c r="F329" s="41">
        <f t="shared" si="61"/>
        <v>1.2455044937824149</v>
      </c>
      <c r="G329" s="44">
        <f>HLOOKUP(A329,[23]General!$A$1:$BQ$23,22,FALSE)/10^3</f>
        <v>107.476</v>
      </c>
      <c r="H329" s="16">
        <f t="shared" si="63"/>
        <v>111.673</v>
      </c>
      <c r="I329" s="18">
        <f>HLOOKUP(A329,[23]General!$A$1:$BQ$23,9,FALSE)</f>
        <v>20825</v>
      </c>
      <c r="J329" s="18">
        <f>HLOOKUP(A329,[23]General!$A$1:$BQ$23,17,FALSE)</f>
        <v>260</v>
      </c>
      <c r="K329" s="18">
        <f t="shared" si="62"/>
        <v>95</v>
      </c>
      <c r="L329" s="19">
        <f>HLOOKUP(A329,[23]General!$A$1:$BQ$23,18,FALSE)</f>
        <v>0.36538461538461536</v>
      </c>
      <c r="M329" s="9"/>
      <c r="N329" s="9"/>
    </row>
    <row r="330" spans="1:14" s="15" customFormat="1">
      <c r="A330" s="15" t="s">
        <v>42</v>
      </c>
      <c r="B330" s="15">
        <v>3037</v>
      </c>
      <c r="C330" s="43">
        <v>2017</v>
      </c>
      <c r="D330" s="15">
        <v>3</v>
      </c>
      <c r="E330" s="17">
        <f>'[14]2017 Benchmarking Calculations'!$AD$9/1000</f>
        <v>5423.9436699999997</v>
      </c>
      <c r="F330" s="41">
        <f t="shared" si="61"/>
        <v>1.2674505553724562</v>
      </c>
      <c r="G330" s="44">
        <f>[15]General!$T$20/1000</f>
        <v>104.45</v>
      </c>
      <c r="H330" s="16">
        <f t="shared" si="63"/>
        <v>111.673</v>
      </c>
      <c r="I330" s="18">
        <f>[15]General!$T$9</f>
        <v>21108</v>
      </c>
      <c r="J330" s="18">
        <f>[15]General!$T$17</f>
        <v>262</v>
      </c>
      <c r="K330" s="18">
        <f>J330*L330</f>
        <v>97</v>
      </c>
      <c r="L330" s="19">
        <f>[15]General!$T$16/[15]General!$T$17</f>
        <v>0.37022900763358779</v>
      </c>
      <c r="M330" s="9"/>
      <c r="N330" s="9"/>
    </row>
    <row r="331" spans="1:14" s="15" customFormat="1">
      <c r="A331" s="15" t="s">
        <v>42</v>
      </c>
      <c r="B331" s="15">
        <v>3037</v>
      </c>
      <c r="C331" s="43">
        <v>2018</v>
      </c>
      <c r="D331" s="15">
        <v>3</v>
      </c>
      <c r="E331" s="17">
        <f>'[16]2018 Benchmarking Calculations'!$AD$10/1000</f>
        <v>6168.2687400000004</v>
      </c>
      <c r="F331" s="41">
        <f t="shared" si="61"/>
        <v>1.2994718602728874</v>
      </c>
      <c r="G331" s="44">
        <f>'[16]2018 Benchmarking Calculations'!$AD$61/1000</f>
        <v>108.68899999999999</v>
      </c>
      <c r="H331" s="16">
        <f t="shared" si="63"/>
        <v>111.673</v>
      </c>
      <c r="I331" s="18">
        <f>'[16]2018 Benchmarking Calculations'!$AD$57</f>
        <v>21369</v>
      </c>
      <c r="J331" s="18">
        <f>'[16]2018 Utility Characteristics'!$X$103</f>
        <v>261</v>
      </c>
      <c r="K331" s="18">
        <f>'[16]2018 Utility Characteristics'!$X$105</f>
        <v>95</v>
      </c>
      <c r="L331" s="19">
        <f>K331/J331</f>
        <v>0.36398467432950193</v>
      </c>
      <c r="M331" s="9"/>
      <c r="N331" s="9"/>
    </row>
    <row r="332" spans="1:14" s="15" customFormat="1">
      <c r="A332" s="15" t="s">
        <v>42</v>
      </c>
      <c r="B332" s="15">
        <v>3037</v>
      </c>
      <c r="C332" s="43">
        <v>2019</v>
      </c>
      <c r="D332" s="15">
        <v>3</v>
      </c>
      <c r="E332" s="17">
        <f>'[17]2019 Benchmarking Calculations'!$AD$10/1000</f>
        <v>5855.8531500000017</v>
      </c>
      <c r="F332" s="41">
        <f t="shared" si="61"/>
        <v>1.3352608354138498</v>
      </c>
      <c r="G332" s="44">
        <f>'[17]2019 Benchmarking Calculations'!$AD$61/1000</f>
        <v>103.142</v>
      </c>
      <c r="H332" s="16">
        <f t="shared" si="63"/>
        <v>111.673</v>
      </c>
      <c r="I332" s="18">
        <f>'[17]2019 Benchmarking Calculations'!$AD$57</f>
        <v>21382</v>
      </c>
      <c r="J332" s="18">
        <f>'[17]2019 Utility Characteristics'!$X$13</f>
        <v>261</v>
      </c>
      <c r="K332" s="18">
        <f>'[17]2019 Utility Characteristics'!$X$18</f>
        <v>96</v>
      </c>
      <c r="L332" s="19">
        <f>K332/J332</f>
        <v>0.36781609195402298</v>
      </c>
      <c r="M332" s="9"/>
      <c r="N332" s="9"/>
    </row>
    <row r="333" spans="1:14">
      <c r="A333" s="15" t="str">
        <f>'[18]2. BM Database'!B237</f>
        <v>FORT FRANCES POWER CORPORATION</v>
      </c>
      <c r="B333" s="15">
        <v>3063</v>
      </c>
      <c r="C333" s="43">
        <f>'[18]2. BM Database'!C237</f>
        <v>2005</v>
      </c>
      <c r="D333" s="15">
        <v>3</v>
      </c>
      <c r="E333" s="17">
        <f>'[18]2. BM Database'!F237/1000</f>
        <v>1039.4129999999998</v>
      </c>
      <c r="F333" s="41">
        <f t="shared" ref="F333:F347" si="64">F318</f>
        <v>1</v>
      </c>
      <c r="G333" s="44">
        <f>'[18]2. BM Database'!P237/1000</f>
        <v>18.574999999999999</v>
      </c>
      <c r="H333" s="16">
        <f>G333</f>
        <v>18.574999999999999</v>
      </c>
      <c r="I333" s="18">
        <f>'[18]2. BM Database'!L237</f>
        <v>4040</v>
      </c>
      <c r="J333" s="18">
        <f>'[18]2. BM Database'!R237</f>
        <v>84</v>
      </c>
      <c r="K333" s="18">
        <f t="shared" ref="K333:K344" si="65">J333*L333</f>
        <v>0</v>
      </c>
      <c r="L333" s="19">
        <f>'[18]2. BM Database'!T237</f>
        <v>0</v>
      </c>
      <c r="M333" s="9"/>
      <c r="N333" s="9"/>
    </row>
    <row r="334" spans="1:14">
      <c r="A334" s="15" t="str">
        <f>'[18]2. BM Database'!B238</f>
        <v>FORT FRANCES POWER CORPORATION</v>
      </c>
      <c r="B334" s="15">
        <v>3063</v>
      </c>
      <c r="C334" s="43">
        <f>'[18]2. BM Database'!C238</f>
        <v>2006</v>
      </c>
      <c r="D334" s="15">
        <v>3</v>
      </c>
      <c r="E334" s="17">
        <f>'[18]2. BM Database'!F238/1000</f>
        <v>1050.9688200000001</v>
      </c>
      <c r="F334" s="41">
        <f t="shared" si="64"/>
        <v>1.0181607380073696</v>
      </c>
      <c r="G334" s="44">
        <f>'[18]2. BM Database'!P238/1000</f>
        <v>17.382000000000001</v>
      </c>
      <c r="H334" s="16">
        <f>MAX(G334,H333)</f>
        <v>18.574999999999999</v>
      </c>
      <c r="I334" s="18">
        <f>'[18]2. BM Database'!L238</f>
        <v>3981</v>
      </c>
      <c r="J334" s="18">
        <f>'[18]2. BM Database'!R238</f>
        <v>84</v>
      </c>
      <c r="K334" s="18">
        <f t="shared" si="65"/>
        <v>0</v>
      </c>
      <c r="L334" s="19">
        <f>'[18]2. BM Database'!T238</f>
        <v>0</v>
      </c>
      <c r="M334" s="9"/>
      <c r="N334" s="9"/>
    </row>
    <row r="335" spans="1:14">
      <c r="A335" s="15" t="str">
        <f>'[18]2. BM Database'!B239</f>
        <v>FORT FRANCES POWER CORPORATION</v>
      </c>
      <c r="B335" s="15">
        <v>3063</v>
      </c>
      <c r="C335" s="43">
        <f>'[18]2. BM Database'!C239</f>
        <v>2007</v>
      </c>
      <c r="D335" s="15">
        <v>3</v>
      </c>
      <c r="E335" s="17">
        <f>'[18]2. BM Database'!F239/1000</f>
        <v>1125.4248</v>
      </c>
      <c r="F335" s="41">
        <f t="shared" si="64"/>
        <v>1.0531931014872313</v>
      </c>
      <c r="G335" s="44">
        <f>'[18]2. BM Database'!P239/1000</f>
        <v>18.097000000000001</v>
      </c>
      <c r="H335" s="16">
        <f t="shared" ref="H335:H347" si="66">MAX(G335,H334)</f>
        <v>18.574999999999999</v>
      </c>
      <c r="I335" s="18">
        <f>'[18]2. BM Database'!L239</f>
        <v>3864</v>
      </c>
      <c r="J335" s="18">
        <f>'[18]2. BM Database'!R239</f>
        <v>84</v>
      </c>
      <c r="K335" s="18">
        <f t="shared" si="65"/>
        <v>8</v>
      </c>
      <c r="L335" s="19">
        <f>'[18]2. BM Database'!T239</f>
        <v>9.5238095238095233E-2</v>
      </c>
      <c r="M335" s="9"/>
      <c r="N335" s="9"/>
    </row>
    <row r="336" spans="1:14">
      <c r="A336" s="15" t="str">
        <f>'[18]2. BM Database'!B240</f>
        <v>FORT FRANCES POWER CORPORATION</v>
      </c>
      <c r="B336" s="15">
        <v>3063</v>
      </c>
      <c r="C336" s="43">
        <f>'[18]2. BM Database'!C240</f>
        <v>2008</v>
      </c>
      <c r="D336" s="15">
        <v>3</v>
      </c>
      <c r="E336" s="17">
        <f>'[18]2. BM Database'!F240/1000</f>
        <v>1257.85971</v>
      </c>
      <c r="F336" s="41">
        <f t="shared" si="64"/>
        <v>1.078564603993923</v>
      </c>
      <c r="G336" s="44">
        <f>'[18]2. BM Database'!P240/1000</f>
        <v>18.420999999999999</v>
      </c>
      <c r="H336" s="16">
        <f t="shared" si="66"/>
        <v>18.574999999999999</v>
      </c>
      <c r="I336" s="18">
        <f>'[18]2. BM Database'!L240</f>
        <v>4001</v>
      </c>
      <c r="J336" s="18">
        <f>'[18]2. BM Database'!R240</f>
        <v>84</v>
      </c>
      <c r="K336" s="18">
        <f t="shared" si="65"/>
        <v>8</v>
      </c>
      <c r="L336" s="19">
        <f>'[18]2. BM Database'!T240</f>
        <v>9.5238095238095233E-2</v>
      </c>
      <c r="M336" s="9"/>
      <c r="N336" s="9"/>
    </row>
    <row r="337" spans="1:14">
      <c r="A337" s="15" t="str">
        <f>'[18]2. BM Database'!B241</f>
        <v>FORT FRANCES POWER CORPORATION</v>
      </c>
      <c r="B337" s="15">
        <v>3063</v>
      </c>
      <c r="C337" s="43">
        <f>'[18]2. BM Database'!C241</f>
        <v>2009</v>
      </c>
      <c r="D337" s="15">
        <v>3</v>
      </c>
      <c r="E337" s="17">
        <f>'[18]2. BM Database'!F241/1000</f>
        <v>1310.0337500000001</v>
      </c>
      <c r="F337" s="41">
        <f t="shared" si="64"/>
        <v>1.0915070880241431</v>
      </c>
      <c r="G337" s="44">
        <f>'[18]2. BM Database'!P241/1000</f>
        <v>18.431999999999999</v>
      </c>
      <c r="H337" s="16">
        <f t="shared" si="66"/>
        <v>18.574999999999999</v>
      </c>
      <c r="I337" s="18">
        <f>'[18]2. BM Database'!L241</f>
        <v>3761</v>
      </c>
      <c r="J337" s="18">
        <f>'[18]2. BM Database'!R241</f>
        <v>84</v>
      </c>
      <c r="K337" s="18">
        <f t="shared" si="65"/>
        <v>8</v>
      </c>
      <c r="L337" s="19">
        <f>'[18]2. BM Database'!T241</f>
        <v>9.5238095238095233E-2</v>
      </c>
      <c r="M337" s="9"/>
      <c r="N337" s="9"/>
    </row>
    <row r="338" spans="1:14">
      <c r="A338" s="15" t="str">
        <f>'[18]2. BM Database'!B242</f>
        <v>FORT FRANCES POWER CORPORATION</v>
      </c>
      <c r="B338" s="15">
        <v>3063</v>
      </c>
      <c r="C338" s="43">
        <f>'[18]2. BM Database'!C242</f>
        <v>2010</v>
      </c>
      <c r="D338" s="15">
        <v>3</v>
      </c>
      <c r="E338" s="17">
        <f>'[18]2. BM Database'!F242/1000</f>
        <v>1291.4577400000001</v>
      </c>
      <c r="F338" s="41">
        <f t="shared" si="64"/>
        <v>1.1243125351578573</v>
      </c>
      <c r="G338" s="44">
        <f>'[18]2. BM Database'!P242/1000</f>
        <v>18</v>
      </c>
      <c r="H338" s="16">
        <f t="shared" si="66"/>
        <v>18.574999999999999</v>
      </c>
      <c r="I338" s="18">
        <f>'[18]2. BM Database'!L242</f>
        <v>3777</v>
      </c>
      <c r="J338" s="18">
        <f>'[18]2. BM Database'!R242</f>
        <v>84</v>
      </c>
      <c r="K338" s="18">
        <f t="shared" si="65"/>
        <v>8</v>
      </c>
      <c r="L338" s="19">
        <f>'[18]2. BM Database'!T242</f>
        <v>9.5238095238095233E-2</v>
      </c>
      <c r="M338" s="9"/>
      <c r="N338" s="9"/>
    </row>
    <row r="339" spans="1:14">
      <c r="A339" s="15" t="str">
        <f>'[18]2. BM Database'!B243</f>
        <v>FORT FRANCES POWER CORPORATION</v>
      </c>
      <c r="B339" s="15">
        <v>3063</v>
      </c>
      <c r="C339" s="43">
        <f>'[18]2. BM Database'!C243</f>
        <v>2011</v>
      </c>
      <c r="D339" s="15">
        <v>3</v>
      </c>
      <c r="E339" s="17">
        <f>'[18]2. BM Database'!F243/1000</f>
        <v>1291.7767200000001</v>
      </c>
      <c r="F339" s="41">
        <f t="shared" si="64"/>
        <v>1.1430978626415853</v>
      </c>
      <c r="G339" s="44">
        <f>'[18]2. BM Database'!P243/1000</f>
        <v>16.925000000000001</v>
      </c>
      <c r="H339" s="16">
        <f t="shared" si="66"/>
        <v>18.574999999999999</v>
      </c>
      <c r="I339" s="18">
        <f>'[18]2. BM Database'!L243</f>
        <v>3775</v>
      </c>
      <c r="J339" s="18">
        <f>'[18]2. BM Database'!R243</f>
        <v>74</v>
      </c>
      <c r="K339" s="18">
        <f t="shared" si="65"/>
        <v>8</v>
      </c>
      <c r="L339" s="19">
        <f>'[18]2. BM Database'!T243</f>
        <v>0.10810810810810811</v>
      </c>
      <c r="M339" s="9"/>
      <c r="N339" s="9"/>
    </row>
    <row r="340" spans="1:14">
      <c r="A340" s="15" t="str">
        <f>'[18]2. BM Database'!B244</f>
        <v>FORT FRANCES POWER CORPORATION</v>
      </c>
      <c r="B340" s="15">
        <v>3063</v>
      </c>
      <c r="C340" s="43">
        <f>'[18]2. BM Database'!C244</f>
        <v>2012</v>
      </c>
      <c r="D340" s="15">
        <v>3</v>
      </c>
      <c r="E340" s="17">
        <f>'[18]2. BM Database'!F244/1000</f>
        <v>1519.1083457000002</v>
      </c>
      <c r="F340" s="41">
        <f t="shared" si="64"/>
        <v>1.160126854517312</v>
      </c>
      <c r="G340" s="44">
        <f>'[18]2. BM Database'!P244/1000</f>
        <v>16.288</v>
      </c>
      <c r="H340" s="16">
        <f t="shared" si="66"/>
        <v>18.574999999999999</v>
      </c>
      <c r="I340" s="18">
        <f>'[18]2. BM Database'!L244</f>
        <v>3780</v>
      </c>
      <c r="J340" s="18">
        <f>'[18]2. BM Database'!R244</f>
        <v>74</v>
      </c>
      <c r="K340" s="18">
        <f t="shared" si="65"/>
        <v>8</v>
      </c>
      <c r="L340" s="19">
        <f>'[18]2. BM Database'!T244</f>
        <v>0.10810810810810811</v>
      </c>
      <c r="M340" s="9"/>
      <c r="N340" s="9"/>
    </row>
    <row r="341" spans="1:14" s="15" customFormat="1">
      <c r="A341" s="15" t="s">
        <v>43</v>
      </c>
      <c r="B341" s="15">
        <v>3063</v>
      </c>
      <c r="C341" s="43">
        <v>2013</v>
      </c>
      <c r="D341" s="15">
        <v>3</v>
      </c>
      <c r="E341" s="17">
        <f>HLOOKUP(A341,'[19]2013 Benchmarking Calculations'!$I$3:$CC$76,6,FALSE)/1000</f>
        <v>1428.27223</v>
      </c>
      <c r="F341" s="41">
        <f t="shared" si="64"/>
        <v>1.178602141578931</v>
      </c>
      <c r="G341" s="44">
        <f>HLOOKUP(A341,'[19]2013 Benchmarking Calculations'!$I$3:$CC$76,57,FALSE)/1000</f>
        <v>17.164999999999999</v>
      </c>
      <c r="H341" s="16">
        <f t="shared" si="66"/>
        <v>18.574999999999999</v>
      </c>
      <c r="I341" s="18">
        <f>HLOOKUP(A341,'[19]2013 Benchmarking Calculations'!$I$3:$CC$76,53,FALSE)</f>
        <v>3697</v>
      </c>
      <c r="J341" s="18">
        <f>HLOOKUP(A341,'[19]2013 Benchmarking Calculations'!$I$3:$CC$76,71,FALSE)</f>
        <v>76</v>
      </c>
      <c r="K341" s="18">
        <f t="shared" si="65"/>
        <v>10</v>
      </c>
      <c r="L341" s="19">
        <f>HLOOKUP(A341,'[19]2013 PBR data '!B$42:BV$68,15,FALSE)/HLOOKUP(A341,'[19]2013 PBR data '!B$42:BV$68,13,FALSE)</f>
        <v>0.13157894736842105</v>
      </c>
      <c r="M341" s="9"/>
      <c r="N341" s="9"/>
    </row>
    <row r="342" spans="1:14" s="15" customFormat="1">
      <c r="A342" s="15" t="s">
        <v>43</v>
      </c>
      <c r="B342" s="15">
        <v>3063</v>
      </c>
      <c r="C342" s="43">
        <v>2014</v>
      </c>
      <c r="D342" s="15">
        <v>3</v>
      </c>
      <c r="E342" s="17">
        <f>VLOOKUP(A342,[20]Result!$B$12:$D$84,2,FALSE)/10^3</f>
        <v>1562.51</v>
      </c>
      <c r="F342" s="41">
        <f t="shared" si="64"/>
        <v>1.2030671041042156</v>
      </c>
      <c r="G342" s="44">
        <f>VLOOKUP(A342,'[21]General transpose'!$A$1:$AF$73,26,FALSE)/10^3</f>
        <v>17.923999999999999</v>
      </c>
      <c r="H342" s="16">
        <f t="shared" si="66"/>
        <v>18.574999999999999</v>
      </c>
      <c r="I342" s="18">
        <f>VLOOKUP(A342,'[21]General transpose'!$A$1:$AF$73,8,FALSE)</f>
        <v>3753</v>
      </c>
      <c r="J342" s="18">
        <f>VLOOKUP(A342,'[21]General transpose'!$A$1:$AF$73,16,FALSE)</f>
        <v>76</v>
      </c>
      <c r="K342" s="18">
        <f t="shared" si="65"/>
        <v>10</v>
      </c>
      <c r="L342" s="19">
        <f>VLOOKUP(A342,'[21]General transpose'!$A$1:$AF$73,17,FALSE)</f>
        <v>0.13157894736842105</v>
      </c>
      <c r="M342" s="9"/>
      <c r="N342" s="9"/>
    </row>
    <row r="343" spans="1:14" s="15" customFormat="1">
      <c r="A343" s="15" t="s">
        <v>43</v>
      </c>
      <c r="B343" s="15">
        <v>3063</v>
      </c>
      <c r="C343" s="43">
        <v>2015</v>
      </c>
      <c r="D343" s="15">
        <v>3</v>
      </c>
      <c r="E343" s="17">
        <f>VLOOKUP(A342,[20]Result!$B$12:$D$84,3,FALSE)/10^3</f>
        <v>1575.6289999999999</v>
      </c>
      <c r="F343" s="41">
        <f t="shared" si="64"/>
        <v>1.2312762402864634</v>
      </c>
      <c r="G343" s="44">
        <f>VLOOKUP(A342,'[22]General transpose'!$A$1:$AF$73,26,FALSE)/10^3</f>
        <v>16.795999999999999</v>
      </c>
      <c r="H343" s="16">
        <f t="shared" si="66"/>
        <v>18.574999999999999</v>
      </c>
      <c r="I343" s="18">
        <f>VLOOKUP(A342,'[22]General transpose'!$A$1:$AF$73,8,FALSE)</f>
        <v>3729</v>
      </c>
      <c r="J343" s="18">
        <f>VLOOKUP(A342,'[22]General transpose'!$A$1:$AF$73,16,FALSE)</f>
        <v>76</v>
      </c>
      <c r="K343" s="18">
        <f t="shared" si="65"/>
        <v>10</v>
      </c>
      <c r="L343" s="19">
        <f>VLOOKUP(A342,'[22]General transpose'!$A$1:$AF$73,17,FALSE)</f>
        <v>0.13157894736842105</v>
      </c>
      <c r="M343" s="9"/>
      <c r="N343" s="9"/>
    </row>
    <row r="344" spans="1:14" s="15" customFormat="1">
      <c r="A344" s="15" t="s">
        <v>43</v>
      </c>
      <c r="B344" s="15">
        <v>3063</v>
      </c>
      <c r="C344" s="43">
        <v>2016</v>
      </c>
      <c r="D344" s="15">
        <v>3</v>
      </c>
      <c r="E344" s="17">
        <f>'[14]2016 Benchmarking Calculations'!$AC$8/1000</f>
        <v>1673.934</v>
      </c>
      <c r="F344" s="41">
        <f t="shared" si="64"/>
        <v>1.2455044937824149</v>
      </c>
      <c r="G344" s="44">
        <f>HLOOKUP(A344,[23]General!$A$1:$BQ$23,22,FALSE)/10^3</f>
        <v>15.952999999999999</v>
      </c>
      <c r="H344" s="16">
        <f t="shared" si="66"/>
        <v>18.574999999999999</v>
      </c>
      <c r="I344" s="18">
        <f>HLOOKUP(A344,[23]General!$A$1:$BQ$23,9,FALSE)</f>
        <v>3746</v>
      </c>
      <c r="J344" s="18">
        <f>HLOOKUP(A344,[23]General!$A$1:$BQ$23,17,FALSE)</f>
        <v>80</v>
      </c>
      <c r="K344" s="18">
        <f t="shared" si="65"/>
        <v>11</v>
      </c>
      <c r="L344" s="19">
        <f>HLOOKUP(A344,[23]General!$A$1:$BQ$23,18,FALSE)</f>
        <v>0.13750000000000001</v>
      </c>
      <c r="M344" s="9"/>
      <c r="N344" s="9"/>
    </row>
    <row r="345" spans="1:14" s="15" customFormat="1">
      <c r="A345" s="15" t="s">
        <v>43</v>
      </c>
      <c r="B345" s="15">
        <v>3063</v>
      </c>
      <c r="C345" s="43">
        <v>2017</v>
      </c>
      <c r="D345" s="15">
        <v>3</v>
      </c>
      <c r="E345" s="17">
        <f>'[14]2017 Benchmarking Calculations'!$AE$9/1000</f>
        <v>1624.3967700000003</v>
      </c>
      <c r="F345" s="41">
        <f t="shared" si="64"/>
        <v>1.2674505553724562</v>
      </c>
      <c r="G345" s="44">
        <f>'[14]2017 Benchmarking Calculations'!$AE$60/1000</f>
        <v>15.025</v>
      </c>
      <c r="H345" s="16">
        <f t="shared" si="66"/>
        <v>18.574999999999999</v>
      </c>
      <c r="I345" s="18">
        <f>'[14]2017 Benchmarking Calculations'!$AE$56</f>
        <v>3748</v>
      </c>
      <c r="J345" s="18">
        <f>'[14]2017 Utility Characteristics'!$V$79</f>
        <v>81</v>
      </c>
      <c r="K345" s="15">
        <f>'[14]2017 Utility Characteristics'!$V$81</f>
        <v>10</v>
      </c>
      <c r="L345" s="19">
        <f>K345/J345</f>
        <v>0.12345679012345678</v>
      </c>
      <c r="M345" s="9"/>
      <c r="N345" s="9"/>
    </row>
    <row r="346" spans="1:14" s="15" customFormat="1">
      <c r="A346" s="15" t="s">
        <v>43</v>
      </c>
      <c r="B346" s="15">
        <v>3063</v>
      </c>
      <c r="C346" s="43">
        <v>2018</v>
      </c>
      <c r="D346" s="15">
        <v>3</v>
      </c>
      <c r="E346" s="17">
        <f>'[16]2018 Benchmarking Calculations'!$AE$10/1000</f>
        <v>1619.17903</v>
      </c>
      <c r="F346" s="41">
        <f t="shared" si="64"/>
        <v>1.2994718602728874</v>
      </c>
      <c r="G346" s="44">
        <f>'[16]2018 Benchmarking Calculations'!$AE$61/1000</f>
        <v>15.43</v>
      </c>
      <c r="H346" s="16">
        <f t="shared" si="66"/>
        <v>18.574999999999999</v>
      </c>
      <c r="I346" s="18">
        <f>'[16]2018 Benchmarking Calculations'!$AE$57</f>
        <v>3745</v>
      </c>
      <c r="J346" s="18">
        <f>'[16]2018 Utility Characteristics'!$Y$103</f>
        <v>81</v>
      </c>
      <c r="K346" s="18">
        <f>'[16]2018 Utility Characteristics'!$Y$105</f>
        <v>10</v>
      </c>
      <c r="L346" s="19">
        <f>K346/J346</f>
        <v>0.12345679012345678</v>
      </c>
      <c r="M346" s="9"/>
      <c r="N346" s="9"/>
    </row>
    <row r="347" spans="1:14" s="15" customFormat="1">
      <c r="A347" s="15" t="s">
        <v>43</v>
      </c>
      <c r="B347" s="15">
        <v>3063</v>
      </c>
      <c r="C347" s="43">
        <v>2019</v>
      </c>
      <c r="D347" s="15">
        <v>3</v>
      </c>
      <c r="E347" s="17">
        <f>'[17]2019 Benchmarking Calculations'!$AE$10/1000</f>
        <v>1629.2556199999997</v>
      </c>
      <c r="F347" s="41">
        <f t="shared" si="64"/>
        <v>1.3352608354138498</v>
      </c>
      <c r="G347" s="44">
        <f>'[17]2019 Benchmarking Calculations'!$AE$61/1000</f>
        <v>16.574000000000002</v>
      </c>
      <c r="H347" s="16">
        <f t="shared" si="66"/>
        <v>18.574999999999999</v>
      </c>
      <c r="I347" s="18">
        <f>'[17]2019 Benchmarking Calculations'!$AE$57</f>
        <v>3773</v>
      </c>
      <c r="J347" s="18">
        <f>'[17]2019 Utility Characteristics'!$Y$13</f>
        <v>81</v>
      </c>
      <c r="K347" s="18">
        <f>'[17]2019 Utility Characteristics'!$Y$18</f>
        <v>10</v>
      </c>
      <c r="L347" s="19">
        <f>K347/J347</f>
        <v>0.12345679012345678</v>
      </c>
      <c r="M347" s="9"/>
      <c r="N347" s="9"/>
    </row>
    <row r="348" spans="1:14">
      <c r="A348" s="15" t="str">
        <f>'[18]2. BM Database'!B248</f>
        <v>GREATER SUDBURY HYDRO INC.</v>
      </c>
      <c r="B348" s="15">
        <v>3020</v>
      </c>
      <c r="C348" s="43">
        <f>'[18]2. BM Database'!C248</f>
        <v>2005</v>
      </c>
      <c r="D348" s="15">
        <v>3</v>
      </c>
      <c r="E348" s="17">
        <f>'[18]2. BM Database'!F248/1000</f>
        <v>9548.1171200000008</v>
      </c>
      <c r="F348" s="41">
        <f t="shared" ref="F348:F362" si="67">F333</f>
        <v>1</v>
      </c>
      <c r="G348" s="44">
        <f>'[18]2. BM Database'!P248/1000</f>
        <v>193.60400000000001</v>
      </c>
      <c r="H348" s="16">
        <f>G348</f>
        <v>193.60400000000001</v>
      </c>
      <c r="I348" s="18">
        <f>'[18]2. BM Database'!L248</f>
        <v>45915</v>
      </c>
      <c r="J348" s="18">
        <f>'[18]2. BM Database'!R248</f>
        <v>870</v>
      </c>
      <c r="K348" s="18">
        <f t="shared" ref="K348:K359" si="68">J348*L348</f>
        <v>175</v>
      </c>
      <c r="L348" s="19">
        <f>'[18]2. BM Database'!T248</f>
        <v>0.20114942528735633</v>
      </c>
      <c r="M348" s="9"/>
      <c r="N348" s="9"/>
    </row>
    <row r="349" spans="1:14">
      <c r="A349" s="15" t="str">
        <f>'[18]2. BM Database'!B249</f>
        <v>GREATER SUDBURY HYDRO INC.</v>
      </c>
      <c r="B349" s="15">
        <v>3020</v>
      </c>
      <c r="C349" s="43">
        <f>'[18]2. BM Database'!C249</f>
        <v>2006</v>
      </c>
      <c r="D349" s="15">
        <v>3</v>
      </c>
      <c r="E349" s="17">
        <f>'[18]2. BM Database'!F249/1000</f>
        <v>9356.1048499999997</v>
      </c>
      <c r="F349" s="41">
        <f t="shared" si="67"/>
        <v>1.0181607380073696</v>
      </c>
      <c r="G349" s="44">
        <f>'[18]2. BM Database'!P249/1000</f>
        <v>187.511</v>
      </c>
      <c r="H349" s="16">
        <f>MAX(G349,H348)</f>
        <v>193.60400000000001</v>
      </c>
      <c r="I349" s="18">
        <f>'[18]2. BM Database'!L249</f>
        <v>46020</v>
      </c>
      <c r="J349" s="18">
        <f>'[18]2. BM Database'!R249</f>
        <v>871</v>
      </c>
      <c r="K349" s="18">
        <f t="shared" si="68"/>
        <v>175</v>
      </c>
      <c r="L349" s="19">
        <f>'[18]2. BM Database'!T249</f>
        <v>0.20091848450057406</v>
      </c>
      <c r="M349" s="9"/>
      <c r="N349" s="9"/>
    </row>
    <row r="350" spans="1:14">
      <c r="A350" s="15" t="str">
        <f>'[18]2. BM Database'!B250</f>
        <v>GREATER SUDBURY HYDRO INC.</v>
      </c>
      <c r="B350" s="15">
        <v>3020</v>
      </c>
      <c r="C350" s="43">
        <f>'[18]2. BM Database'!C250</f>
        <v>2007</v>
      </c>
      <c r="D350" s="15">
        <v>3</v>
      </c>
      <c r="E350" s="17">
        <f>'[18]2. BM Database'!F250/1000</f>
        <v>15842.248</v>
      </c>
      <c r="F350" s="41">
        <f t="shared" si="67"/>
        <v>1.0531931014872313</v>
      </c>
      <c r="G350" s="44">
        <f>'[18]2. BM Database'!P250/1000</f>
        <v>195.452</v>
      </c>
      <c r="H350" s="16">
        <f t="shared" ref="H350:H362" si="69">MAX(G350,H349)</f>
        <v>195.452</v>
      </c>
      <c r="I350" s="18">
        <f>'[18]2. BM Database'!L250</f>
        <v>46451</v>
      </c>
      <c r="J350" s="18">
        <f>'[18]2. BM Database'!R250</f>
        <v>871</v>
      </c>
      <c r="K350" s="18">
        <f t="shared" si="68"/>
        <v>175</v>
      </c>
      <c r="L350" s="19">
        <f>'[18]2. BM Database'!T250</f>
        <v>0.20091848450057406</v>
      </c>
      <c r="M350" s="9"/>
      <c r="N350" s="9"/>
    </row>
    <row r="351" spans="1:14">
      <c r="A351" s="15" t="str">
        <f>'[18]2. BM Database'!B251</f>
        <v>GREATER SUDBURY HYDRO INC.</v>
      </c>
      <c r="B351" s="15">
        <v>3020</v>
      </c>
      <c r="C351" s="43">
        <f>'[18]2. BM Database'!C251</f>
        <v>2008</v>
      </c>
      <c r="D351" s="15">
        <v>3</v>
      </c>
      <c r="E351" s="17">
        <f>'[18]2. BM Database'!F251/1000</f>
        <v>10582.17316</v>
      </c>
      <c r="F351" s="41">
        <f t="shared" si="67"/>
        <v>1.078564603993923</v>
      </c>
      <c r="G351" s="44">
        <f>'[18]2. BM Database'!P251/1000</f>
        <v>189.10499999999999</v>
      </c>
      <c r="H351" s="16">
        <f t="shared" si="69"/>
        <v>195.452</v>
      </c>
      <c r="I351" s="18">
        <f>'[18]2. BM Database'!L251</f>
        <v>46215</v>
      </c>
      <c r="J351" s="18">
        <f>'[18]2. BM Database'!R251</f>
        <v>871</v>
      </c>
      <c r="K351" s="18">
        <f t="shared" si="68"/>
        <v>175</v>
      </c>
      <c r="L351" s="19">
        <f>'[18]2. BM Database'!T251</f>
        <v>0.20091848450057406</v>
      </c>
      <c r="M351" s="9"/>
      <c r="N351" s="9"/>
    </row>
    <row r="352" spans="1:14">
      <c r="A352" s="15" t="str">
        <f>'[18]2. BM Database'!B252</f>
        <v>GREATER SUDBURY HYDRO INC.</v>
      </c>
      <c r="B352" s="15">
        <v>3020</v>
      </c>
      <c r="C352" s="43">
        <f>'[18]2. BM Database'!C252</f>
        <v>2009</v>
      </c>
      <c r="D352" s="15">
        <v>3</v>
      </c>
      <c r="E352" s="17">
        <f>'[18]2. BM Database'!F252/1000</f>
        <v>11183.125449999998</v>
      </c>
      <c r="F352" s="41">
        <f t="shared" si="67"/>
        <v>1.0915070880241431</v>
      </c>
      <c r="G352" s="44">
        <f>'[18]2. BM Database'!P252/1000</f>
        <v>206.94</v>
      </c>
      <c r="H352" s="16">
        <f t="shared" si="69"/>
        <v>206.94</v>
      </c>
      <c r="I352" s="18">
        <f>'[18]2. BM Database'!L252</f>
        <v>46349</v>
      </c>
      <c r="J352" s="18">
        <f>'[18]2. BM Database'!R252</f>
        <v>944</v>
      </c>
      <c r="K352" s="18">
        <f t="shared" si="68"/>
        <v>213</v>
      </c>
      <c r="L352" s="19">
        <f>'[18]2. BM Database'!T252</f>
        <v>0.22563559322033899</v>
      </c>
      <c r="M352" s="9"/>
      <c r="N352" s="9"/>
    </row>
    <row r="353" spans="1:14">
      <c r="A353" s="15" t="str">
        <f>'[18]2. BM Database'!B253</f>
        <v>GREATER SUDBURY HYDRO INC.</v>
      </c>
      <c r="B353" s="15">
        <v>3020</v>
      </c>
      <c r="C353" s="43">
        <f>'[18]2. BM Database'!C253</f>
        <v>2010</v>
      </c>
      <c r="D353" s="15">
        <v>3</v>
      </c>
      <c r="E353" s="17">
        <f>'[18]2. BM Database'!F253/1000</f>
        <v>7497.4209500000006</v>
      </c>
      <c r="F353" s="41">
        <f t="shared" si="67"/>
        <v>1.1243125351578573</v>
      </c>
      <c r="G353" s="44">
        <f>'[18]2. BM Database'!P253/1000</f>
        <v>206.94</v>
      </c>
      <c r="H353" s="16">
        <f t="shared" si="69"/>
        <v>206.94</v>
      </c>
      <c r="I353" s="18">
        <f>'[18]2. BM Database'!L253</f>
        <v>46710</v>
      </c>
      <c r="J353" s="18">
        <f>'[18]2. BM Database'!R253</f>
        <v>944</v>
      </c>
      <c r="K353" s="18">
        <f t="shared" si="68"/>
        <v>213</v>
      </c>
      <c r="L353" s="19">
        <f>'[18]2. BM Database'!T253</f>
        <v>0.22563559322033899</v>
      </c>
      <c r="M353" s="9"/>
      <c r="N353" s="9"/>
    </row>
    <row r="354" spans="1:14">
      <c r="A354" s="15" t="str">
        <f>'[18]2. BM Database'!B254</f>
        <v>GREATER SUDBURY HYDRO INC.</v>
      </c>
      <c r="B354" s="15">
        <v>3020</v>
      </c>
      <c r="C354" s="43">
        <f>'[18]2. BM Database'!C254</f>
        <v>2011</v>
      </c>
      <c r="D354" s="15">
        <v>3</v>
      </c>
      <c r="E354" s="17">
        <f>'[18]2. BM Database'!F254/1000</f>
        <v>12104.256969999999</v>
      </c>
      <c r="F354" s="41">
        <f t="shared" si="67"/>
        <v>1.1430978626415853</v>
      </c>
      <c r="G354" s="44">
        <f>'[18]2. BM Database'!P254/1000</f>
        <v>196.11500000000001</v>
      </c>
      <c r="H354" s="16">
        <f t="shared" si="69"/>
        <v>206.94</v>
      </c>
      <c r="I354" s="18">
        <f>'[18]2. BM Database'!L254</f>
        <v>46748</v>
      </c>
      <c r="J354" s="18">
        <f>'[18]2. BM Database'!R254</f>
        <v>962</v>
      </c>
      <c r="K354" s="18">
        <f t="shared" si="68"/>
        <v>225</v>
      </c>
      <c r="L354" s="19">
        <f>'[18]2. BM Database'!T254</f>
        <v>0.2338877338877339</v>
      </c>
      <c r="M354" s="9"/>
      <c r="N354" s="9"/>
    </row>
    <row r="355" spans="1:14">
      <c r="A355" s="15" t="str">
        <f>'[18]2. BM Database'!B255</f>
        <v>GREATER SUDBURY HYDRO INC.</v>
      </c>
      <c r="B355" s="15">
        <v>3020</v>
      </c>
      <c r="C355" s="43">
        <f>'[18]2. BM Database'!C255</f>
        <v>2012</v>
      </c>
      <c r="D355" s="15">
        <v>3</v>
      </c>
      <c r="E355" s="17">
        <f>'[18]2. BM Database'!F255/1000</f>
        <v>12803.057430000001</v>
      </c>
      <c r="F355" s="41">
        <f t="shared" si="67"/>
        <v>1.160126854517312</v>
      </c>
      <c r="G355" s="44">
        <f>'[18]2. BM Database'!P255/1000</f>
        <v>180.33199999999999</v>
      </c>
      <c r="H355" s="16">
        <f t="shared" si="69"/>
        <v>206.94</v>
      </c>
      <c r="I355" s="18">
        <f>'[18]2. BM Database'!L255</f>
        <v>46879</v>
      </c>
      <c r="J355" s="18">
        <f>'[18]2. BM Database'!R255</f>
        <v>971</v>
      </c>
      <c r="K355" s="18">
        <f t="shared" si="68"/>
        <v>228</v>
      </c>
      <c r="L355" s="19">
        <f>'[18]2. BM Database'!T255</f>
        <v>0.23480947476828012</v>
      </c>
      <c r="M355" s="9"/>
      <c r="N355" s="9"/>
    </row>
    <row r="356" spans="1:14" s="15" customFormat="1">
      <c r="A356" s="15" t="s">
        <v>44</v>
      </c>
      <c r="B356" s="15">
        <v>3020</v>
      </c>
      <c r="C356" s="43">
        <v>2013</v>
      </c>
      <c r="D356" s="15">
        <v>3</v>
      </c>
      <c r="E356" s="17">
        <f>HLOOKUP(A356,'[19]2013 Benchmarking Calculations'!$I$3:$CC$76,6,FALSE)/1000</f>
        <v>11080.579680000001</v>
      </c>
      <c r="F356" s="41">
        <f t="shared" si="67"/>
        <v>1.178602141578931</v>
      </c>
      <c r="G356" s="44">
        <f>HLOOKUP(A356,'[19]2013 Benchmarking Calculations'!$I$3:$CC$76,57,FALSE)/1000</f>
        <v>195.749</v>
      </c>
      <c r="H356" s="16">
        <f t="shared" si="69"/>
        <v>206.94</v>
      </c>
      <c r="I356" s="18">
        <f>HLOOKUP(A356,'[19]2013 Benchmarking Calculations'!$I$3:$CC$76,53,FALSE)</f>
        <v>47074</v>
      </c>
      <c r="J356" s="18">
        <f>HLOOKUP(A356,'[19]2013 Benchmarking Calculations'!$I$3:$CC$76,71,FALSE)</f>
        <v>980</v>
      </c>
      <c r="K356" s="18">
        <f t="shared" si="68"/>
        <v>231</v>
      </c>
      <c r="L356" s="19">
        <f>HLOOKUP(A356,'[19]2013 PBR data '!B$42:BV$68,15,FALSE)/HLOOKUP(A356,'[19]2013 PBR data '!B$42:BV$68,13,FALSE)</f>
        <v>0.23571428571428571</v>
      </c>
      <c r="M356" s="9"/>
      <c r="N356" s="9"/>
    </row>
    <row r="357" spans="1:14" s="15" customFormat="1">
      <c r="A357" s="15" t="s">
        <v>44</v>
      </c>
      <c r="B357" s="15">
        <v>3020</v>
      </c>
      <c r="C357" s="43">
        <v>2014</v>
      </c>
      <c r="D357" s="15">
        <v>3</v>
      </c>
      <c r="E357" s="17">
        <f>VLOOKUP(A357,[20]Result!$B$12:$D$84,2,FALSE)/10^3</f>
        <v>14850.227000000001</v>
      </c>
      <c r="F357" s="41">
        <f t="shared" si="67"/>
        <v>1.2030671041042156</v>
      </c>
      <c r="G357" s="44">
        <f>VLOOKUP(A357,'[21]General transpose'!$A$1:$AF$73,26,FALSE)/10^3</f>
        <v>194.17400000000001</v>
      </c>
      <c r="H357" s="16">
        <f t="shared" si="69"/>
        <v>206.94</v>
      </c>
      <c r="I357" s="18">
        <f>VLOOKUP(A357,'[21]General transpose'!$A$1:$AF$73,8,FALSE)</f>
        <v>47187</v>
      </c>
      <c r="J357" s="18">
        <f>VLOOKUP(A357,'[21]General transpose'!$A$1:$AF$73,16,FALSE)</f>
        <v>996</v>
      </c>
      <c r="K357" s="18">
        <f t="shared" si="68"/>
        <v>244</v>
      </c>
      <c r="L357" s="19">
        <f>VLOOKUP(A357,'[21]General transpose'!$A$1:$AF$73,17,FALSE)</f>
        <v>0.24497991967871485</v>
      </c>
      <c r="M357" s="9"/>
      <c r="N357" s="9"/>
    </row>
    <row r="358" spans="1:14" s="15" customFormat="1">
      <c r="A358" s="15" t="s">
        <v>44</v>
      </c>
      <c r="B358" s="15">
        <v>3020</v>
      </c>
      <c r="C358" s="43">
        <v>2015</v>
      </c>
      <c r="D358" s="15">
        <v>3</v>
      </c>
      <c r="E358" s="17">
        <f>VLOOKUP(A357,[20]Result!$B$12:$D$84,3,FALSE)/10^3</f>
        <v>13121.322</v>
      </c>
      <c r="F358" s="41">
        <f t="shared" si="67"/>
        <v>1.2312762402864634</v>
      </c>
      <c r="G358" s="44">
        <f>VLOOKUP(A357,'[22]General transpose'!$A$1:$AF$73,26,FALSE)/10^3</f>
        <v>185.13200000000001</v>
      </c>
      <c r="H358" s="16">
        <f t="shared" si="69"/>
        <v>206.94</v>
      </c>
      <c r="I358" s="18">
        <f>VLOOKUP(A357,'[22]General transpose'!$A$1:$AF$73,8,FALSE)</f>
        <v>47298</v>
      </c>
      <c r="J358" s="18">
        <f>VLOOKUP(A357,'[22]General transpose'!$A$1:$AF$73,16,FALSE)</f>
        <v>1001</v>
      </c>
      <c r="K358" s="18">
        <f t="shared" si="68"/>
        <v>248</v>
      </c>
      <c r="L358" s="19">
        <f>VLOOKUP(A357,'[22]General transpose'!$A$1:$AF$73,17,FALSE)</f>
        <v>0.24775224775224775</v>
      </c>
      <c r="M358" s="9"/>
      <c r="N358" s="9"/>
    </row>
    <row r="359" spans="1:14" s="15" customFormat="1">
      <c r="A359" s="15" t="s">
        <v>44</v>
      </c>
      <c r="B359" s="15">
        <v>3020</v>
      </c>
      <c r="C359" s="43">
        <v>2016</v>
      </c>
      <c r="D359" s="15">
        <v>3</v>
      </c>
      <c r="E359" s="17">
        <f>'[14]2016 Benchmarking Calculations'!$AD$8/1000</f>
        <v>14059.731199999998</v>
      </c>
      <c r="F359" s="41">
        <f t="shared" si="67"/>
        <v>1.2455044937824149</v>
      </c>
      <c r="G359" s="44">
        <f>HLOOKUP(A359,[23]General!$A$1:$BQ$23,22,FALSE)/10^3</f>
        <v>171.316</v>
      </c>
      <c r="H359" s="16">
        <f t="shared" si="69"/>
        <v>206.94</v>
      </c>
      <c r="I359" s="18">
        <f>HLOOKUP(A359,[23]General!$A$1:$BQ$23,9,FALSE)</f>
        <v>47362</v>
      </c>
      <c r="J359" s="18">
        <f>HLOOKUP(A359,[23]General!$A$1:$BQ$23,17,FALSE)</f>
        <v>1001</v>
      </c>
      <c r="K359" s="18">
        <f t="shared" si="68"/>
        <v>250</v>
      </c>
      <c r="L359" s="19">
        <f>HLOOKUP(A359,[23]General!$A$1:$BQ$23,18,FALSE)</f>
        <v>0.24975024975024976</v>
      </c>
      <c r="M359" s="9"/>
      <c r="N359" s="9"/>
    </row>
    <row r="360" spans="1:14" s="15" customFormat="1">
      <c r="A360" s="15" t="s">
        <v>44</v>
      </c>
      <c r="B360" s="15">
        <v>3020</v>
      </c>
      <c r="C360" s="43">
        <v>2017</v>
      </c>
      <c r="D360" s="15">
        <v>3</v>
      </c>
      <c r="E360" s="17">
        <f>'[14]2017 Benchmarking Calculations'!$AF$9/1000</f>
        <v>13736.802530000001</v>
      </c>
      <c r="F360" s="41">
        <f t="shared" si="67"/>
        <v>1.2674505553724562</v>
      </c>
      <c r="G360" s="44">
        <f>[15]General!$V$19/1000</f>
        <v>163.61099999999999</v>
      </c>
      <c r="H360" s="16">
        <f t="shared" si="69"/>
        <v>206.94</v>
      </c>
      <c r="I360" s="18">
        <f>[15]General!$V$9</f>
        <v>47427</v>
      </c>
      <c r="J360" s="18">
        <f>[15]General!$V$17</f>
        <v>1005</v>
      </c>
      <c r="K360" s="18">
        <f>J360*L360</f>
        <v>251</v>
      </c>
      <c r="L360" s="19">
        <f>[15]General!$V$16/[15]General!$V$17</f>
        <v>0.24975124378109453</v>
      </c>
      <c r="M360" s="9"/>
      <c r="N360" s="9"/>
    </row>
    <row r="361" spans="1:14" s="15" customFormat="1">
      <c r="A361" s="15" t="s">
        <v>44</v>
      </c>
      <c r="B361" s="15">
        <v>3020</v>
      </c>
      <c r="C361" s="43">
        <v>2018</v>
      </c>
      <c r="D361" s="15">
        <v>3</v>
      </c>
      <c r="E361" s="17">
        <f>'[16]2018 Benchmarking Calculations'!$AF$10/1000</f>
        <v>14687.808559999999</v>
      </c>
      <c r="F361" s="41">
        <f t="shared" si="67"/>
        <v>1.2994718602728874</v>
      </c>
      <c r="G361" s="44">
        <f>'[16]2018 Benchmarking Calculations'!$AF$61/1000</f>
        <v>167.80600000000001</v>
      </c>
      <c r="H361" s="16">
        <f t="shared" si="69"/>
        <v>206.94</v>
      </c>
      <c r="I361" s="18">
        <f>'[16]2018 Benchmarking Calculations'!$AF$57</f>
        <v>47626</v>
      </c>
      <c r="J361" s="18">
        <f>'[16]2018 Utility Characteristics'!$Z$103</f>
        <v>1009</v>
      </c>
      <c r="K361" s="18">
        <f>'[16]2018 Utility Characteristics'!$Z$105</f>
        <v>253</v>
      </c>
      <c r="L361" s="19">
        <f>K361/J361</f>
        <v>0.25074331020812685</v>
      </c>
      <c r="M361" s="9"/>
      <c r="N361" s="9"/>
    </row>
    <row r="362" spans="1:14" s="15" customFormat="1">
      <c r="A362" s="15" t="s">
        <v>44</v>
      </c>
      <c r="B362" s="15">
        <v>3020</v>
      </c>
      <c r="C362" s="43">
        <v>2019</v>
      </c>
      <c r="D362" s="15">
        <v>3</v>
      </c>
      <c r="E362" s="17">
        <f>'[17]2019 Benchmarking Calculations'!$AF$10/1000</f>
        <v>14566.545779999999</v>
      </c>
      <c r="F362" s="41">
        <f t="shared" si="67"/>
        <v>1.3352608354138498</v>
      </c>
      <c r="G362" s="44">
        <f>'[17]2019 Benchmarking Calculations'!$AF$61/1000</f>
        <v>176.84299999999999</v>
      </c>
      <c r="H362" s="16">
        <f t="shared" si="69"/>
        <v>206.94</v>
      </c>
      <c r="I362" s="18">
        <f>'[17]2019 Benchmarking Calculations'!$AF$57</f>
        <v>47725</v>
      </c>
      <c r="J362" s="18">
        <f>'[17]2019 Utility Characteristics'!$Z$13</f>
        <v>1015</v>
      </c>
      <c r="K362" s="18">
        <f>'[17]2019 Utility Characteristics'!$Z$18</f>
        <v>253</v>
      </c>
      <c r="L362" s="19">
        <f>K362/J362</f>
        <v>0.24926108374384237</v>
      </c>
      <c r="M362" s="9"/>
      <c r="N362" s="9"/>
    </row>
    <row r="363" spans="1:14">
      <c r="A363" s="15" t="str">
        <f>'[18]2. BM Database'!B259</f>
        <v>GRIMSBY POWER INCORPORATED</v>
      </c>
      <c r="B363" s="15">
        <v>3050</v>
      </c>
      <c r="C363" s="43">
        <f>'[18]2. BM Database'!C259</f>
        <v>2005</v>
      </c>
      <c r="D363" s="15">
        <v>3</v>
      </c>
      <c r="E363" s="17">
        <f>'[18]2. BM Database'!F259/1000</f>
        <v>1511.8464799999997</v>
      </c>
      <c r="F363" s="41">
        <f t="shared" ref="F363:F377" si="70">F348</f>
        <v>1</v>
      </c>
      <c r="G363" s="44">
        <f>'[18]2. BM Database'!P259/1000</f>
        <v>39.018999999999998</v>
      </c>
      <c r="H363" s="16">
        <f>G363</f>
        <v>39.018999999999998</v>
      </c>
      <c r="I363" s="18">
        <f>'[18]2. BM Database'!L259</f>
        <v>9530</v>
      </c>
      <c r="J363" s="18">
        <f>'[18]2. BM Database'!R259</f>
        <v>238</v>
      </c>
      <c r="K363" s="18">
        <f t="shared" ref="K363:K374" si="71">J363*L363</f>
        <v>58</v>
      </c>
      <c r="L363" s="19">
        <f>'[18]2. BM Database'!T259</f>
        <v>0.24369747899159663</v>
      </c>
      <c r="M363" s="9"/>
      <c r="N363" s="9"/>
    </row>
    <row r="364" spans="1:14">
      <c r="A364" s="15" t="str">
        <f>'[18]2. BM Database'!B260</f>
        <v>GRIMSBY POWER INCORPORATED</v>
      </c>
      <c r="B364" s="15">
        <v>3050</v>
      </c>
      <c r="C364" s="43">
        <f>'[18]2. BM Database'!C260</f>
        <v>2006</v>
      </c>
      <c r="D364" s="15">
        <v>3</v>
      </c>
      <c r="E364" s="17">
        <f>'[18]2. BM Database'!F260/1000</f>
        <v>1460.1659999999999</v>
      </c>
      <c r="F364" s="41">
        <f t="shared" si="70"/>
        <v>1.0181607380073696</v>
      </c>
      <c r="G364" s="44">
        <f>'[18]2. BM Database'!P260/1000</f>
        <v>42.674999999999997</v>
      </c>
      <c r="H364" s="16">
        <f>MAX(G364,H363)</f>
        <v>42.674999999999997</v>
      </c>
      <c r="I364" s="18">
        <f>'[18]2. BM Database'!L260</f>
        <v>9508</v>
      </c>
      <c r="J364" s="18">
        <f>'[18]2. BM Database'!R260</f>
        <v>202</v>
      </c>
      <c r="K364" s="18">
        <f t="shared" si="71"/>
        <v>49</v>
      </c>
      <c r="L364" s="19">
        <f>'[18]2. BM Database'!T260</f>
        <v>0.24257425742574257</v>
      </c>
      <c r="M364" s="9"/>
      <c r="N364" s="9"/>
    </row>
    <row r="365" spans="1:14">
      <c r="A365" s="15" t="str">
        <f>'[18]2. BM Database'!B261</f>
        <v>GRIMSBY POWER INCORPORATED</v>
      </c>
      <c r="B365" s="15">
        <v>3050</v>
      </c>
      <c r="C365" s="43">
        <f>'[18]2. BM Database'!C261</f>
        <v>2007</v>
      </c>
      <c r="D365" s="15">
        <v>3</v>
      </c>
      <c r="E365" s="17">
        <f>'[18]2. BM Database'!F261/1000</f>
        <v>1617.8243500000001</v>
      </c>
      <c r="F365" s="41">
        <f t="shared" si="70"/>
        <v>1.0531931014872313</v>
      </c>
      <c r="G365" s="44">
        <f>'[18]2. BM Database'!P261/1000</f>
        <v>42.79</v>
      </c>
      <c r="H365" s="16">
        <f t="shared" ref="H365:H377" si="72">MAX(G365,H364)</f>
        <v>42.79</v>
      </c>
      <c r="I365" s="18">
        <f>'[18]2. BM Database'!L261</f>
        <v>9792</v>
      </c>
      <c r="J365" s="18">
        <f>'[18]2. BM Database'!R261</f>
        <v>235</v>
      </c>
      <c r="K365" s="18">
        <f t="shared" si="71"/>
        <v>57</v>
      </c>
      <c r="L365" s="19">
        <f>'[18]2. BM Database'!T261</f>
        <v>0.24255319148936169</v>
      </c>
      <c r="M365" s="9"/>
      <c r="N365" s="9"/>
    </row>
    <row r="366" spans="1:14">
      <c r="A366" s="15" t="str">
        <f>'[18]2. BM Database'!B262</f>
        <v>GRIMSBY POWER INCORPORATED</v>
      </c>
      <c r="B366" s="15">
        <v>3050</v>
      </c>
      <c r="C366" s="43">
        <f>'[18]2. BM Database'!C262</f>
        <v>2008</v>
      </c>
      <c r="D366" s="15">
        <v>3</v>
      </c>
      <c r="E366" s="17">
        <f>'[18]2. BM Database'!F262/1000</f>
        <v>1744.9246500000002</v>
      </c>
      <c r="F366" s="41">
        <f t="shared" si="70"/>
        <v>1.078564603993923</v>
      </c>
      <c r="G366" s="44">
        <f>'[18]2. BM Database'!P262/1000</f>
        <v>39.817</v>
      </c>
      <c r="H366" s="16">
        <f t="shared" si="72"/>
        <v>42.79</v>
      </c>
      <c r="I366" s="18">
        <f>'[18]2. BM Database'!L262</f>
        <v>9937</v>
      </c>
      <c r="J366" s="18">
        <f>'[18]2. BM Database'!R262</f>
        <v>238</v>
      </c>
      <c r="K366" s="18">
        <f t="shared" si="71"/>
        <v>60</v>
      </c>
      <c r="L366" s="19">
        <f>'[18]2. BM Database'!T262</f>
        <v>0.25210084033613445</v>
      </c>
      <c r="M366" s="9"/>
      <c r="N366" s="9"/>
    </row>
    <row r="367" spans="1:14">
      <c r="A367" s="15" t="str">
        <f>'[18]2. BM Database'!B263</f>
        <v>GRIMSBY POWER INCORPORATED</v>
      </c>
      <c r="B367" s="15">
        <v>3050</v>
      </c>
      <c r="C367" s="43">
        <f>'[18]2. BM Database'!C263</f>
        <v>2009</v>
      </c>
      <c r="D367" s="15">
        <v>3</v>
      </c>
      <c r="E367" s="17">
        <f>'[18]2. BM Database'!F263/1000</f>
        <v>1744.0907000000002</v>
      </c>
      <c r="F367" s="41">
        <f t="shared" si="70"/>
        <v>1.0915070880241431</v>
      </c>
      <c r="G367" s="44">
        <f>'[18]2. BM Database'!P263/1000</f>
        <v>40.871000000000002</v>
      </c>
      <c r="H367" s="16">
        <f t="shared" si="72"/>
        <v>42.79</v>
      </c>
      <c r="I367" s="18">
        <f>'[18]2. BM Database'!L263</f>
        <v>9992</v>
      </c>
      <c r="J367" s="18">
        <f>'[18]2. BM Database'!R263</f>
        <v>172</v>
      </c>
      <c r="K367" s="18">
        <f t="shared" si="71"/>
        <v>33</v>
      </c>
      <c r="L367" s="19">
        <f>'[18]2. BM Database'!T263</f>
        <v>0.19186046511627908</v>
      </c>
      <c r="M367" s="9"/>
      <c r="N367" s="9"/>
    </row>
    <row r="368" spans="1:14">
      <c r="A368" s="15" t="str">
        <f>'[18]2. BM Database'!B264</f>
        <v>GRIMSBY POWER INCORPORATED</v>
      </c>
      <c r="B368" s="15">
        <v>3050</v>
      </c>
      <c r="C368" s="43">
        <f>'[18]2. BM Database'!C264</f>
        <v>2010</v>
      </c>
      <c r="D368" s="15">
        <v>3</v>
      </c>
      <c r="E368" s="17">
        <f>'[18]2. BM Database'!F264/1000</f>
        <v>1776.4064500000002</v>
      </c>
      <c r="F368" s="41">
        <f t="shared" si="70"/>
        <v>1.1243125351578573</v>
      </c>
      <c r="G368" s="44">
        <f>'[18]2. BM Database'!P264/1000</f>
        <v>57.081000000000003</v>
      </c>
      <c r="H368" s="16">
        <f t="shared" si="72"/>
        <v>57.081000000000003</v>
      </c>
      <c r="I368" s="18">
        <f>'[18]2. BM Database'!L264</f>
        <v>10151</v>
      </c>
      <c r="J368" s="18">
        <f>'[18]2. BM Database'!R264</f>
        <v>241</v>
      </c>
      <c r="K368" s="18">
        <f t="shared" si="71"/>
        <v>68</v>
      </c>
      <c r="L368" s="19">
        <f>'[18]2. BM Database'!T264</f>
        <v>0.28215767634854771</v>
      </c>
      <c r="M368" s="9"/>
      <c r="N368" s="9"/>
    </row>
    <row r="369" spans="1:14">
      <c r="A369" s="15" t="str">
        <f>'[18]2. BM Database'!B265</f>
        <v>GRIMSBY POWER INCORPORATED</v>
      </c>
      <c r="B369" s="15">
        <v>3050</v>
      </c>
      <c r="C369" s="43">
        <f>'[18]2. BM Database'!C265</f>
        <v>2011</v>
      </c>
      <c r="D369" s="15">
        <v>3</v>
      </c>
      <c r="E369" s="17">
        <f>'[18]2. BM Database'!F265/1000</f>
        <v>2078.6680799999999</v>
      </c>
      <c r="F369" s="41">
        <f t="shared" si="70"/>
        <v>1.1430978626415853</v>
      </c>
      <c r="G369" s="44">
        <f>'[18]2. BM Database'!P265/1000</f>
        <v>44.698</v>
      </c>
      <c r="H369" s="16">
        <f t="shared" si="72"/>
        <v>57.081000000000003</v>
      </c>
      <c r="I369" s="18">
        <f>'[18]2. BM Database'!L265</f>
        <v>10307</v>
      </c>
      <c r="J369" s="18">
        <f>'[18]2. BM Database'!R265</f>
        <v>240</v>
      </c>
      <c r="K369" s="18">
        <f t="shared" si="71"/>
        <v>70</v>
      </c>
      <c r="L369" s="19">
        <f>'[18]2. BM Database'!T265</f>
        <v>0.29166666666666669</v>
      </c>
      <c r="M369" s="9"/>
      <c r="N369" s="9"/>
    </row>
    <row r="370" spans="1:14">
      <c r="A370" s="15" t="str">
        <f>'[18]2. BM Database'!B266</f>
        <v>GRIMSBY POWER INCORPORATED</v>
      </c>
      <c r="B370" s="15">
        <v>3050</v>
      </c>
      <c r="C370" s="43">
        <f>'[18]2. BM Database'!C266</f>
        <v>2012</v>
      </c>
      <c r="D370" s="15">
        <v>3</v>
      </c>
      <c r="E370" s="17">
        <f>'[18]2. BM Database'!F266/1000</f>
        <v>2862.1024245000003</v>
      </c>
      <c r="F370" s="41">
        <f t="shared" si="70"/>
        <v>1.160126854517312</v>
      </c>
      <c r="G370" s="44">
        <f>'[18]2. BM Database'!P266/1000</f>
        <v>43.383000000000003</v>
      </c>
      <c r="H370" s="16">
        <f t="shared" si="72"/>
        <v>57.081000000000003</v>
      </c>
      <c r="I370" s="18">
        <f>'[18]2. BM Database'!L266</f>
        <v>10488</v>
      </c>
      <c r="J370" s="18">
        <f>'[18]2. BM Database'!R266</f>
        <v>238</v>
      </c>
      <c r="K370" s="18">
        <f t="shared" si="71"/>
        <v>70</v>
      </c>
      <c r="L370" s="19">
        <f>'[18]2. BM Database'!T266</f>
        <v>0.29411764705882354</v>
      </c>
      <c r="M370" s="9"/>
      <c r="N370" s="9"/>
    </row>
    <row r="371" spans="1:14" s="15" customFormat="1">
      <c r="A371" s="15" t="s">
        <v>45</v>
      </c>
      <c r="B371" s="15">
        <v>3050</v>
      </c>
      <c r="C371" s="43">
        <v>2013</v>
      </c>
      <c r="D371" s="15">
        <v>3</v>
      </c>
      <c r="E371" s="17">
        <f>HLOOKUP(A371,'[19]2013 Benchmarking Calculations'!$I$3:$CC$76,6,FALSE)/1000</f>
        <v>2653.3530499999997</v>
      </c>
      <c r="F371" s="41">
        <f t="shared" si="70"/>
        <v>1.178602141578931</v>
      </c>
      <c r="G371" s="44">
        <f>HLOOKUP(A371,'[19]2013 Benchmarking Calculations'!$I$3:$CC$76,57,FALSE)/1000</f>
        <v>43.982999999999997</v>
      </c>
      <c r="H371" s="16">
        <f t="shared" si="72"/>
        <v>57.081000000000003</v>
      </c>
      <c r="I371" s="18">
        <f>HLOOKUP(A371,'[19]2013 Benchmarking Calculations'!$I$3:$CC$76,53,FALSE)</f>
        <v>10595</v>
      </c>
      <c r="J371" s="18">
        <f>HLOOKUP(A371,'[19]2013 Benchmarking Calculations'!$I$3:$CC$76,71,FALSE)</f>
        <v>240</v>
      </c>
      <c r="K371" s="18">
        <f t="shared" si="71"/>
        <v>73</v>
      </c>
      <c r="L371" s="19">
        <f>HLOOKUP(A371,'[19]2013 PBR data '!B$42:BV$68,15,FALSE)/HLOOKUP(A371,'[19]2013 PBR data '!B$42:BV$68,13,FALSE)</f>
        <v>0.30416666666666664</v>
      </c>
      <c r="M371" s="9"/>
      <c r="N371" s="9"/>
    </row>
    <row r="372" spans="1:14" s="15" customFormat="1">
      <c r="A372" s="15" t="s">
        <v>45</v>
      </c>
      <c r="B372" s="15">
        <v>3050</v>
      </c>
      <c r="C372" s="43">
        <v>2014</v>
      </c>
      <c r="D372" s="15">
        <v>3</v>
      </c>
      <c r="E372" s="17">
        <f>VLOOKUP(A372,[20]Result!$B$12:$D$84,2,FALSE)/10^3</f>
        <v>2772.13</v>
      </c>
      <c r="F372" s="41">
        <f t="shared" si="70"/>
        <v>1.2030671041042156</v>
      </c>
      <c r="G372" s="44">
        <f>VLOOKUP(A372,'[21]General transpose'!$A$1:$AF$73,26,FALSE)/10^3</f>
        <v>38.287999999999997</v>
      </c>
      <c r="H372" s="16">
        <f t="shared" si="72"/>
        <v>57.081000000000003</v>
      </c>
      <c r="I372" s="18">
        <f>VLOOKUP(A372,'[21]General transpose'!$A$1:$AF$73,8,FALSE)</f>
        <v>11038</v>
      </c>
      <c r="J372" s="18">
        <f>VLOOKUP(A372,'[21]General transpose'!$A$1:$AF$73,16,FALSE)</f>
        <v>245</v>
      </c>
      <c r="K372" s="18">
        <f t="shared" si="71"/>
        <v>73</v>
      </c>
      <c r="L372" s="19">
        <f>VLOOKUP(A372,'[21]General transpose'!$A$1:$AF$73,17,FALSE)</f>
        <v>0.29795918367346941</v>
      </c>
      <c r="M372" s="9"/>
      <c r="N372" s="9"/>
    </row>
    <row r="373" spans="1:14" s="15" customFormat="1">
      <c r="A373" s="15" t="s">
        <v>45</v>
      </c>
      <c r="B373" s="15">
        <v>3050</v>
      </c>
      <c r="C373" s="43">
        <v>2015</v>
      </c>
      <c r="D373" s="15">
        <v>3</v>
      </c>
      <c r="E373" s="17">
        <f>VLOOKUP(A372,[20]Result!$B$12:$D$84,3,FALSE)/10^3</f>
        <v>2874.1460000000002</v>
      </c>
      <c r="F373" s="41">
        <f t="shared" si="70"/>
        <v>1.2312762402864634</v>
      </c>
      <c r="G373" s="44">
        <f>VLOOKUP(A372,'[22]General transpose'!$A$1:$AF$73,26,FALSE)/10^3</f>
        <v>41.661999999999999</v>
      </c>
      <c r="H373" s="16">
        <f t="shared" si="72"/>
        <v>57.081000000000003</v>
      </c>
      <c r="I373" s="18">
        <f>VLOOKUP(A372,'[22]General transpose'!$A$1:$AF$73,8,FALSE)</f>
        <v>11145</v>
      </c>
      <c r="J373" s="18">
        <f>VLOOKUP(A372,'[22]General transpose'!$A$1:$AF$73,16,FALSE)</f>
        <v>244</v>
      </c>
      <c r="K373" s="18">
        <f t="shared" si="71"/>
        <v>76</v>
      </c>
      <c r="L373" s="19">
        <f>VLOOKUP(A372,'[22]General transpose'!$A$1:$AF$73,17,FALSE)</f>
        <v>0.31147540983606559</v>
      </c>
      <c r="M373" s="9"/>
      <c r="N373" s="9"/>
    </row>
    <row r="374" spans="1:14" s="15" customFormat="1">
      <c r="A374" s="15" t="s">
        <v>45</v>
      </c>
      <c r="B374" s="15">
        <v>3050</v>
      </c>
      <c r="C374" s="43">
        <v>2016</v>
      </c>
      <c r="D374" s="15">
        <v>3</v>
      </c>
      <c r="E374" s="17">
        <f>'[14]2016 Benchmarking Calculations'!$AE$8/1000</f>
        <v>3318.2083700000007</v>
      </c>
      <c r="F374" s="41">
        <f t="shared" si="70"/>
        <v>1.2455044937824149</v>
      </c>
      <c r="G374" s="44">
        <f>HLOOKUP(A374,[23]General!$A$1:$BQ$23,22,FALSE)/10^3</f>
        <v>43.09</v>
      </c>
      <c r="H374" s="16">
        <f t="shared" si="72"/>
        <v>57.081000000000003</v>
      </c>
      <c r="I374" s="18">
        <f>HLOOKUP(A374,[23]General!$A$1:$BQ$23,9,FALSE)</f>
        <v>11169</v>
      </c>
      <c r="J374" s="18">
        <f>HLOOKUP(A374,[23]General!$A$1:$BQ$23,17,FALSE)</f>
        <v>246</v>
      </c>
      <c r="K374" s="18">
        <f t="shared" si="71"/>
        <v>79</v>
      </c>
      <c r="L374" s="19">
        <f>HLOOKUP(A374,[23]General!$A$1:$BQ$23,18,FALSE)</f>
        <v>0.32113821138211385</v>
      </c>
      <c r="M374" s="9"/>
      <c r="N374" s="9"/>
    </row>
    <row r="375" spans="1:14" s="15" customFormat="1">
      <c r="A375" s="15" t="s">
        <v>45</v>
      </c>
      <c r="B375" s="15">
        <v>3050</v>
      </c>
      <c r="C375" s="43">
        <v>2017</v>
      </c>
      <c r="D375" s="15">
        <v>3</v>
      </c>
      <c r="E375" s="17">
        <f>'[14]2017 Benchmarking Calculations'!$AG$9/1000</f>
        <v>2934.5685699999999</v>
      </c>
      <c r="F375" s="41">
        <f t="shared" si="70"/>
        <v>1.2674505553724562</v>
      </c>
      <c r="G375" s="44">
        <f>'[14]2017 Benchmarking Calculations'!$AG$60/1000</f>
        <v>50.033000000000001</v>
      </c>
      <c r="H375" s="16">
        <f t="shared" si="72"/>
        <v>57.081000000000003</v>
      </c>
      <c r="I375" s="18">
        <f>'[14]2017 Benchmarking Calculations'!$AG$56</f>
        <v>11354</v>
      </c>
      <c r="J375" s="18">
        <f>'[14]2017 Utility Characteristics'!$X$79</f>
        <v>677</v>
      </c>
      <c r="K375" s="15">
        <f>'[14]2017 Utility Characteristics'!$X$81</f>
        <v>321</v>
      </c>
      <c r="L375" s="19">
        <f>K375/J375</f>
        <v>0.47415066469719352</v>
      </c>
      <c r="M375" s="9"/>
      <c r="N375" s="9"/>
    </row>
    <row r="376" spans="1:14" s="15" customFormat="1">
      <c r="A376" s="15" t="s">
        <v>45</v>
      </c>
      <c r="B376" s="15">
        <v>3050</v>
      </c>
      <c r="C376" s="43">
        <v>2018</v>
      </c>
      <c r="D376" s="15">
        <v>3</v>
      </c>
      <c r="E376" s="17">
        <f>'[16]2018 Benchmarking Calculations'!$AG$10/1000</f>
        <v>3128.1028999999999</v>
      </c>
      <c r="F376" s="41">
        <f t="shared" si="70"/>
        <v>1.2994718602728874</v>
      </c>
      <c r="G376" s="44">
        <f>'[16]2018 Benchmarking Calculations'!$AG$61/1000</f>
        <v>55.822000000000003</v>
      </c>
      <c r="H376" s="16">
        <f t="shared" si="72"/>
        <v>57.081000000000003</v>
      </c>
      <c r="I376" s="18">
        <f>'[16]2018 Benchmarking Calculations'!$AG$57</f>
        <v>11552</v>
      </c>
      <c r="J376" s="18">
        <f>'[16]2018 Utility Characteristics'!$AA$103</f>
        <v>689</v>
      </c>
      <c r="K376" s="18">
        <f>'[16]2018 Utility Characteristics'!$AA$105</f>
        <v>332</v>
      </c>
      <c r="L376" s="19">
        <f>K376/J376</f>
        <v>0.48185776487663279</v>
      </c>
      <c r="M376" s="9"/>
      <c r="N376" s="9"/>
    </row>
    <row r="377" spans="1:14" s="15" customFormat="1">
      <c r="A377" s="15" t="s">
        <v>45</v>
      </c>
      <c r="B377" s="15">
        <v>3050</v>
      </c>
      <c r="C377" s="43">
        <v>2019</v>
      </c>
      <c r="D377" s="15">
        <v>3</v>
      </c>
      <c r="E377" s="17">
        <f>'[17]2019 Benchmarking Calculations'!$AG$10/1000</f>
        <v>3151.5511900000001</v>
      </c>
      <c r="F377" s="41">
        <f t="shared" si="70"/>
        <v>1.3352608354138498</v>
      </c>
      <c r="G377" s="44">
        <f>'[17]2019 Benchmarking Calculations'!$AG$61/1000</f>
        <v>55.347000000000001</v>
      </c>
      <c r="H377" s="16">
        <f t="shared" si="72"/>
        <v>57.081000000000003</v>
      </c>
      <c r="I377" s="18">
        <f>'[17]2019 Benchmarking Calculations'!$AG$57</f>
        <v>11632</v>
      </c>
      <c r="J377" s="18">
        <f>'[17]2019 Utility Characteristics'!$AA$13</f>
        <v>689</v>
      </c>
      <c r="K377" s="18">
        <f>'[17]2019 Utility Characteristics'!$AA$15</f>
        <v>333</v>
      </c>
      <c r="L377" s="19">
        <f>K377/J377</f>
        <v>0.48330914368650219</v>
      </c>
      <c r="M377" s="9"/>
      <c r="N377" s="9"/>
    </row>
    <row r="378" spans="1:14">
      <c r="A378" s="15" t="str">
        <f>'[18]2. BM Database'!B270</f>
        <v>GUELPH HYDRO ELECTRIC SYSTEMS INC.</v>
      </c>
      <c r="B378" s="15">
        <v>3017</v>
      </c>
      <c r="C378" s="43">
        <f>'[18]2. BM Database'!C270</f>
        <v>2005</v>
      </c>
      <c r="D378" s="15">
        <v>3</v>
      </c>
      <c r="E378" s="17">
        <f>'[18]2. BM Database'!F270/1000</f>
        <v>8566.3176400000011</v>
      </c>
      <c r="F378" s="41">
        <f t="shared" ref="F378:F392" si="73">F363</f>
        <v>1</v>
      </c>
      <c r="G378" s="44">
        <f>'[18]2. BM Database'!P270/1000</f>
        <v>283.18700000000001</v>
      </c>
      <c r="H378" s="16">
        <f>G378</f>
        <v>283.18700000000001</v>
      </c>
      <c r="I378" s="18">
        <f>'[18]2. BM Database'!L270</f>
        <v>56177</v>
      </c>
      <c r="J378" s="18">
        <f>'[18]2. BM Database'!R270</f>
        <v>976</v>
      </c>
      <c r="K378" s="18">
        <f t="shared" ref="K378:K389" si="74">J378*L378</f>
        <v>554</v>
      </c>
      <c r="L378" s="19">
        <f>'[18]2. BM Database'!T270</f>
        <v>0.56762295081967218</v>
      </c>
      <c r="M378" s="9"/>
      <c r="N378" s="9"/>
    </row>
    <row r="379" spans="1:14">
      <c r="A379" s="15" t="str">
        <f>'[18]2. BM Database'!B271</f>
        <v>GUELPH HYDRO ELECTRIC SYSTEMS INC.</v>
      </c>
      <c r="B379" s="15">
        <v>3017</v>
      </c>
      <c r="C379" s="43">
        <f>'[18]2. BM Database'!C271</f>
        <v>2006</v>
      </c>
      <c r="D379" s="15">
        <v>3</v>
      </c>
      <c r="E379" s="17">
        <f>'[18]2. BM Database'!F271/1000</f>
        <v>8663.97516</v>
      </c>
      <c r="F379" s="41">
        <f t="shared" si="73"/>
        <v>1.0181607380073696</v>
      </c>
      <c r="G379" s="44">
        <f>'[18]2. BM Database'!P271/1000</f>
        <v>285.75</v>
      </c>
      <c r="H379" s="16">
        <f>MAX(G379,H378)</f>
        <v>285.75</v>
      </c>
      <c r="I379" s="18">
        <f>'[18]2. BM Database'!L271</f>
        <v>58941</v>
      </c>
      <c r="J379" s="18">
        <f>'[18]2. BM Database'!R271</f>
        <v>1002</v>
      </c>
      <c r="K379" s="18">
        <f t="shared" si="74"/>
        <v>577</v>
      </c>
      <c r="L379" s="19">
        <f>'[18]2. BM Database'!T271</f>
        <v>0.57584830339321358</v>
      </c>
      <c r="M379" s="9"/>
      <c r="N379" s="9"/>
    </row>
    <row r="380" spans="1:14">
      <c r="A380" s="15" t="str">
        <f>'[18]2. BM Database'!B272</f>
        <v>GUELPH HYDRO ELECTRIC SYSTEMS INC.</v>
      </c>
      <c r="B380" s="15">
        <v>3017</v>
      </c>
      <c r="C380" s="43">
        <f>'[18]2. BM Database'!C272</f>
        <v>2007</v>
      </c>
      <c r="D380" s="15">
        <v>3</v>
      </c>
      <c r="E380" s="17">
        <f>'[18]2. BM Database'!F272/1000</f>
        <v>10126.682710000001</v>
      </c>
      <c r="F380" s="41">
        <f t="shared" si="73"/>
        <v>1.0531931014872313</v>
      </c>
      <c r="G380" s="44">
        <f>'[18]2. BM Database'!P272/1000</f>
        <v>281.37700000000001</v>
      </c>
      <c r="H380" s="16">
        <f t="shared" ref="H380:H391" si="75">MAX(G380,H379)</f>
        <v>285.75</v>
      </c>
      <c r="I380" s="18">
        <f>'[18]2. BM Database'!L272</f>
        <v>47720</v>
      </c>
      <c r="J380" s="18">
        <f>'[18]2. BM Database'!R272</f>
        <v>1030</v>
      </c>
      <c r="K380" s="18">
        <f t="shared" si="74"/>
        <v>604</v>
      </c>
      <c r="L380" s="19">
        <f>'[18]2. BM Database'!T272</f>
        <v>0.58640776699029129</v>
      </c>
      <c r="M380" s="9"/>
      <c r="N380" s="9"/>
    </row>
    <row r="381" spans="1:14">
      <c r="A381" s="15" t="str">
        <f>'[18]2. BM Database'!B273</f>
        <v>GUELPH HYDRO ELECTRIC SYSTEMS INC.</v>
      </c>
      <c r="B381" s="15">
        <v>3017</v>
      </c>
      <c r="C381" s="43">
        <f>'[18]2. BM Database'!C273</f>
        <v>2008</v>
      </c>
      <c r="D381" s="15">
        <v>3</v>
      </c>
      <c r="E381" s="17">
        <f>'[18]2. BM Database'!F273/1000</f>
        <v>10008.08884</v>
      </c>
      <c r="F381" s="41">
        <f t="shared" si="73"/>
        <v>1.078564603993923</v>
      </c>
      <c r="G381" s="44">
        <f>'[18]2. BM Database'!P273/1000</f>
        <v>273.89800000000002</v>
      </c>
      <c r="H381" s="16">
        <f t="shared" si="75"/>
        <v>285.75</v>
      </c>
      <c r="I381" s="18">
        <f>'[18]2. BM Database'!L273</f>
        <v>48914</v>
      </c>
      <c r="J381" s="18">
        <f>'[18]2. BM Database'!R273</f>
        <v>1049</v>
      </c>
      <c r="K381" s="18">
        <f t="shared" si="74"/>
        <v>619.99999999999989</v>
      </c>
      <c r="L381" s="19">
        <f>'[18]2. BM Database'!T273</f>
        <v>0.59103908484270729</v>
      </c>
      <c r="M381" s="9"/>
      <c r="N381" s="9"/>
    </row>
    <row r="382" spans="1:14">
      <c r="A382" s="15" t="str">
        <f>'[18]2. BM Database'!B274</f>
        <v>GUELPH HYDRO ELECTRIC SYSTEMS INC.</v>
      </c>
      <c r="B382" s="15">
        <v>3017</v>
      </c>
      <c r="C382" s="43">
        <f>'[18]2. BM Database'!C274</f>
        <v>2009</v>
      </c>
      <c r="D382" s="15">
        <v>3</v>
      </c>
      <c r="E382" s="17">
        <f>'[18]2. BM Database'!F274/1000</f>
        <v>9246.6920600000012</v>
      </c>
      <c r="F382" s="41">
        <f t="shared" si="73"/>
        <v>1.0915070880241431</v>
      </c>
      <c r="G382" s="44">
        <f>'[18]2. BM Database'!P274/1000</f>
        <v>267.57600000000002</v>
      </c>
      <c r="H382" s="16">
        <f t="shared" si="75"/>
        <v>285.75</v>
      </c>
      <c r="I382" s="18">
        <f>'[18]2. BM Database'!L274</f>
        <v>49259</v>
      </c>
      <c r="J382" s="18">
        <f>'[18]2. BM Database'!R274</f>
        <v>1063</v>
      </c>
      <c r="K382" s="18">
        <f t="shared" si="74"/>
        <v>636</v>
      </c>
      <c r="L382" s="19">
        <f>'[18]2. BM Database'!T274</f>
        <v>0.59830667920978364</v>
      </c>
      <c r="M382" s="9"/>
      <c r="N382" s="9"/>
    </row>
    <row r="383" spans="1:14">
      <c r="A383" s="15" t="str">
        <f>'[18]2. BM Database'!B275</f>
        <v>GUELPH HYDRO ELECTRIC SYSTEMS INC.</v>
      </c>
      <c r="B383" s="15">
        <v>3017</v>
      </c>
      <c r="C383" s="43">
        <f>'[18]2. BM Database'!C275</f>
        <v>2010</v>
      </c>
      <c r="D383" s="15">
        <v>3</v>
      </c>
      <c r="E383" s="17">
        <f>'[18]2. BM Database'!F275/1000</f>
        <v>9673.2873799999998</v>
      </c>
      <c r="F383" s="41">
        <f t="shared" si="73"/>
        <v>1.1243125351578573</v>
      </c>
      <c r="G383" s="44">
        <f>'[18]2. BM Database'!P275/1000</f>
        <v>285.95499999999998</v>
      </c>
      <c r="H383" s="16">
        <f t="shared" si="75"/>
        <v>285.95499999999998</v>
      </c>
      <c r="I383" s="18">
        <f>'[18]2. BM Database'!L275</f>
        <v>50250</v>
      </c>
      <c r="J383" s="18">
        <f>'[18]2. BM Database'!R275</f>
        <v>1065</v>
      </c>
      <c r="K383" s="18">
        <f t="shared" si="74"/>
        <v>638</v>
      </c>
      <c r="L383" s="19">
        <f>'[18]2. BM Database'!T275</f>
        <v>0.59906103286384982</v>
      </c>
      <c r="M383" s="9"/>
      <c r="N383" s="9"/>
    </row>
    <row r="384" spans="1:14">
      <c r="A384" s="15" t="str">
        <f>'[18]2. BM Database'!B276</f>
        <v>GUELPH HYDRO ELECTRIC SYSTEMS INC.</v>
      </c>
      <c r="B384" s="15">
        <v>3017</v>
      </c>
      <c r="C384" s="43">
        <f>'[18]2. BM Database'!C276</f>
        <v>2011</v>
      </c>
      <c r="D384" s="15">
        <v>3</v>
      </c>
      <c r="E384" s="17">
        <f>'[18]2. BM Database'!F276/1000</f>
        <v>12601.319650000001</v>
      </c>
      <c r="F384" s="41">
        <f t="shared" si="73"/>
        <v>1.1430978626415853</v>
      </c>
      <c r="G384" s="44">
        <f>'[18]2. BM Database'!P276/1000</f>
        <v>297.5</v>
      </c>
      <c r="H384" s="16">
        <f t="shared" si="75"/>
        <v>297.5</v>
      </c>
      <c r="I384" s="18">
        <f>'[18]2. BM Database'!L276</f>
        <v>50859</v>
      </c>
      <c r="J384" s="18">
        <f>'[18]2. BM Database'!R276</f>
        <v>1084</v>
      </c>
      <c r="K384" s="18">
        <f t="shared" si="74"/>
        <v>654</v>
      </c>
      <c r="L384" s="19">
        <f>'[18]2. BM Database'!T276</f>
        <v>0.60332103321033215</v>
      </c>
      <c r="M384" s="9"/>
      <c r="N384" s="9"/>
    </row>
    <row r="385" spans="1:14">
      <c r="A385" s="15" t="str">
        <f>'[18]2. BM Database'!B277</f>
        <v>GUELPH HYDRO ELECTRIC SYSTEMS INC.</v>
      </c>
      <c r="B385" s="15">
        <v>3017</v>
      </c>
      <c r="C385" s="43">
        <f>'[18]2. BM Database'!C277</f>
        <v>2012</v>
      </c>
      <c r="D385" s="15">
        <v>3</v>
      </c>
      <c r="E385" s="17">
        <f>'[18]2. BM Database'!F277/1000</f>
        <v>13183.392096979282</v>
      </c>
      <c r="F385" s="41">
        <f t="shared" si="73"/>
        <v>1.160126854517312</v>
      </c>
      <c r="G385" s="44">
        <f>'[18]2. BM Database'!P277/1000</f>
        <v>294.39999999999998</v>
      </c>
      <c r="H385" s="16">
        <f t="shared" si="75"/>
        <v>297.5</v>
      </c>
      <c r="I385" s="18">
        <f>'[18]2. BM Database'!L277</f>
        <v>51553</v>
      </c>
      <c r="J385" s="18">
        <f>'[18]2. BM Database'!R277</f>
        <v>1103</v>
      </c>
      <c r="K385" s="18">
        <f t="shared" si="74"/>
        <v>672</v>
      </c>
      <c r="L385" s="19">
        <f>'[18]2. BM Database'!T277</f>
        <v>0.60924750679963735</v>
      </c>
      <c r="M385" s="9"/>
      <c r="N385" s="9"/>
    </row>
    <row r="386" spans="1:14" s="15" customFormat="1">
      <c r="A386" s="15" t="s">
        <v>46</v>
      </c>
      <c r="B386" s="15">
        <v>3017</v>
      </c>
      <c r="C386" s="43">
        <v>2013</v>
      </c>
      <c r="D386" s="15">
        <v>3</v>
      </c>
      <c r="E386" s="17">
        <f>HLOOKUP(A386,'[19]2013 Benchmarking Calculations'!$I$3:$CC$76,6,FALSE)/1000</f>
        <v>14769.95966</v>
      </c>
      <c r="F386" s="41">
        <f t="shared" si="73"/>
        <v>1.178602141578931</v>
      </c>
      <c r="G386" s="44">
        <f>HLOOKUP(A386,'[19]2013 Benchmarking Calculations'!$I$3:$CC$76,57,FALSE)/1000</f>
        <v>298.91300000000001</v>
      </c>
      <c r="H386" s="16">
        <f t="shared" si="75"/>
        <v>298.91300000000001</v>
      </c>
      <c r="I386" s="18">
        <f>HLOOKUP(A386,'[19]2013 Benchmarking Calculations'!$I$3:$CC$76,53,FALSE)</f>
        <v>52323</v>
      </c>
      <c r="J386" s="18">
        <f>HLOOKUP(A386,'[19]2013 Benchmarking Calculations'!$I$3:$CC$76,71,FALSE)</f>
        <v>1099</v>
      </c>
      <c r="K386" s="18">
        <f t="shared" si="74"/>
        <v>672</v>
      </c>
      <c r="L386" s="19">
        <f>HLOOKUP(A386,'[19]2013 PBR data '!B$42:BV$68,15,FALSE)/HLOOKUP(A386,'[19]2013 PBR data '!B$42:BV$68,13,FALSE)</f>
        <v>0.61146496815286622</v>
      </c>
      <c r="M386" s="9"/>
      <c r="N386" s="9"/>
    </row>
    <row r="387" spans="1:14" s="15" customFormat="1">
      <c r="A387" s="15" t="s">
        <v>46</v>
      </c>
      <c r="B387" s="15">
        <v>3017</v>
      </c>
      <c r="C387" s="43">
        <v>2014</v>
      </c>
      <c r="D387" s="15">
        <v>3</v>
      </c>
      <c r="E387" s="17">
        <f>VLOOKUP(A387,[20]Result!$B$12:$D$84,2,FALSE)/10^3</f>
        <v>13774.32</v>
      </c>
      <c r="F387" s="41">
        <f t="shared" si="73"/>
        <v>1.2030671041042156</v>
      </c>
      <c r="G387" s="44">
        <f>VLOOKUP(A387,'[21]General transpose'!$A$1:$AF$73,26,FALSE)/10^3</f>
        <v>285.26499999999999</v>
      </c>
      <c r="H387" s="16">
        <f t="shared" si="75"/>
        <v>298.91300000000001</v>
      </c>
      <c r="I387" s="18">
        <f>VLOOKUP(A387,'[21]General transpose'!$A$1:$AF$73,8,FALSE)</f>
        <v>52963</v>
      </c>
      <c r="J387" s="18">
        <f>VLOOKUP(A387,'[21]General transpose'!$A$1:$AF$73,16,FALSE)</f>
        <v>1109</v>
      </c>
      <c r="K387" s="18">
        <f t="shared" si="74"/>
        <v>682</v>
      </c>
      <c r="L387" s="19">
        <f>VLOOKUP(A387,'[21]General transpose'!$A$1:$AF$73,17,FALSE)</f>
        <v>0.61496844003606854</v>
      </c>
      <c r="M387" s="9"/>
      <c r="N387" s="9"/>
    </row>
    <row r="388" spans="1:14" s="15" customFormat="1">
      <c r="A388" s="15" t="s">
        <v>46</v>
      </c>
      <c r="B388" s="15">
        <v>3017</v>
      </c>
      <c r="C388" s="43">
        <v>2015</v>
      </c>
      <c r="D388" s="15">
        <v>3</v>
      </c>
      <c r="E388" s="17">
        <f>VLOOKUP(A387,[20]Result!$B$12:$D$84,3,FALSE)/10^3</f>
        <v>14875.578</v>
      </c>
      <c r="F388" s="41">
        <f t="shared" si="73"/>
        <v>1.2312762402864634</v>
      </c>
      <c r="G388" s="44">
        <f>VLOOKUP(A387,'[22]General transpose'!$A$1:$AF$73,26,FALSE)/10^3</f>
        <v>292.67500000000001</v>
      </c>
      <c r="H388" s="16">
        <f t="shared" si="75"/>
        <v>298.91300000000001</v>
      </c>
      <c r="I388" s="18">
        <f>VLOOKUP(A387,'[22]General transpose'!$A$1:$AF$73,8,FALSE)</f>
        <v>53789</v>
      </c>
      <c r="J388" s="18">
        <f>VLOOKUP(A387,'[22]General transpose'!$A$1:$AF$73,16,FALSE)</f>
        <v>1133</v>
      </c>
      <c r="K388" s="18">
        <f t="shared" si="74"/>
        <v>703</v>
      </c>
      <c r="L388" s="19">
        <f>VLOOKUP(A387,'[22]General transpose'!$A$1:$AF$73,17,FALSE)</f>
        <v>0.62047661076787286</v>
      </c>
      <c r="M388" s="9"/>
      <c r="N388" s="9"/>
    </row>
    <row r="389" spans="1:14" s="15" customFormat="1">
      <c r="A389" s="15" t="s">
        <v>46</v>
      </c>
      <c r="B389" s="15">
        <v>3017</v>
      </c>
      <c r="C389" s="43">
        <v>2016</v>
      </c>
      <c r="D389" s="15">
        <v>3</v>
      </c>
      <c r="E389" s="17">
        <f>'[14]2016 Benchmarking Calculations'!$AF$8/1000</f>
        <v>14197.517030000003</v>
      </c>
      <c r="F389" s="41">
        <f t="shared" si="73"/>
        <v>1.2455044937824149</v>
      </c>
      <c r="G389" s="44">
        <f>HLOOKUP(A389,[23]General!$A$1:$BQ$23,22,FALSE)/10^3</f>
        <v>292.46499999999997</v>
      </c>
      <c r="H389" s="16">
        <f t="shared" si="75"/>
        <v>298.91300000000001</v>
      </c>
      <c r="I389" s="18">
        <f>HLOOKUP(A389,[23]General!$A$1:$BQ$23,9,FALSE)</f>
        <v>54414</v>
      </c>
      <c r="J389" s="18">
        <f>HLOOKUP(A389,[23]General!$A$1:$BQ$23,17,FALSE)</f>
        <v>1132</v>
      </c>
      <c r="K389" s="18">
        <f t="shared" si="74"/>
        <v>712</v>
      </c>
      <c r="L389" s="19">
        <f>HLOOKUP(A389,[23]General!$A$1:$BQ$23,18,FALSE)</f>
        <v>0.62897526501766787</v>
      </c>
      <c r="M389" s="9"/>
      <c r="N389" s="9"/>
    </row>
    <row r="390" spans="1:14" s="15" customFormat="1">
      <c r="A390" s="15" t="s">
        <v>46</v>
      </c>
      <c r="B390" s="15">
        <v>3017</v>
      </c>
      <c r="C390" s="43">
        <v>2017</v>
      </c>
      <c r="D390" s="15">
        <v>3</v>
      </c>
      <c r="E390" s="17">
        <f>'[14]2017 Benchmarking Calculations'!$AH$9/1000</f>
        <v>14940.538639999999</v>
      </c>
      <c r="F390" s="41">
        <f t="shared" si="73"/>
        <v>1.2674505553724562</v>
      </c>
      <c r="G390" s="44">
        <f>[15]General!$X$20/1000</f>
        <v>277.33</v>
      </c>
      <c r="H390" s="16">
        <f t="shared" si="75"/>
        <v>298.91300000000001</v>
      </c>
      <c r="I390" s="18">
        <f>[15]General!$X$9</f>
        <v>55239</v>
      </c>
      <c r="J390" s="18">
        <f>[15]General!$X$17</f>
        <v>1143</v>
      </c>
      <c r="K390" s="18">
        <f>J390*L390</f>
        <v>716</v>
      </c>
      <c r="L390" s="19">
        <f>[15]General!$X$16/[15]General!$X$17</f>
        <v>0.62642169728783903</v>
      </c>
      <c r="M390" s="9"/>
      <c r="N390" s="9"/>
    </row>
    <row r="391" spans="1:14" s="15" customFormat="1">
      <c r="A391" s="15" t="s">
        <v>46</v>
      </c>
      <c r="B391" s="15">
        <v>3017</v>
      </c>
      <c r="C391" s="43">
        <v>2018</v>
      </c>
      <c r="D391" s="15">
        <v>3</v>
      </c>
      <c r="E391" s="17">
        <f>'[16]2018 Benchmarking Calculations'!$AH$10/1000</f>
        <v>16367.15431</v>
      </c>
      <c r="F391" s="41">
        <f t="shared" si="73"/>
        <v>1.2994718602728874</v>
      </c>
      <c r="G391" s="44">
        <f>'[16]2018 Benchmarking Calculations'!$AH$61/1000</f>
        <v>294.37</v>
      </c>
      <c r="H391" s="16">
        <f t="shared" si="75"/>
        <v>298.91300000000001</v>
      </c>
      <c r="I391" s="18">
        <f>'[16]2018 Benchmarking Calculations'!$AH$57</f>
        <v>55673</v>
      </c>
      <c r="J391" s="18">
        <f>'[16]2018 Utility Characteristics'!$AB$103</f>
        <v>1152</v>
      </c>
      <c r="K391" s="18">
        <f>'[16]2018 Utility Characteristics'!$AB$105</f>
        <v>726</v>
      </c>
      <c r="L391" s="19">
        <f>K391/J391</f>
        <v>0.63020833333333337</v>
      </c>
      <c r="M391" s="9"/>
      <c r="N391" s="9"/>
    </row>
    <row r="392" spans="1:14" s="15" customFormat="1">
      <c r="A392" s="15" t="s">
        <v>46</v>
      </c>
      <c r="B392" s="15">
        <v>3017</v>
      </c>
      <c r="C392" s="43">
        <v>2019</v>
      </c>
      <c r="D392" s="15">
        <v>3</v>
      </c>
      <c r="E392" s="17"/>
      <c r="F392" s="41">
        <f t="shared" si="73"/>
        <v>1.3352608354138498</v>
      </c>
      <c r="G392" s="44"/>
      <c r="H392" s="16"/>
      <c r="I392" s="18"/>
      <c r="J392" s="18"/>
      <c r="K392" s="18"/>
      <c r="L392" s="19"/>
      <c r="M392" s="9"/>
      <c r="N392" s="9"/>
    </row>
    <row r="393" spans="1:14">
      <c r="A393" s="15" t="str">
        <f>'[18]2. BM Database'!B281</f>
        <v>HALDIMAND COUNTY HYDRO INC.</v>
      </c>
      <c r="B393" s="15">
        <v>3035</v>
      </c>
      <c r="C393" s="43">
        <f>'[18]2. BM Database'!C281</f>
        <v>2005</v>
      </c>
      <c r="D393" s="15">
        <v>3</v>
      </c>
      <c r="E393" s="17">
        <f>'[18]2. BM Database'!F281/1000</f>
        <v>5281.1927700000006</v>
      </c>
      <c r="F393" s="41">
        <f t="shared" ref="F393:F407" si="76">F378</f>
        <v>1</v>
      </c>
      <c r="G393" s="44">
        <f>'[18]2. BM Database'!P281/1000</f>
        <v>88.622</v>
      </c>
      <c r="H393" s="16">
        <f>G393</f>
        <v>88.622</v>
      </c>
      <c r="I393" s="18">
        <f>'[18]2. BM Database'!L281</f>
        <v>20462</v>
      </c>
      <c r="J393" s="18">
        <f>'[18]2. BM Database'!R281</f>
        <v>1665</v>
      </c>
      <c r="K393" s="18">
        <f t="shared" ref="K393:K403" si="77">J393*L393</f>
        <v>80</v>
      </c>
      <c r="L393" s="19">
        <f>'[18]2. BM Database'!T281</f>
        <v>4.8048048048048048E-2</v>
      </c>
      <c r="M393" s="9"/>
      <c r="N393" s="9"/>
    </row>
    <row r="394" spans="1:14">
      <c r="A394" s="15" t="str">
        <f>'[18]2. BM Database'!B282</f>
        <v>HALDIMAND COUNTY HYDRO INC.</v>
      </c>
      <c r="B394" s="15">
        <v>3035</v>
      </c>
      <c r="C394" s="43">
        <f>'[18]2. BM Database'!C282</f>
        <v>2006</v>
      </c>
      <c r="D394" s="15">
        <v>3</v>
      </c>
      <c r="E394" s="17">
        <f>'[18]2. BM Database'!F282/1000</f>
        <v>5413.4038</v>
      </c>
      <c r="F394" s="41">
        <f t="shared" si="76"/>
        <v>1.0181607380073696</v>
      </c>
      <c r="G394" s="44">
        <f>'[18]2. BM Database'!P282/1000</f>
        <v>84.995999999999995</v>
      </c>
      <c r="H394" s="16">
        <f>MAX(G394,H393)</f>
        <v>88.622</v>
      </c>
      <c r="I394" s="18">
        <f>'[18]2. BM Database'!L282</f>
        <v>20577</v>
      </c>
      <c r="J394" s="18">
        <f>'[18]2. BM Database'!R282</f>
        <v>1693</v>
      </c>
      <c r="K394" s="18">
        <f t="shared" si="77"/>
        <v>78</v>
      </c>
      <c r="L394" s="19">
        <f>'[18]2. BM Database'!T282</f>
        <v>4.6072061429415237E-2</v>
      </c>
      <c r="M394" s="9"/>
      <c r="N394" s="9"/>
    </row>
    <row r="395" spans="1:14">
      <c r="A395" s="15" t="str">
        <f>'[18]2. BM Database'!B283</f>
        <v>HALDIMAND COUNTY HYDRO INC.</v>
      </c>
      <c r="B395" s="15">
        <v>3035</v>
      </c>
      <c r="C395" s="43">
        <f>'[18]2. BM Database'!C283</f>
        <v>2007</v>
      </c>
      <c r="D395" s="15">
        <v>3</v>
      </c>
      <c r="E395" s="17">
        <f>'[18]2. BM Database'!F283/1000</f>
        <v>7039.7049399999996</v>
      </c>
      <c r="F395" s="41">
        <f t="shared" si="76"/>
        <v>1.0531931014872313</v>
      </c>
      <c r="G395" s="44">
        <f>'[18]2. BM Database'!P283/1000</f>
        <v>87.933999999999997</v>
      </c>
      <c r="H395" s="16">
        <f t="shared" ref="H395:H403" si="78">MAX(G395,H394)</f>
        <v>88.622</v>
      </c>
      <c r="I395" s="18">
        <f>'[18]2. BM Database'!L283</f>
        <v>20698</v>
      </c>
      <c r="J395" s="18">
        <f>'[18]2. BM Database'!R283</f>
        <v>1706</v>
      </c>
      <c r="K395" s="18">
        <f t="shared" si="77"/>
        <v>81</v>
      </c>
      <c r="L395" s="19">
        <f>'[18]2. BM Database'!T283</f>
        <v>4.7479484173505275E-2</v>
      </c>
      <c r="M395" s="9"/>
      <c r="N395" s="9"/>
    </row>
    <row r="396" spans="1:14">
      <c r="A396" s="15" t="str">
        <f>'[18]2. BM Database'!B284</f>
        <v>HALDIMAND COUNTY HYDRO INC.</v>
      </c>
      <c r="B396" s="15">
        <v>3035</v>
      </c>
      <c r="C396" s="43">
        <f>'[18]2. BM Database'!C284</f>
        <v>2008</v>
      </c>
      <c r="D396" s="15">
        <v>3</v>
      </c>
      <c r="E396" s="17">
        <f>'[18]2. BM Database'!F284/1000</f>
        <v>7029.18462</v>
      </c>
      <c r="F396" s="41">
        <f t="shared" si="76"/>
        <v>1.078564603993923</v>
      </c>
      <c r="G396" s="44">
        <f>'[18]2. BM Database'!P284/1000</f>
        <v>88.197999999999993</v>
      </c>
      <c r="H396" s="16">
        <f t="shared" si="78"/>
        <v>88.622</v>
      </c>
      <c r="I396" s="18">
        <f>'[18]2. BM Database'!L284</f>
        <v>20815</v>
      </c>
      <c r="J396" s="18">
        <f>'[18]2. BM Database'!R284</f>
        <v>1716</v>
      </c>
      <c r="K396" s="18">
        <f t="shared" si="77"/>
        <v>83</v>
      </c>
      <c r="L396" s="19">
        <f>'[18]2. BM Database'!T284</f>
        <v>4.8368298368298368E-2</v>
      </c>
      <c r="M396" s="9"/>
      <c r="N396" s="9"/>
    </row>
    <row r="397" spans="1:14">
      <c r="A397" s="15" t="str">
        <f>'[18]2. BM Database'!B285</f>
        <v>HALDIMAND COUNTY HYDRO INC.</v>
      </c>
      <c r="B397" s="15">
        <v>3035</v>
      </c>
      <c r="C397" s="43">
        <f>'[18]2. BM Database'!C285</f>
        <v>2009</v>
      </c>
      <c r="D397" s="15">
        <v>3</v>
      </c>
      <c r="E397" s="17">
        <f>'[18]2. BM Database'!F285/1000</f>
        <v>6898.4096900000004</v>
      </c>
      <c r="F397" s="41">
        <f t="shared" si="76"/>
        <v>1.0915070880241431</v>
      </c>
      <c r="G397" s="44">
        <f>'[18]2. BM Database'!P285/1000</f>
        <v>114.709</v>
      </c>
      <c r="H397" s="16">
        <f t="shared" si="78"/>
        <v>114.709</v>
      </c>
      <c r="I397" s="18">
        <f>'[18]2. BM Database'!L285</f>
        <v>20827</v>
      </c>
      <c r="J397" s="18">
        <f>'[18]2. BM Database'!R285</f>
        <v>1731</v>
      </c>
      <c r="K397" s="18">
        <f t="shared" si="77"/>
        <v>88</v>
      </c>
      <c r="L397" s="19">
        <f>'[18]2. BM Database'!T285</f>
        <v>5.0837666088965915E-2</v>
      </c>
      <c r="M397" s="9"/>
      <c r="N397" s="9"/>
    </row>
    <row r="398" spans="1:14">
      <c r="A398" s="15" t="str">
        <f>'[18]2. BM Database'!B286</f>
        <v>HALDIMAND COUNTY HYDRO INC.</v>
      </c>
      <c r="B398" s="15">
        <v>3035</v>
      </c>
      <c r="C398" s="43">
        <f>'[18]2. BM Database'!C286</f>
        <v>2010</v>
      </c>
      <c r="D398" s="15">
        <v>3</v>
      </c>
      <c r="E398" s="17">
        <f>'[18]2. BM Database'!F286/1000</f>
        <v>6738.9993199999999</v>
      </c>
      <c r="F398" s="41">
        <f t="shared" si="76"/>
        <v>1.1243125351578573</v>
      </c>
      <c r="G398" s="44">
        <f>'[18]2. BM Database'!P286/1000</f>
        <v>98.222999999999999</v>
      </c>
      <c r="H398" s="16">
        <f t="shared" si="78"/>
        <v>114.709</v>
      </c>
      <c r="I398" s="18">
        <f>'[18]2. BM Database'!L286</f>
        <v>20971</v>
      </c>
      <c r="J398" s="18">
        <f>'[18]2. BM Database'!R286</f>
        <v>1723</v>
      </c>
      <c r="K398" s="18">
        <f t="shared" si="77"/>
        <v>89</v>
      </c>
      <c r="L398" s="19">
        <f>'[18]2. BM Database'!T286</f>
        <v>5.1654091700522348E-2</v>
      </c>
      <c r="M398" s="9"/>
      <c r="N398" s="9"/>
    </row>
    <row r="399" spans="1:14">
      <c r="A399" s="15" t="str">
        <f>'[18]2. BM Database'!B287</f>
        <v>HALDIMAND COUNTY HYDRO INC.</v>
      </c>
      <c r="B399" s="15">
        <v>3035</v>
      </c>
      <c r="C399" s="43">
        <f>'[18]2. BM Database'!C287</f>
        <v>2011</v>
      </c>
      <c r="D399" s="15">
        <v>3</v>
      </c>
      <c r="E399" s="17">
        <f>'[18]2. BM Database'!F287/1000</f>
        <v>7283.2869500000006</v>
      </c>
      <c r="F399" s="41">
        <f t="shared" si="76"/>
        <v>1.1430978626415853</v>
      </c>
      <c r="G399" s="44">
        <f>'[18]2. BM Database'!P287/1000</f>
        <v>100.58199999999999</v>
      </c>
      <c r="H399" s="16">
        <f t="shared" si="78"/>
        <v>114.709</v>
      </c>
      <c r="I399" s="18">
        <f>'[18]2. BM Database'!L287</f>
        <v>21078</v>
      </c>
      <c r="J399" s="18">
        <f>'[18]2. BM Database'!R287</f>
        <v>1734</v>
      </c>
      <c r="K399" s="18">
        <f t="shared" si="77"/>
        <v>92</v>
      </c>
      <c r="L399" s="19">
        <f>'[18]2. BM Database'!T287</f>
        <v>5.3056516724336797E-2</v>
      </c>
      <c r="M399" s="9"/>
      <c r="N399" s="9"/>
    </row>
    <row r="400" spans="1:14">
      <c r="A400" s="15" t="str">
        <f>'[18]2. BM Database'!B288</f>
        <v>HALDIMAND COUNTY HYDRO INC.</v>
      </c>
      <c r="B400" s="15">
        <v>3035</v>
      </c>
      <c r="C400" s="43">
        <f>'[18]2. BM Database'!C288</f>
        <v>2012</v>
      </c>
      <c r="D400" s="15">
        <v>3</v>
      </c>
      <c r="E400" s="17">
        <f>'[18]2. BM Database'!F288/1000</f>
        <v>8017.2871363000004</v>
      </c>
      <c r="F400" s="41">
        <f t="shared" si="76"/>
        <v>1.160126854517312</v>
      </c>
      <c r="G400" s="44">
        <f>'[18]2. BM Database'!P288/1000</f>
        <v>97.028000000000006</v>
      </c>
      <c r="H400" s="16">
        <f t="shared" si="78"/>
        <v>114.709</v>
      </c>
      <c r="I400" s="18">
        <f>'[18]2. BM Database'!L288</f>
        <v>21166</v>
      </c>
      <c r="J400" s="18">
        <f>'[18]2. BM Database'!R288</f>
        <v>1748</v>
      </c>
      <c r="K400" s="18">
        <f t="shared" si="77"/>
        <v>96</v>
      </c>
      <c r="L400" s="19">
        <f>'[18]2. BM Database'!T288</f>
        <v>5.4919908466819219E-2</v>
      </c>
      <c r="M400" s="9"/>
      <c r="N400" s="9"/>
    </row>
    <row r="401" spans="1:14" s="15" customFormat="1">
      <c r="A401" s="15" t="s">
        <v>47</v>
      </c>
      <c r="B401" s="15">
        <v>3035</v>
      </c>
      <c r="C401" s="43">
        <v>2013</v>
      </c>
      <c r="D401" s="15">
        <v>3</v>
      </c>
      <c r="E401" s="17">
        <f>HLOOKUP(A401,'[19]2013 Benchmarking Calculations'!$I$3:$CC$76,6,FALSE)/1000</f>
        <v>7405.1498699999993</v>
      </c>
      <c r="F401" s="41">
        <f t="shared" si="76"/>
        <v>1.178602141578931</v>
      </c>
      <c r="G401" s="44">
        <f>HLOOKUP(A401,'[19]2013 Benchmarking Calculations'!$I$3:$CC$76,57,FALSE)/1000</f>
        <v>102.682</v>
      </c>
      <c r="H401" s="16">
        <f t="shared" si="78"/>
        <v>114.709</v>
      </c>
      <c r="I401" s="18">
        <f>HLOOKUP(A401,'[19]2013 Benchmarking Calculations'!$I$3:$CC$76,53,FALSE)</f>
        <v>21225</v>
      </c>
      <c r="J401" s="18">
        <f>HLOOKUP(A401,'[19]2013 Benchmarking Calculations'!$I$3:$CC$76,71,FALSE)</f>
        <v>1740</v>
      </c>
      <c r="K401" s="18">
        <f t="shared" si="77"/>
        <v>93</v>
      </c>
      <c r="L401" s="19">
        <f>HLOOKUP(A401,'[19]2013 PBR data '!B$42:BV$68,15,FALSE)/HLOOKUP(A401,'[19]2013 PBR data '!B$42:BV$68,13,FALSE)</f>
        <v>5.3448275862068968E-2</v>
      </c>
      <c r="M401" s="9"/>
      <c r="N401" s="9"/>
    </row>
    <row r="402" spans="1:14" s="15" customFormat="1">
      <c r="A402" s="15" t="s">
        <v>47</v>
      </c>
      <c r="B402" s="15">
        <v>3035</v>
      </c>
      <c r="C402" s="43">
        <v>2014</v>
      </c>
      <c r="D402" s="15">
        <v>3</v>
      </c>
      <c r="E402" s="17">
        <f>VLOOKUP(A402,[20]Result!$B$12:$D$84,2,FALSE)/10^3</f>
        <v>7467.4539999999997</v>
      </c>
      <c r="F402" s="41">
        <f t="shared" si="76"/>
        <v>1.2030671041042156</v>
      </c>
      <c r="G402" s="44">
        <f>VLOOKUP(A402,'[21]General transpose'!$A$1:$AF$73,26,FALSE)/10^3</f>
        <v>81.847999999999999</v>
      </c>
      <c r="H402" s="16">
        <f t="shared" si="78"/>
        <v>114.709</v>
      </c>
      <c r="I402" s="18">
        <f>'[14]2014 Benchmarking Calculations'!$AG$55</f>
        <v>21331</v>
      </c>
      <c r="J402" s="18">
        <f>VLOOKUP(A402,'[21]General transpose'!$A$1:$AF$73,16,FALSE)</f>
        <v>1731</v>
      </c>
      <c r="K402" s="18">
        <f t="shared" si="77"/>
        <v>93</v>
      </c>
      <c r="L402" s="19">
        <f>VLOOKUP(A402,'[21]General transpose'!$A$1:$AF$73,17,FALSE)</f>
        <v>5.3726169844020795E-2</v>
      </c>
      <c r="M402" s="9"/>
      <c r="N402" s="9"/>
    </row>
    <row r="403" spans="1:14" s="15" customFormat="1">
      <c r="A403" s="15" t="s">
        <v>47</v>
      </c>
      <c r="B403" s="15">
        <v>3035</v>
      </c>
      <c r="C403" s="43">
        <v>2015</v>
      </c>
      <c r="D403" s="15">
        <v>3</v>
      </c>
      <c r="E403" s="17">
        <f>VLOOKUP(A402,[20]Result!$B$12:$D$84,3,FALSE)/10^3</f>
        <v>7564.0169999999998</v>
      </c>
      <c r="F403" s="41">
        <f t="shared" si="76"/>
        <v>1.2312762402864634</v>
      </c>
      <c r="G403" s="44">
        <f>VLOOKUP(A402,'[22]General transpose'!$A$1:$AF$73,26,FALSE)/10^3</f>
        <v>73.744</v>
      </c>
      <c r="H403" s="16">
        <f t="shared" si="78"/>
        <v>114.709</v>
      </c>
      <c r="I403" s="18">
        <f>'[14]2015 Benchmarking Calculations'!$AG$55</f>
        <v>21415</v>
      </c>
      <c r="J403" s="18">
        <f>VLOOKUP(A402,'[22]General transpose'!$A$1:$AF$73,16,FALSE)</f>
        <v>1733</v>
      </c>
      <c r="K403" s="18">
        <f t="shared" si="77"/>
        <v>97</v>
      </c>
      <c r="L403" s="19">
        <f>VLOOKUP(A402,'[22]General transpose'!$A$1:$AF$73,17,FALSE)</f>
        <v>5.5972302365839582E-2</v>
      </c>
      <c r="M403" s="9"/>
      <c r="N403" s="9"/>
    </row>
    <row r="404" spans="1:14" s="15" customFormat="1">
      <c r="A404" s="15" t="s">
        <v>47</v>
      </c>
      <c r="B404" s="15">
        <v>3035</v>
      </c>
      <c r="C404" s="43">
        <v>2016</v>
      </c>
      <c r="D404" s="15">
        <v>3</v>
      </c>
      <c r="E404" s="17"/>
      <c r="F404" s="41">
        <f t="shared" si="76"/>
        <v>1.2455044937824149</v>
      </c>
      <c r="G404" s="44"/>
      <c r="H404" s="16"/>
      <c r="I404" s="18"/>
      <c r="J404" s="18"/>
      <c r="L404" s="19"/>
      <c r="M404" s="9"/>
      <c r="N404" s="9"/>
    </row>
    <row r="405" spans="1:14" s="15" customFormat="1">
      <c r="A405" s="15" t="s">
        <v>47</v>
      </c>
      <c r="B405" s="15">
        <v>3035</v>
      </c>
      <c r="C405" s="43">
        <v>2017</v>
      </c>
      <c r="D405" s="15">
        <v>3</v>
      </c>
      <c r="E405" s="17"/>
      <c r="F405" s="41">
        <f t="shared" si="76"/>
        <v>1.2674505553724562</v>
      </c>
      <c r="G405" s="44"/>
      <c r="H405" s="16"/>
      <c r="I405" s="18"/>
      <c r="J405" s="18"/>
      <c r="L405" s="19"/>
      <c r="M405" s="9"/>
      <c r="N405" s="9"/>
    </row>
    <row r="406" spans="1:14" s="15" customFormat="1">
      <c r="A406" s="15" t="s">
        <v>47</v>
      </c>
      <c r="B406" s="15">
        <v>3035</v>
      </c>
      <c r="C406" s="43">
        <v>2018</v>
      </c>
      <c r="D406" s="15">
        <v>3</v>
      </c>
      <c r="E406" s="17"/>
      <c r="F406" s="41">
        <f t="shared" si="76"/>
        <v>1.2994718602728874</v>
      </c>
      <c r="G406" s="44"/>
      <c r="H406" s="16"/>
      <c r="I406" s="18"/>
      <c r="J406" s="18"/>
      <c r="L406" s="19"/>
      <c r="M406" s="9"/>
      <c r="N406" s="9"/>
    </row>
    <row r="407" spans="1:14" s="15" customFormat="1">
      <c r="A407" s="15" t="s">
        <v>47</v>
      </c>
      <c r="B407" s="15">
        <v>3035</v>
      </c>
      <c r="C407" s="43">
        <v>2019</v>
      </c>
      <c r="D407" s="15">
        <v>3</v>
      </c>
      <c r="E407" s="17"/>
      <c r="F407" s="41">
        <f t="shared" si="76"/>
        <v>1.3352608354138498</v>
      </c>
      <c r="G407" s="44"/>
      <c r="H407" s="16"/>
      <c r="I407" s="18"/>
      <c r="J407" s="18"/>
      <c r="L407" s="19"/>
      <c r="M407" s="9"/>
      <c r="N407" s="9"/>
    </row>
    <row r="408" spans="1:14">
      <c r="A408" s="15" t="str">
        <f>'[18]2. BM Database'!B292</f>
        <v>HALTON HILLS HYDRO INC.</v>
      </c>
      <c r="B408" s="15">
        <v>3036</v>
      </c>
      <c r="C408" s="43">
        <f>'[18]2. BM Database'!C292</f>
        <v>2005</v>
      </c>
      <c r="D408" s="15">
        <v>3</v>
      </c>
      <c r="E408" s="17">
        <f>'[18]2. BM Database'!F292/1000</f>
        <v>3711.596</v>
      </c>
      <c r="F408" s="41">
        <f t="shared" ref="F408:F422" si="79">F393</f>
        <v>1</v>
      </c>
      <c r="G408" s="44">
        <f>'[18]2. BM Database'!P292/1000</f>
        <v>108.866</v>
      </c>
      <c r="H408" s="16">
        <f>G408</f>
        <v>108.866</v>
      </c>
      <c r="I408" s="18">
        <f>'[18]2. BM Database'!L292</f>
        <v>19873</v>
      </c>
      <c r="J408" s="18">
        <f>'[18]2. BM Database'!R292</f>
        <v>1320</v>
      </c>
      <c r="K408" s="18">
        <f t="shared" ref="K408:K419" si="80">J408*L408</f>
        <v>444.99999999999994</v>
      </c>
      <c r="L408" s="19">
        <f>'[18]2. BM Database'!T292</f>
        <v>0.3371212121212121</v>
      </c>
      <c r="M408" s="9"/>
      <c r="N408" s="9"/>
    </row>
    <row r="409" spans="1:14">
      <c r="A409" s="15" t="str">
        <f>'[18]2. BM Database'!B293</f>
        <v>HALTON HILLS HYDRO INC.</v>
      </c>
      <c r="B409" s="15">
        <v>3036</v>
      </c>
      <c r="C409" s="43">
        <f>'[18]2. BM Database'!C293</f>
        <v>2006</v>
      </c>
      <c r="D409" s="15">
        <v>3</v>
      </c>
      <c r="E409" s="17">
        <f>'[18]2. BM Database'!F293/1000</f>
        <v>4352.9579999999996</v>
      </c>
      <c r="F409" s="41">
        <f t="shared" si="79"/>
        <v>1.0181607380073696</v>
      </c>
      <c r="G409" s="44">
        <f>'[18]2. BM Database'!P293/1000</f>
        <v>108.866</v>
      </c>
      <c r="H409" s="16">
        <f>MAX(G409,H408)</f>
        <v>108.866</v>
      </c>
      <c r="I409" s="18">
        <f>'[18]2. BM Database'!L293</f>
        <v>19007</v>
      </c>
      <c r="J409" s="18">
        <f>'[18]2. BM Database'!R293</f>
        <v>1332</v>
      </c>
      <c r="K409" s="18">
        <f t="shared" si="80"/>
        <v>456</v>
      </c>
      <c r="L409" s="19">
        <f>'[18]2. BM Database'!T293</f>
        <v>0.34234234234234234</v>
      </c>
      <c r="M409" s="9"/>
      <c r="N409" s="9"/>
    </row>
    <row r="410" spans="1:14">
      <c r="A410" s="15" t="str">
        <f>'[18]2. BM Database'!B294</f>
        <v>HALTON HILLS HYDRO INC.</v>
      </c>
      <c r="B410" s="15">
        <v>3036</v>
      </c>
      <c r="C410" s="43">
        <f>'[18]2. BM Database'!C294</f>
        <v>2007</v>
      </c>
      <c r="D410" s="15">
        <v>3</v>
      </c>
      <c r="E410" s="17">
        <f>'[18]2. BM Database'!F294/1000</f>
        <v>4201.2790000000005</v>
      </c>
      <c r="F410" s="41">
        <f t="shared" si="79"/>
        <v>1.0531931014872313</v>
      </c>
      <c r="G410" s="44">
        <f>'[18]2. BM Database'!P294/1000</f>
        <v>122.494</v>
      </c>
      <c r="H410" s="16">
        <f t="shared" ref="H410:H422" si="81">MAX(G410,H409)</f>
        <v>122.494</v>
      </c>
      <c r="I410" s="18">
        <f>'[18]2. BM Database'!L294</f>
        <v>20078</v>
      </c>
      <c r="J410" s="18">
        <f>'[18]2. BM Database'!R294</f>
        <v>1344</v>
      </c>
      <c r="K410" s="18">
        <f t="shared" si="80"/>
        <v>463</v>
      </c>
      <c r="L410" s="19">
        <f>'[18]2. BM Database'!T294</f>
        <v>0.34449404761904762</v>
      </c>
      <c r="M410" s="9"/>
      <c r="N410" s="9"/>
    </row>
    <row r="411" spans="1:14">
      <c r="A411" s="15" t="str">
        <f>'[18]2. BM Database'!B295</f>
        <v>HALTON HILLS HYDRO INC.</v>
      </c>
      <c r="B411" s="15">
        <v>3036</v>
      </c>
      <c r="C411" s="43">
        <f>'[18]2. BM Database'!C295</f>
        <v>2008</v>
      </c>
      <c r="D411" s="15">
        <v>3</v>
      </c>
      <c r="E411" s="17">
        <f>'[18]2. BM Database'!F295/1000</f>
        <v>4979.6989999999996</v>
      </c>
      <c r="F411" s="41">
        <f t="shared" si="79"/>
        <v>1.078564603993923</v>
      </c>
      <c r="G411" s="44">
        <f>'[18]2. BM Database'!P295/1000</f>
        <v>99.539000000000001</v>
      </c>
      <c r="H411" s="16">
        <f t="shared" si="81"/>
        <v>122.494</v>
      </c>
      <c r="I411" s="18">
        <f>'[18]2. BM Database'!L295</f>
        <v>20818</v>
      </c>
      <c r="J411" s="18">
        <f>'[18]2. BM Database'!R295</f>
        <v>1363</v>
      </c>
      <c r="K411" s="18">
        <f t="shared" si="80"/>
        <v>481</v>
      </c>
      <c r="L411" s="19">
        <f>'[18]2. BM Database'!T295</f>
        <v>0.35289801907556861</v>
      </c>
      <c r="M411" s="9"/>
      <c r="N411" s="9"/>
    </row>
    <row r="412" spans="1:14">
      <c r="A412" s="15" t="str">
        <f>'[18]2. BM Database'!B296</f>
        <v>HALTON HILLS HYDRO INC.</v>
      </c>
      <c r="B412" s="15">
        <v>3036</v>
      </c>
      <c r="C412" s="43">
        <f>'[18]2. BM Database'!C296</f>
        <v>2009</v>
      </c>
      <c r="D412" s="15">
        <v>3</v>
      </c>
      <c r="E412" s="17">
        <f>'[18]2. BM Database'!F296/1000</f>
        <v>4353.1940000000004</v>
      </c>
      <c r="F412" s="41">
        <f t="shared" si="79"/>
        <v>1.0915070880241431</v>
      </c>
      <c r="G412" s="44">
        <f>'[18]2. BM Database'!P296/1000</f>
        <v>97.838999999999999</v>
      </c>
      <c r="H412" s="16">
        <f t="shared" si="81"/>
        <v>122.494</v>
      </c>
      <c r="I412" s="18">
        <f>'[18]2. BM Database'!L296</f>
        <v>21044</v>
      </c>
      <c r="J412" s="18">
        <f>'[18]2. BM Database'!R296</f>
        <v>1363</v>
      </c>
      <c r="K412" s="18">
        <f t="shared" si="80"/>
        <v>481</v>
      </c>
      <c r="L412" s="19">
        <f>'[18]2. BM Database'!T296</f>
        <v>0.35289801907556861</v>
      </c>
      <c r="M412" s="9"/>
      <c r="N412" s="9"/>
    </row>
    <row r="413" spans="1:14">
      <c r="A413" s="15" t="str">
        <f>'[18]2. BM Database'!B297</f>
        <v>HALTON HILLS HYDRO INC.</v>
      </c>
      <c r="B413" s="15">
        <v>3036</v>
      </c>
      <c r="C413" s="43">
        <f>'[18]2. BM Database'!C297</f>
        <v>2010</v>
      </c>
      <c r="D413" s="15">
        <v>3</v>
      </c>
      <c r="E413" s="17">
        <f>'[18]2. BM Database'!F297/1000</f>
        <v>4289.3869999999997</v>
      </c>
      <c r="F413" s="41">
        <f t="shared" si="79"/>
        <v>1.1243125351578573</v>
      </c>
      <c r="G413" s="44">
        <f>'[18]2. BM Database'!P297/1000</f>
        <v>107.148</v>
      </c>
      <c r="H413" s="16">
        <f t="shared" si="81"/>
        <v>122.494</v>
      </c>
      <c r="I413" s="18">
        <f>'[18]2. BM Database'!L297</f>
        <v>20790</v>
      </c>
      <c r="J413" s="18">
        <f>'[18]2. BM Database'!R297</f>
        <v>1404</v>
      </c>
      <c r="K413" s="18">
        <f t="shared" si="80"/>
        <v>545</v>
      </c>
      <c r="L413" s="19">
        <f>'[18]2. BM Database'!T297</f>
        <v>0.38817663817663817</v>
      </c>
      <c r="M413" s="9"/>
      <c r="N413" s="9"/>
    </row>
    <row r="414" spans="1:14">
      <c r="A414" s="15" t="str">
        <f>'[18]2. BM Database'!B298</f>
        <v>HALTON HILLS HYDRO INC.</v>
      </c>
      <c r="B414" s="15">
        <v>3036</v>
      </c>
      <c r="C414" s="43">
        <f>'[18]2. BM Database'!C298</f>
        <v>2011</v>
      </c>
      <c r="D414" s="15">
        <v>3</v>
      </c>
      <c r="E414" s="17">
        <f>'[18]2. BM Database'!F298/1000</f>
        <v>4766.6729999999998</v>
      </c>
      <c r="F414" s="41">
        <f t="shared" si="79"/>
        <v>1.1430978626415853</v>
      </c>
      <c r="G414" s="44">
        <f>'[18]2. BM Database'!P298/1000</f>
        <v>110.39100000000001</v>
      </c>
      <c r="H414" s="16">
        <f t="shared" si="81"/>
        <v>122.494</v>
      </c>
      <c r="I414" s="18">
        <f>'[18]2. BM Database'!L298</f>
        <v>21232</v>
      </c>
      <c r="J414" s="18">
        <f>'[18]2. BM Database'!R298</f>
        <v>1464</v>
      </c>
      <c r="K414" s="18">
        <f t="shared" si="80"/>
        <v>576</v>
      </c>
      <c r="L414" s="19">
        <f>'[18]2. BM Database'!T298</f>
        <v>0.39344262295081966</v>
      </c>
      <c r="M414" s="9"/>
      <c r="N414" s="9"/>
    </row>
    <row r="415" spans="1:14">
      <c r="A415" s="15" t="str">
        <f>'[18]2. BM Database'!B299</f>
        <v>HALTON HILLS HYDRO INC.</v>
      </c>
      <c r="B415" s="15">
        <v>3036</v>
      </c>
      <c r="C415" s="43">
        <f>'[18]2. BM Database'!C299</f>
        <v>2012</v>
      </c>
      <c r="D415" s="15">
        <v>3</v>
      </c>
      <c r="E415" s="17">
        <f>'[18]2. BM Database'!F299/1000</f>
        <v>5536.3169132676758</v>
      </c>
      <c r="F415" s="41">
        <f t="shared" si="79"/>
        <v>1.160126854517312</v>
      </c>
      <c r="G415" s="135">
        <f>'[16]2012 BM Database'!$AE$16/1000</f>
        <v>110.08</v>
      </c>
      <c r="H415" s="16">
        <f t="shared" si="81"/>
        <v>122.494</v>
      </c>
      <c r="I415" s="18">
        <f>'[18]2. BM Database'!L299</f>
        <v>20893</v>
      </c>
      <c r="J415" s="18">
        <f>'[18]2. BM Database'!R299</f>
        <v>1497</v>
      </c>
      <c r="K415" s="18">
        <f t="shared" si="80"/>
        <v>605</v>
      </c>
      <c r="L415" s="19">
        <f>'[18]2. BM Database'!T299</f>
        <v>0.40414161656646624</v>
      </c>
      <c r="M415" s="9"/>
      <c r="N415" s="9"/>
    </row>
    <row r="416" spans="1:14" s="15" customFormat="1">
      <c r="A416" s="15" t="s">
        <v>48</v>
      </c>
      <c r="B416" s="15">
        <v>3036</v>
      </c>
      <c r="C416" s="43">
        <v>2013</v>
      </c>
      <c r="D416" s="15">
        <v>3</v>
      </c>
      <c r="E416" s="17">
        <f>HLOOKUP(A416,'[19]2013 Benchmarking Calculations'!$I$3:$CC$76,6,FALSE)/1000</f>
        <v>4821.3360000000002</v>
      </c>
      <c r="F416" s="41">
        <f t="shared" si="79"/>
        <v>1.178602141578931</v>
      </c>
      <c r="G416" s="44">
        <f>HLOOKUP(A416,'[19]2013 Benchmarking Calculations'!$I$3:$CC$76,57,FALSE)/1000</f>
        <v>111.279</v>
      </c>
      <c r="H416" s="16">
        <f t="shared" si="81"/>
        <v>122.494</v>
      </c>
      <c r="I416" s="18">
        <f>HLOOKUP(A416,'[19]2013 Benchmarking Calculations'!$I$3:$CC$76,53,FALSE)</f>
        <v>21499</v>
      </c>
      <c r="J416" s="18">
        <f>HLOOKUP(A416,'[19]2013 Benchmarking Calculations'!$I$3:$CC$76,71,FALSE)</f>
        <v>1527</v>
      </c>
      <c r="K416" s="18">
        <f t="shared" si="80"/>
        <v>636</v>
      </c>
      <c r="L416" s="19">
        <f>HLOOKUP(A416,'[19]2013 PBR data '!B$42:BV$68,15,FALSE)/HLOOKUP(A416,'[19]2013 PBR data '!B$42:BV$68,13,FALSE)</f>
        <v>0.41650294695481338</v>
      </c>
      <c r="M416" s="9"/>
      <c r="N416" s="9"/>
    </row>
    <row r="417" spans="1:14" s="15" customFormat="1">
      <c r="A417" s="15" t="s">
        <v>48</v>
      </c>
      <c r="B417" s="15">
        <v>3036</v>
      </c>
      <c r="C417" s="43">
        <v>2014</v>
      </c>
      <c r="D417" s="15">
        <v>3</v>
      </c>
      <c r="E417" s="17">
        <f>VLOOKUP(A417,[20]Result!$B$12:$D$84,2,FALSE)/10^3</f>
        <v>5201.6229999999996</v>
      </c>
      <c r="F417" s="41">
        <f t="shared" si="79"/>
        <v>1.2030671041042156</v>
      </c>
      <c r="G417" s="44">
        <f>VLOOKUP(A417,'[21]General transpose'!$A$1:$AF$73,26,FALSE)/10^3</f>
        <v>98.677000000000007</v>
      </c>
      <c r="H417" s="16">
        <f t="shared" si="81"/>
        <v>122.494</v>
      </c>
      <c r="I417" s="18">
        <f>VLOOKUP(A417,'[21]General transpose'!$A$1:$AF$73,8,FALSE)</f>
        <v>21534</v>
      </c>
      <c r="J417" s="18">
        <f>VLOOKUP(A417,'[21]General transpose'!$A$1:$AF$73,16,FALSE)</f>
        <v>1527</v>
      </c>
      <c r="K417" s="18">
        <f t="shared" si="80"/>
        <v>631</v>
      </c>
      <c r="L417" s="19">
        <f>VLOOKUP(A417,'[21]General transpose'!$A$1:$AF$73,17,FALSE)</f>
        <v>0.41322855271774722</v>
      </c>
      <c r="M417" s="9"/>
      <c r="N417" s="9"/>
    </row>
    <row r="418" spans="1:14" s="15" customFormat="1">
      <c r="A418" s="15" t="s">
        <v>48</v>
      </c>
      <c r="B418" s="15">
        <v>3036</v>
      </c>
      <c r="C418" s="43">
        <v>2015</v>
      </c>
      <c r="D418" s="15">
        <v>3</v>
      </c>
      <c r="E418" s="17">
        <f>VLOOKUP(A417,[20]Result!$B$12:$D$84,3,FALSE)/10^3</f>
        <v>5780.049</v>
      </c>
      <c r="F418" s="41">
        <f t="shared" si="79"/>
        <v>1.2312762402864634</v>
      </c>
      <c r="G418" s="44">
        <f>VLOOKUP(A417,'[22]General transpose'!$A$1:$AF$73,26,FALSE)/10^3</f>
        <v>101.316</v>
      </c>
      <c r="H418" s="16">
        <f t="shared" si="81"/>
        <v>122.494</v>
      </c>
      <c r="I418" s="18">
        <f>VLOOKUP(A417,'[22]General transpose'!$A$1:$AF$73,8,FALSE)</f>
        <v>21929</v>
      </c>
      <c r="J418" s="18">
        <f>VLOOKUP(A417,'[22]General transpose'!$A$1:$AF$73,16,FALSE)</f>
        <v>1556</v>
      </c>
      <c r="K418" s="18">
        <f t="shared" si="80"/>
        <v>654</v>
      </c>
      <c r="L418" s="19">
        <f>VLOOKUP(A417,'[22]General transpose'!$A$1:$AF$73,17,FALSE)</f>
        <v>0.42030848329048842</v>
      </c>
      <c r="M418" s="9"/>
      <c r="N418" s="9"/>
    </row>
    <row r="419" spans="1:14" s="15" customFormat="1">
      <c r="A419" s="15" t="s">
        <v>48</v>
      </c>
      <c r="B419" s="15">
        <v>3036</v>
      </c>
      <c r="C419" s="43">
        <v>2016</v>
      </c>
      <c r="D419" s="15">
        <v>3</v>
      </c>
      <c r="E419" s="17">
        <f>'[14]2016 Benchmarking Calculations'!$AH$8/1000</f>
        <v>6128.2452800000001</v>
      </c>
      <c r="F419" s="41">
        <f t="shared" si="79"/>
        <v>1.2455044937824149</v>
      </c>
      <c r="G419" s="44">
        <f>HLOOKUP(A419,[23]General!$A$1:$BQ$23,22,FALSE)/10^3</f>
        <v>107.53100000000001</v>
      </c>
      <c r="H419" s="16">
        <f t="shared" si="81"/>
        <v>122.494</v>
      </c>
      <c r="I419" s="18">
        <f>HLOOKUP(A419,[23]General!$A$1:$BQ$23,9,FALSE)</f>
        <v>22112</v>
      </c>
      <c r="J419" s="18">
        <f>HLOOKUP(A419,[23]General!$A$1:$BQ$23,17,FALSE)</f>
        <v>1613</v>
      </c>
      <c r="K419" s="18">
        <f t="shared" si="80"/>
        <v>701</v>
      </c>
      <c r="L419" s="19">
        <f>HLOOKUP(A419,[23]General!$A$1:$BQ$23,18,FALSE)</f>
        <v>0.43459392436453814</v>
      </c>
      <c r="M419" s="9"/>
      <c r="N419" s="9"/>
    </row>
    <row r="420" spans="1:14" s="15" customFormat="1">
      <c r="A420" s="15" t="s">
        <v>48</v>
      </c>
      <c r="B420" s="15">
        <v>3036</v>
      </c>
      <c r="C420" s="43">
        <v>2017</v>
      </c>
      <c r="D420" s="15">
        <v>3</v>
      </c>
      <c r="E420" s="17">
        <f>'[14]2017 Benchmarking Calculations'!$AJ$9/1000</f>
        <v>5991.4696100000001</v>
      </c>
      <c r="F420" s="41">
        <f t="shared" si="79"/>
        <v>1.2674505553724562</v>
      </c>
      <c r="G420" s="44">
        <f>[15]General!$Y$20/1000</f>
        <v>95.399000000000001</v>
      </c>
      <c r="H420" s="16">
        <f t="shared" si="81"/>
        <v>122.494</v>
      </c>
      <c r="I420" s="18">
        <f>[15]General!$Y$9</f>
        <v>22195</v>
      </c>
      <c r="J420" s="18">
        <f>[15]General!$Y$17</f>
        <v>1645</v>
      </c>
      <c r="K420" s="18">
        <f>J420*L420</f>
        <v>724</v>
      </c>
      <c r="L420" s="19">
        <f>[15]General!$Y$16/[15]General!$Y$17</f>
        <v>0.44012158054711248</v>
      </c>
      <c r="M420" s="9"/>
      <c r="N420" s="9"/>
    </row>
    <row r="421" spans="1:14" s="15" customFormat="1">
      <c r="A421" s="15" t="s">
        <v>48</v>
      </c>
      <c r="B421" s="15">
        <v>3036</v>
      </c>
      <c r="C421" s="43">
        <v>2018</v>
      </c>
      <c r="D421" s="15">
        <v>3</v>
      </c>
      <c r="E421" s="17">
        <f>'[16]2018 Benchmarking Calculations'!$AJ$10/1000</f>
        <v>6069.6831300000013</v>
      </c>
      <c r="F421" s="41">
        <f t="shared" si="79"/>
        <v>1.2994718602728874</v>
      </c>
      <c r="G421" s="44">
        <f>'[16]2018 Benchmarking Calculations'!$AJ$61/1000</f>
        <v>104.73</v>
      </c>
      <c r="H421" s="16">
        <f t="shared" si="81"/>
        <v>122.494</v>
      </c>
      <c r="I421" s="18">
        <f>'[16]2018 Benchmarking Calculations'!$AJ$57</f>
        <v>22442</v>
      </c>
      <c r="J421" s="18">
        <f>'[16]2018 Utility Characteristics'!$AD$103</f>
        <v>1641</v>
      </c>
      <c r="K421" s="18">
        <f>'[16]2018 Utility Characteristics'!$AD$105</f>
        <v>729</v>
      </c>
      <c r="L421" s="19">
        <f>K421/J421</f>
        <v>0.44424131627056673</v>
      </c>
      <c r="M421" s="9"/>
      <c r="N421" s="9"/>
    </row>
    <row r="422" spans="1:14" s="15" customFormat="1">
      <c r="A422" s="15" t="s">
        <v>48</v>
      </c>
      <c r="B422" s="15">
        <v>3036</v>
      </c>
      <c r="C422" s="43">
        <v>2019</v>
      </c>
      <c r="D422" s="15">
        <v>3</v>
      </c>
      <c r="E422" s="17">
        <f>'[17]2019 Benchmarking Calculations'!$AJ$10/1000</f>
        <v>6215.6970300000012</v>
      </c>
      <c r="F422" s="41">
        <f t="shared" si="79"/>
        <v>1.3352608354138498</v>
      </c>
      <c r="G422" s="44">
        <f>'[17]2019 Benchmarking Calculations'!$AJ$61/1000</f>
        <v>99.438999999999993</v>
      </c>
      <c r="H422" s="16">
        <f t="shared" si="81"/>
        <v>122.494</v>
      </c>
      <c r="I422" s="18">
        <f>'[17]2019 Benchmarking Calculations'!$AJ$57</f>
        <v>22528</v>
      </c>
      <c r="J422" s="18">
        <f>'[17]2019 Utility Characteristics'!$AD$13</f>
        <v>1686</v>
      </c>
      <c r="K422" s="18">
        <f>'[17]2019 Utility Characteristics'!$AD$15</f>
        <v>754</v>
      </c>
      <c r="L422" s="19">
        <f>K422/J422</f>
        <v>0.4472123368920522</v>
      </c>
      <c r="M422" s="9"/>
      <c r="N422" s="9"/>
    </row>
    <row r="423" spans="1:14">
      <c r="A423" s="15" t="str">
        <f>'[18]2. BM Database'!B303</f>
        <v>HEARST POWER DISTRIBUTION COMPANY LIMITED</v>
      </c>
      <c r="B423" s="15">
        <v>3068</v>
      </c>
      <c r="C423" s="43">
        <f>'[18]2. BM Database'!C303</f>
        <v>2005</v>
      </c>
      <c r="D423" s="15">
        <v>3</v>
      </c>
      <c r="E423" s="17">
        <f>'[18]2. BM Database'!F303/1000</f>
        <v>594.37569000000008</v>
      </c>
      <c r="F423" s="41">
        <f t="shared" ref="F423:F437" si="82">F408</f>
        <v>1</v>
      </c>
      <c r="G423" s="44">
        <f>'[18]2. BM Database'!P303/1000</f>
        <v>22.617000000000001</v>
      </c>
      <c r="H423" s="16">
        <f>G423</f>
        <v>22.617000000000001</v>
      </c>
      <c r="I423" s="18">
        <f>'[18]2. BM Database'!L303</f>
        <v>2780</v>
      </c>
      <c r="J423" s="18">
        <f>'[18]2. BM Database'!R303</f>
        <v>68</v>
      </c>
      <c r="K423" s="18">
        <f t="shared" ref="K423:K434" si="83">J423*L423</f>
        <v>11</v>
      </c>
      <c r="L423" s="19">
        <f>'[18]2. BM Database'!T303</f>
        <v>0.16176470588235295</v>
      </c>
      <c r="M423" s="9"/>
      <c r="N423" s="9"/>
    </row>
    <row r="424" spans="1:14">
      <c r="A424" s="15" t="str">
        <f>'[18]2. BM Database'!B304</f>
        <v>HEARST POWER DISTRIBUTION COMPANY LIMITED</v>
      </c>
      <c r="B424" s="15">
        <v>3068</v>
      </c>
      <c r="C424" s="43">
        <f>'[18]2. BM Database'!C304</f>
        <v>2006</v>
      </c>
      <c r="D424" s="15">
        <v>3</v>
      </c>
      <c r="E424" s="17">
        <f>'[18]2. BM Database'!F304/1000</f>
        <v>641.45908000000009</v>
      </c>
      <c r="F424" s="41">
        <f t="shared" si="82"/>
        <v>1.0181607380073696</v>
      </c>
      <c r="G424" s="44">
        <f>'[18]2. BM Database'!P304/1000</f>
        <v>20.765999999999998</v>
      </c>
      <c r="H424" s="16">
        <f>MAX(G424,H423)</f>
        <v>22.617000000000001</v>
      </c>
      <c r="I424" s="18">
        <f>'[18]2. BM Database'!L304</f>
        <v>2757</v>
      </c>
      <c r="J424" s="18">
        <f>'[18]2. BM Database'!R304</f>
        <v>68</v>
      </c>
      <c r="K424" s="18">
        <f t="shared" si="83"/>
        <v>11</v>
      </c>
      <c r="L424" s="19">
        <f>'[18]2. BM Database'!T304</f>
        <v>0.16176470588235295</v>
      </c>
      <c r="M424" s="9"/>
      <c r="N424" s="9"/>
    </row>
    <row r="425" spans="1:14">
      <c r="A425" s="15" t="str">
        <f>'[18]2. BM Database'!B305</f>
        <v>HEARST POWER DISTRIBUTION COMPANY LIMITED</v>
      </c>
      <c r="B425" s="15">
        <v>3068</v>
      </c>
      <c r="C425" s="43">
        <f>'[18]2. BM Database'!C305</f>
        <v>2007</v>
      </c>
      <c r="D425" s="15">
        <v>3</v>
      </c>
      <c r="E425" s="17">
        <f>'[18]2. BM Database'!F305/1000</f>
        <v>660.43975</v>
      </c>
      <c r="F425" s="41">
        <f t="shared" si="82"/>
        <v>1.0531931014872313</v>
      </c>
      <c r="G425" s="44">
        <f>'[18]2. BM Database'!P305/1000</f>
        <v>21.901</v>
      </c>
      <c r="H425" s="16">
        <f t="shared" ref="H425:H437" si="84">MAX(G425,H424)</f>
        <v>22.617000000000001</v>
      </c>
      <c r="I425" s="18">
        <f>'[18]2. BM Database'!L305</f>
        <v>2772</v>
      </c>
      <c r="J425" s="18">
        <f>'[18]2. BM Database'!R305</f>
        <v>68</v>
      </c>
      <c r="K425" s="18">
        <f t="shared" si="83"/>
        <v>11</v>
      </c>
      <c r="L425" s="19">
        <f>'[18]2. BM Database'!T305</f>
        <v>0.16176470588235295</v>
      </c>
      <c r="M425" s="9"/>
      <c r="N425" s="9"/>
    </row>
    <row r="426" spans="1:14">
      <c r="A426" s="15" t="str">
        <f>'[18]2. BM Database'!B306</f>
        <v>HEARST POWER DISTRIBUTION COMPANY LIMITED</v>
      </c>
      <c r="B426" s="15">
        <v>3068</v>
      </c>
      <c r="C426" s="43">
        <f>'[18]2. BM Database'!C306</f>
        <v>2008</v>
      </c>
      <c r="D426" s="15">
        <v>3</v>
      </c>
      <c r="E426" s="17">
        <f>'[18]2. BM Database'!F306/1000</f>
        <v>677.86685800000009</v>
      </c>
      <c r="F426" s="41">
        <f t="shared" si="82"/>
        <v>1.078564603993923</v>
      </c>
      <c r="G426" s="44">
        <f>'[18]2. BM Database'!P306/1000</f>
        <v>17.861999999999998</v>
      </c>
      <c r="H426" s="16">
        <f t="shared" si="84"/>
        <v>22.617000000000001</v>
      </c>
      <c r="I426" s="18">
        <f>'[18]2. BM Database'!L306</f>
        <v>2763</v>
      </c>
      <c r="J426" s="18">
        <f>'[18]2. BM Database'!R306</f>
        <v>68</v>
      </c>
      <c r="K426" s="18">
        <f t="shared" si="83"/>
        <v>11</v>
      </c>
      <c r="L426" s="19">
        <f>'[18]2. BM Database'!T306</f>
        <v>0.16176470588235295</v>
      </c>
      <c r="M426" s="9"/>
      <c r="N426" s="9"/>
    </row>
    <row r="427" spans="1:14">
      <c r="A427" s="15" t="str">
        <f>'[18]2. BM Database'!B307</f>
        <v>HEARST POWER DISTRIBUTION COMPANY LIMITED</v>
      </c>
      <c r="B427" s="15">
        <v>3068</v>
      </c>
      <c r="C427" s="43">
        <f>'[18]2. BM Database'!C307</f>
        <v>2009</v>
      </c>
      <c r="D427" s="15">
        <v>3</v>
      </c>
      <c r="E427" s="17">
        <f>'[18]2. BM Database'!F307/1000</f>
        <v>840.53579000000002</v>
      </c>
      <c r="F427" s="41">
        <f t="shared" si="82"/>
        <v>1.0915070880241431</v>
      </c>
      <c r="G427" s="44">
        <f>'[18]2. BM Database'!P307/1000</f>
        <v>18.067</v>
      </c>
      <c r="H427" s="16">
        <f t="shared" si="84"/>
        <v>22.617000000000001</v>
      </c>
      <c r="I427" s="18">
        <f>'[18]2. BM Database'!L307</f>
        <v>2764</v>
      </c>
      <c r="J427" s="18">
        <f>'[18]2. BM Database'!R307</f>
        <v>68</v>
      </c>
      <c r="K427" s="18">
        <f t="shared" si="83"/>
        <v>11</v>
      </c>
      <c r="L427" s="19">
        <f>'[18]2. BM Database'!T307</f>
        <v>0.16176470588235295</v>
      </c>
      <c r="M427" s="9"/>
      <c r="N427" s="9"/>
    </row>
    <row r="428" spans="1:14">
      <c r="A428" s="15" t="str">
        <f>'[18]2. BM Database'!B308</f>
        <v>HEARST POWER DISTRIBUTION COMPANY LIMITED</v>
      </c>
      <c r="B428" s="15">
        <v>3068</v>
      </c>
      <c r="C428" s="43">
        <f>'[18]2. BM Database'!C308</f>
        <v>2010</v>
      </c>
      <c r="D428" s="15">
        <v>3</v>
      </c>
      <c r="E428" s="17">
        <f>'[18]2. BM Database'!F308/1000</f>
        <v>799.44063000000006</v>
      </c>
      <c r="F428" s="41">
        <f t="shared" si="82"/>
        <v>1.1243125351578573</v>
      </c>
      <c r="G428" s="44">
        <f>'[18]2. BM Database'!P308/1000</f>
        <v>16.576000000000001</v>
      </c>
      <c r="H428" s="16">
        <f t="shared" si="84"/>
        <v>22.617000000000001</v>
      </c>
      <c r="I428" s="18">
        <f>'[18]2. BM Database'!L308</f>
        <v>2734</v>
      </c>
      <c r="J428" s="18">
        <f>'[18]2. BM Database'!R308</f>
        <v>68</v>
      </c>
      <c r="K428" s="18">
        <f t="shared" si="83"/>
        <v>11</v>
      </c>
      <c r="L428" s="19">
        <f>'[18]2. BM Database'!T308</f>
        <v>0.16176470588235295</v>
      </c>
      <c r="M428" s="9"/>
      <c r="N428" s="9"/>
    </row>
    <row r="429" spans="1:14">
      <c r="A429" s="15" t="str">
        <f>'[18]2. BM Database'!B309</f>
        <v>HEARST POWER DISTRIBUTION COMPANY LIMITED</v>
      </c>
      <c r="B429" s="15">
        <v>3068</v>
      </c>
      <c r="C429" s="43">
        <f>'[18]2. BM Database'!C309</f>
        <v>2011</v>
      </c>
      <c r="D429" s="15">
        <v>3</v>
      </c>
      <c r="E429" s="17">
        <f>'[18]2. BM Database'!F309/1000</f>
        <v>819.66300999999987</v>
      </c>
      <c r="F429" s="41">
        <f t="shared" si="82"/>
        <v>1.1430978626415853</v>
      </c>
      <c r="G429" s="44">
        <f>'[18]2. BM Database'!P309/1000</f>
        <v>16.327999999999999</v>
      </c>
      <c r="H429" s="16">
        <f t="shared" si="84"/>
        <v>22.617000000000001</v>
      </c>
      <c r="I429" s="18">
        <f>'[18]2. BM Database'!L309</f>
        <v>2817</v>
      </c>
      <c r="J429" s="18">
        <f>'[18]2. BM Database'!R309</f>
        <v>68</v>
      </c>
      <c r="K429" s="18">
        <f t="shared" si="83"/>
        <v>11</v>
      </c>
      <c r="L429" s="19">
        <f>'[18]2. BM Database'!T309</f>
        <v>0.16176470588235295</v>
      </c>
      <c r="M429" s="9"/>
      <c r="N429" s="9"/>
    </row>
    <row r="430" spans="1:14">
      <c r="A430" s="15" t="str">
        <f>'[18]2. BM Database'!B310</f>
        <v>HEARST POWER DISTRIBUTION COMPANY LIMITED</v>
      </c>
      <c r="B430" s="15">
        <v>3068</v>
      </c>
      <c r="C430" s="43">
        <f>'[18]2. BM Database'!C310</f>
        <v>2012</v>
      </c>
      <c r="D430" s="15">
        <v>3</v>
      </c>
      <c r="E430" s="17">
        <f>'[18]2. BM Database'!F310/1000</f>
        <v>823.87243000000001</v>
      </c>
      <c r="F430" s="41">
        <f t="shared" si="82"/>
        <v>1.160126854517312</v>
      </c>
      <c r="G430" s="44">
        <f>'[18]2. BM Database'!P310/1000</f>
        <v>15.231</v>
      </c>
      <c r="H430" s="16">
        <f t="shared" si="84"/>
        <v>22.617000000000001</v>
      </c>
      <c r="I430" s="18">
        <f>'[18]2. BM Database'!L310</f>
        <v>2787</v>
      </c>
      <c r="J430" s="18">
        <f>'[18]2. BM Database'!R310</f>
        <v>68</v>
      </c>
      <c r="K430" s="18">
        <f t="shared" si="83"/>
        <v>11</v>
      </c>
      <c r="L430" s="19">
        <f>'[18]2. BM Database'!T310</f>
        <v>0.16176470588235295</v>
      </c>
      <c r="M430" s="9"/>
      <c r="N430" s="9"/>
    </row>
    <row r="431" spans="1:14" s="15" customFormat="1">
      <c r="A431" s="15" t="s">
        <v>49</v>
      </c>
      <c r="B431" s="15">
        <v>3068</v>
      </c>
      <c r="C431" s="43">
        <v>2013</v>
      </c>
      <c r="D431" s="15">
        <v>3</v>
      </c>
      <c r="E431" s="17">
        <f>HLOOKUP(A431,'[19]2013 Benchmarking Calculations'!$I$3:$CC$76,6,FALSE)/1000</f>
        <v>830.78934000000004</v>
      </c>
      <c r="F431" s="41">
        <f t="shared" si="82"/>
        <v>1.178602141578931</v>
      </c>
      <c r="G431" s="44">
        <f>HLOOKUP(A431,'[19]2013 Benchmarking Calculations'!$I$3:$CC$76,57,FALSE)/1000</f>
        <v>17.541</v>
      </c>
      <c r="H431" s="16">
        <f t="shared" si="84"/>
        <v>22.617000000000001</v>
      </c>
      <c r="I431" s="18">
        <f>HLOOKUP(A431,'[19]2013 Benchmarking Calculations'!$I$3:$CC$76,53,FALSE)</f>
        <v>2787</v>
      </c>
      <c r="J431" s="18">
        <f>HLOOKUP(A431,'[19]2013 Benchmarking Calculations'!$I$3:$CC$76,71,FALSE)</f>
        <v>68</v>
      </c>
      <c r="K431" s="18">
        <f t="shared" si="83"/>
        <v>11</v>
      </c>
      <c r="L431" s="19">
        <f>HLOOKUP(A431,'[19]2013 PBR data '!B$42:BV$68,15,FALSE)/HLOOKUP(A431,'[19]2013 PBR data '!B$42:BV$68,13,FALSE)</f>
        <v>0.16176470588235295</v>
      </c>
      <c r="M431" s="9"/>
      <c r="N431" s="9"/>
    </row>
    <row r="432" spans="1:14" s="15" customFormat="1">
      <c r="A432" s="15" t="s">
        <v>49</v>
      </c>
      <c r="B432" s="15">
        <v>3068</v>
      </c>
      <c r="C432" s="43">
        <v>2014</v>
      </c>
      <c r="D432" s="15">
        <v>3</v>
      </c>
      <c r="E432" s="17">
        <f>VLOOKUP(A432,[20]Result!$B$12:$D$84,2,FALSE)/10^3</f>
        <v>969.12</v>
      </c>
      <c r="F432" s="41">
        <f t="shared" si="82"/>
        <v>1.2030671041042156</v>
      </c>
      <c r="G432" s="44">
        <f>VLOOKUP(A432,'[21]General transpose'!$A$1:$AF$73,26,FALSE)/10^3</f>
        <v>17.346</v>
      </c>
      <c r="H432" s="16">
        <f t="shared" si="84"/>
        <v>22.617000000000001</v>
      </c>
      <c r="I432" s="18">
        <f>VLOOKUP(A432,'[21]General transpose'!$A$1:$AF$73,8,FALSE)</f>
        <v>2718</v>
      </c>
      <c r="J432" s="18">
        <f>VLOOKUP(A432,'[21]General transpose'!$A$1:$AF$73,16,FALSE)</f>
        <v>68</v>
      </c>
      <c r="K432" s="18">
        <f t="shared" si="83"/>
        <v>11</v>
      </c>
      <c r="L432" s="19">
        <f>VLOOKUP(A432,'[21]General transpose'!$A$1:$AF$73,17,FALSE)</f>
        <v>0.16176470588235295</v>
      </c>
      <c r="M432" s="9"/>
      <c r="N432" s="9"/>
    </row>
    <row r="433" spans="1:14" s="15" customFormat="1">
      <c r="A433" s="15" t="s">
        <v>49</v>
      </c>
      <c r="B433" s="15">
        <v>3068</v>
      </c>
      <c r="C433" s="43">
        <v>2015</v>
      </c>
      <c r="D433" s="15">
        <v>3</v>
      </c>
      <c r="E433" s="17">
        <f>VLOOKUP(A432,[20]Result!$B$12:$D$84,3,FALSE)/10^3</f>
        <v>1218.971</v>
      </c>
      <c r="F433" s="41">
        <f t="shared" si="82"/>
        <v>1.2312762402864634</v>
      </c>
      <c r="G433" s="44">
        <f>VLOOKUP(A432,'[22]General transpose'!$A$1:$AF$73,26,FALSE)/10^3</f>
        <v>16.408000000000001</v>
      </c>
      <c r="H433" s="16">
        <f t="shared" si="84"/>
        <v>22.617000000000001</v>
      </c>
      <c r="I433" s="18">
        <f>VLOOKUP(A432,'[22]General transpose'!$A$1:$AF$73,8,FALSE)</f>
        <v>2703</v>
      </c>
      <c r="J433" s="18">
        <f>VLOOKUP(A432,'[22]General transpose'!$A$1:$AF$73,16,FALSE)</f>
        <v>68</v>
      </c>
      <c r="K433" s="18">
        <f t="shared" si="83"/>
        <v>11</v>
      </c>
      <c r="L433" s="19">
        <f>VLOOKUP(A432,'[22]General transpose'!$A$1:$AF$73,17,FALSE)</f>
        <v>0.16176470588235295</v>
      </c>
      <c r="M433" s="9"/>
      <c r="N433" s="9"/>
    </row>
    <row r="434" spans="1:14" s="15" customFormat="1">
      <c r="A434" s="15" t="s">
        <v>49</v>
      </c>
      <c r="B434" s="15">
        <v>3068</v>
      </c>
      <c r="C434" s="43">
        <v>2016</v>
      </c>
      <c r="D434" s="15">
        <v>3</v>
      </c>
      <c r="E434" s="17">
        <f>'[14]2016 Benchmarking Calculations'!$AI$8/1000</f>
        <v>1052.20064</v>
      </c>
      <c r="F434" s="41">
        <f t="shared" si="82"/>
        <v>1.2455044937824149</v>
      </c>
      <c r="G434" s="44">
        <f>HLOOKUP(A434,[23]General!$A$1:$BQ$23,22,FALSE)/10^3</f>
        <v>16.158999999999999</v>
      </c>
      <c r="H434" s="16">
        <f t="shared" si="84"/>
        <v>22.617000000000001</v>
      </c>
      <c r="I434" s="18">
        <f>HLOOKUP(A434,[23]General!$A$1:$BQ$23,9,FALSE)</f>
        <v>2704</v>
      </c>
      <c r="J434" s="18">
        <f>HLOOKUP(A434,[23]General!$A$1:$BQ$23,17,FALSE)</f>
        <v>68</v>
      </c>
      <c r="K434" s="18">
        <f t="shared" si="83"/>
        <v>11</v>
      </c>
      <c r="L434" s="19">
        <f>HLOOKUP(A434,[23]General!$A$1:$BQ$23,18,FALSE)</f>
        <v>0.16176470588235295</v>
      </c>
      <c r="M434" s="9"/>
      <c r="N434" s="9"/>
    </row>
    <row r="435" spans="1:14" s="15" customFormat="1">
      <c r="A435" s="15" t="s">
        <v>49</v>
      </c>
      <c r="B435" s="15">
        <v>3068</v>
      </c>
      <c r="C435" s="43">
        <v>2017</v>
      </c>
      <c r="D435" s="15">
        <v>3</v>
      </c>
      <c r="E435" s="17">
        <f>'[14]2017 Benchmarking Calculations'!$AK$9/1000</f>
        <v>1097.0952200000002</v>
      </c>
      <c r="F435" s="41">
        <f t="shared" si="82"/>
        <v>1.2674505553724562</v>
      </c>
      <c r="G435" s="44">
        <f>'[14]2017 Benchmarking Calculations'!$AK$60/1000</f>
        <v>15.428000000000001</v>
      </c>
      <c r="H435" s="16">
        <f t="shared" si="84"/>
        <v>22.617000000000001</v>
      </c>
      <c r="I435" s="18">
        <f>'[14]2017 Benchmarking Calculations'!$AK$56</f>
        <v>2697</v>
      </c>
      <c r="J435" s="18">
        <f>'[14]2017 Utility Characteristics'!$AB$79</f>
        <v>87</v>
      </c>
      <c r="K435" s="15">
        <f>'[14]2017 Utility Characteristics'!$AB$81</f>
        <v>16</v>
      </c>
      <c r="L435" s="19">
        <f>K435/J435</f>
        <v>0.18390804597701149</v>
      </c>
      <c r="M435" s="9"/>
      <c r="N435" s="9"/>
    </row>
    <row r="436" spans="1:14" s="15" customFormat="1">
      <c r="A436" s="15" t="s">
        <v>49</v>
      </c>
      <c r="B436" s="15">
        <v>3068</v>
      </c>
      <c r="C436" s="43">
        <v>2018</v>
      </c>
      <c r="D436" s="15">
        <v>3</v>
      </c>
      <c r="E436" s="17">
        <f>'[16]2018 Benchmarking Calculations'!$AK$10/1000</f>
        <v>1135.3592599999999</v>
      </c>
      <c r="F436" s="41">
        <f t="shared" si="82"/>
        <v>1.2994718602728874</v>
      </c>
      <c r="G436" s="44">
        <f>'[16]2018 Benchmarking Calculations'!$AK$61/1000</f>
        <v>16.856000000000002</v>
      </c>
      <c r="H436" s="16">
        <f t="shared" si="84"/>
        <v>22.617000000000001</v>
      </c>
      <c r="I436" s="18">
        <f>'[16]2018 Benchmarking Calculations'!$AK$57</f>
        <v>2697</v>
      </c>
      <c r="J436" s="18">
        <f>'[16]2018 Utility Characteristics'!$AE$103</f>
        <v>97</v>
      </c>
      <c r="K436" s="18">
        <f>'[16]2018 Utility Characteristics'!$AE$105</f>
        <v>16</v>
      </c>
      <c r="L436" s="19">
        <f>K436/J436</f>
        <v>0.16494845360824742</v>
      </c>
      <c r="M436" s="9"/>
      <c r="N436" s="9"/>
    </row>
    <row r="437" spans="1:14" s="15" customFormat="1">
      <c r="A437" s="15" t="s">
        <v>49</v>
      </c>
      <c r="B437" s="15">
        <v>3068</v>
      </c>
      <c r="C437" s="43">
        <v>2019</v>
      </c>
      <c r="D437" s="15">
        <v>3</v>
      </c>
      <c r="E437" s="17">
        <f>'[17]2019 Benchmarking Calculations'!$AK$10/1000</f>
        <v>1086.3353699999998</v>
      </c>
      <c r="F437" s="41">
        <f t="shared" si="82"/>
        <v>1.3352608354138498</v>
      </c>
      <c r="G437" s="44">
        <f>'[17]2019 Benchmarking Calculations'!$AK$61/1000</f>
        <v>15.776999999999999</v>
      </c>
      <c r="H437" s="16">
        <f t="shared" si="84"/>
        <v>22.617000000000001</v>
      </c>
      <c r="I437" s="18">
        <f>'[17]2019 Benchmarking Calculations'!$AK$57</f>
        <v>2700</v>
      </c>
      <c r="J437" s="18">
        <f>'[17]2019 Utility Characteristics'!$AE$13</f>
        <v>97</v>
      </c>
      <c r="K437" s="18">
        <f>'[17]2019 Utility Characteristics'!$AE$15</f>
        <v>16</v>
      </c>
      <c r="L437" s="19">
        <f>K437/J437</f>
        <v>0.16494845360824742</v>
      </c>
      <c r="M437" s="9"/>
      <c r="N437" s="9"/>
    </row>
    <row r="438" spans="1:14">
      <c r="A438" s="15" t="str">
        <f>'[18]2. BM Database'!B314</f>
        <v>HORIZON UTILITIES CORPORATION</v>
      </c>
      <c r="B438" s="15">
        <v>3005</v>
      </c>
      <c r="C438" s="43">
        <f>'[18]2. BM Database'!C314</f>
        <v>2005</v>
      </c>
      <c r="D438" s="15">
        <v>3</v>
      </c>
      <c r="E438" s="17">
        <f>'[18]2. BM Database'!F314/1000</f>
        <v>36678.344129999998</v>
      </c>
      <c r="F438" s="41">
        <f t="shared" ref="F438:F452" si="85">F423</f>
        <v>1</v>
      </c>
      <c r="G438" s="44">
        <f>'[18]2. BM Database'!P314/1000</f>
        <v>1231.75389</v>
      </c>
      <c r="H438" s="16">
        <f>G438</f>
        <v>1231.75389</v>
      </c>
      <c r="I438" s="18">
        <f>'[18]2. BM Database'!L314</f>
        <v>230327</v>
      </c>
      <c r="J438" s="18">
        <f>'[18]2. BM Database'!R314</f>
        <v>3273</v>
      </c>
      <c r="K438" s="18">
        <f t="shared" ref="K438:K449" si="86">J438*L438</f>
        <v>1670</v>
      </c>
      <c r="L438" s="19">
        <f>'[18]2. BM Database'!T314</f>
        <v>0.51023525817293003</v>
      </c>
      <c r="M438" s="9"/>
      <c r="N438" s="9"/>
    </row>
    <row r="439" spans="1:14">
      <c r="A439" s="15" t="str">
        <f>'[18]2. BM Database'!B315</f>
        <v>HORIZON UTILITIES CORPORATION</v>
      </c>
      <c r="B439" s="15">
        <v>3005</v>
      </c>
      <c r="C439" s="43">
        <f>'[18]2. BM Database'!C315</f>
        <v>2006</v>
      </c>
      <c r="D439" s="15">
        <v>3</v>
      </c>
      <c r="E439" s="17">
        <f>'[18]2. BM Database'!F315/1000</f>
        <v>31742.901739999998</v>
      </c>
      <c r="F439" s="41">
        <f t="shared" si="85"/>
        <v>1.0181607380073696</v>
      </c>
      <c r="G439" s="44">
        <f>'[18]2. BM Database'!P315/1000</f>
        <v>1125.9469999999999</v>
      </c>
      <c r="H439" s="16">
        <f>MAX(G439,H438)</f>
        <v>1231.75389</v>
      </c>
      <c r="I439" s="18">
        <f>'[18]2. BM Database'!L315</f>
        <v>231499</v>
      </c>
      <c r="J439" s="18">
        <f>'[18]2. BM Database'!R315</f>
        <v>3265</v>
      </c>
      <c r="K439" s="18">
        <f t="shared" si="86"/>
        <v>1740</v>
      </c>
      <c r="L439" s="19">
        <f>'[18]2. BM Database'!T315</f>
        <v>0.53292496171516079</v>
      </c>
      <c r="M439" s="9"/>
      <c r="N439" s="9"/>
    </row>
    <row r="440" spans="1:14">
      <c r="A440" s="15" t="str">
        <f>'[18]2. BM Database'!B316</f>
        <v>HORIZON UTILITIES CORPORATION</v>
      </c>
      <c r="B440" s="15">
        <v>3005</v>
      </c>
      <c r="C440" s="43">
        <f>'[18]2. BM Database'!C316</f>
        <v>2007</v>
      </c>
      <c r="D440" s="15">
        <v>3</v>
      </c>
      <c r="E440" s="17">
        <f>'[18]2. BM Database'!F316/1000</f>
        <v>35706.360049999996</v>
      </c>
      <c r="F440" s="41">
        <f t="shared" si="85"/>
        <v>1.0531931014872313</v>
      </c>
      <c r="G440" s="44">
        <f>'[18]2. BM Database'!P316/1000</f>
        <v>1161.8910000000001</v>
      </c>
      <c r="H440" s="16">
        <f t="shared" ref="H440:H449" si="87">MAX(G440,H439)</f>
        <v>1231.75389</v>
      </c>
      <c r="I440" s="18">
        <f>'[18]2. BM Database'!L316</f>
        <v>232493</v>
      </c>
      <c r="J440" s="18">
        <f>'[18]2. BM Database'!R316</f>
        <v>3343</v>
      </c>
      <c r="K440" s="18">
        <f t="shared" si="86"/>
        <v>1839</v>
      </c>
      <c r="L440" s="19">
        <f>'[18]2. BM Database'!T316</f>
        <v>0.55010469638049653</v>
      </c>
      <c r="M440" s="9"/>
      <c r="N440" s="9"/>
    </row>
    <row r="441" spans="1:14">
      <c r="A441" s="15" t="str">
        <f>'[18]2. BM Database'!B317</f>
        <v>HORIZON UTILITIES CORPORATION</v>
      </c>
      <c r="B441" s="15">
        <v>3005</v>
      </c>
      <c r="C441" s="43">
        <f>'[18]2. BM Database'!C317</f>
        <v>2008</v>
      </c>
      <c r="D441" s="15">
        <v>3</v>
      </c>
      <c r="E441" s="17">
        <f>'[18]2. BM Database'!F317/1000</f>
        <v>39403.84145</v>
      </c>
      <c r="F441" s="41">
        <f t="shared" si="85"/>
        <v>1.078564603993923</v>
      </c>
      <c r="G441" s="44">
        <f>'[18]2. BM Database'!P317/1000</f>
        <v>1112.056</v>
      </c>
      <c r="H441" s="16">
        <f t="shared" si="87"/>
        <v>1231.75389</v>
      </c>
      <c r="I441" s="18">
        <f>'[18]2. BM Database'!L317</f>
        <v>233947</v>
      </c>
      <c r="J441" s="18">
        <f>'[18]2. BM Database'!R317</f>
        <v>3294</v>
      </c>
      <c r="K441" s="18">
        <f t="shared" si="86"/>
        <v>1775</v>
      </c>
      <c r="L441" s="19">
        <f>'[18]2. BM Database'!T317</f>
        <v>0.53885853066180933</v>
      </c>
      <c r="M441" s="9"/>
      <c r="N441" s="9"/>
    </row>
    <row r="442" spans="1:14">
      <c r="A442" s="15" t="str">
        <f>'[18]2. BM Database'!B318</f>
        <v>HORIZON UTILITIES CORPORATION</v>
      </c>
      <c r="B442" s="15">
        <v>3005</v>
      </c>
      <c r="C442" s="43">
        <f>'[18]2. BM Database'!C318</f>
        <v>2009</v>
      </c>
      <c r="D442" s="15">
        <v>3</v>
      </c>
      <c r="E442" s="17">
        <f>'[18]2. BM Database'!F318/1000</f>
        <v>38749.504980000005</v>
      </c>
      <c r="F442" s="41">
        <f t="shared" si="85"/>
        <v>1.0915070880241431</v>
      </c>
      <c r="G442" s="44">
        <f>'[18]2. BM Database'!P318/1000</f>
        <v>1008.981</v>
      </c>
      <c r="H442" s="16">
        <f t="shared" si="87"/>
        <v>1231.75389</v>
      </c>
      <c r="I442" s="18">
        <f>'[18]2. BM Database'!L318</f>
        <v>234666</v>
      </c>
      <c r="J442" s="18">
        <f>'[18]2. BM Database'!R318</f>
        <v>3363</v>
      </c>
      <c r="K442" s="18">
        <f t="shared" si="86"/>
        <v>1842.9999999999998</v>
      </c>
      <c r="L442" s="19">
        <f>'[18]2. BM Database'!T318</f>
        <v>0.54802259887005644</v>
      </c>
      <c r="M442" s="9"/>
      <c r="N442" s="9"/>
    </row>
    <row r="443" spans="1:14">
      <c r="A443" s="15" t="str">
        <f>'[18]2. BM Database'!B319</f>
        <v>HORIZON UTILITIES CORPORATION</v>
      </c>
      <c r="B443" s="15">
        <v>3005</v>
      </c>
      <c r="C443" s="43">
        <f>'[18]2. BM Database'!C319</f>
        <v>2010</v>
      </c>
      <c r="D443" s="15">
        <v>3</v>
      </c>
      <c r="E443" s="17">
        <f>'[18]2. BM Database'!F319/1000</f>
        <v>38438.683899999996</v>
      </c>
      <c r="F443" s="41">
        <f t="shared" si="85"/>
        <v>1.1243125351578573</v>
      </c>
      <c r="G443" s="44">
        <f>'[18]2. BM Database'!P319/1000</f>
        <v>1091.173</v>
      </c>
      <c r="H443" s="16">
        <f t="shared" si="87"/>
        <v>1231.75389</v>
      </c>
      <c r="I443" s="18">
        <f>'[18]2. BM Database'!L319</f>
        <v>234464</v>
      </c>
      <c r="J443" s="18">
        <f>'[18]2. BM Database'!R319</f>
        <v>3415</v>
      </c>
      <c r="K443" s="18">
        <f t="shared" si="86"/>
        <v>1872.0000000000002</v>
      </c>
      <c r="L443" s="19">
        <f>'[18]2. BM Database'!T319</f>
        <v>0.54816983894582727</v>
      </c>
      <c r="M443" s="9"/>
      <c r="N443" s="9"/>
    </row>
    <row r="444" spans="1:14">
      <c r="A444" s="15" t="str">
        <f>'[18]2. BM Database'!B320</f>
        <v>HORIZON UTILITIES CORPORATION</v>
      </c>
      <c r="B444" s="15">
        <v>3005</v>
      </c>
      <c r="C444" s="43">
        <f>'[18]2. BM Database'!C320</f>
        <v>2011</v>
      </c>
      <c r="D444" s="15">
        <v>3</v>
      </c>
      <c r="E444" s="17">
        <f>'[18]2. BM Database'!F320/1000</f>
        <v>40825.300739999991</v>
      </c>
      <c r="F444" s="41">
        <f t="shared" si="85"/>
        <v>1.1430978626415853</v>
      </c>
      <c r="G444" s="44">
        <f>'[18]2. BM Database'!P320/1000</f>
        <v>1092.56</v>
      </c>
      <c r="H444" s="16">
        <f t="shared" si="87"/>
        <v>1231.75389</v>
      </c>
      <c r="I444" s="18">
        <f>'[18]2. BM Database'!L320</f>
        <v>235327</v>
      </c>
      <c r="J444" s="18">
        <f>'[18]2. BM Database'!R320</f>
        <v>3414</v>
      </c>
      <c r="K444" s="18">
        <f t="shared" si="86"/>
        <v>1891.0000000000002</v>
      </c>
      <c r="L444" s="19">
        <f>'[18]2. BM Database'!T320</f>
        <v>0.55389572349150562</v>
      </c>
      <c r="M444" s="9"/>
      <c r="N444" s="9"/>
    </row>
    <row r="445" spans="1:14">
      <c r="A445" s="15" t="str">
        <f>'[18]2. BM Database'!B321</f>
        <v>HORIZON UTILITIES CORPORATION</v>
      </c>
      <c r="B445" s="15">
        <v>3005</v>
      </c>
      <c r="C445" s="43">
        <f>'[18]2. BM Database'!C321</f>
        <v>2012</v>
      </c>
      <c r="D445" s="15">
        <v>3</v>
      </c>
      <c r="E445" s="17">
        <f>'[18]2. BM Database'!F321/1000</f>
        <v>46250.267033030861</v>
      </c>
      <c r="F445" s="41">
        <f t="shared" si="85"/>
        <v>1.160126854517312</v>
      </c>
      <c r="G445" s="44">
        <f>'[18]2. BM Database'!P321/1000</f>
        <v>1088.675</v>
      </c>
      <c r="H445" s="16">
        <f t="shared" si="87"/>
        <v>1231.75389</v>
      </c>
      <c r="I445" s="18">
        <f>'[18]2. BM Database'!L321</f>
        <v>237185</v>
      </c>
      <c r="J445" s="18">
        <f>'[18]2. BM Database'!R321</f>
        <v>3428</v>
      </c>
      <c r="K445" s="18">
        <f t="shared" si="86"/>
        <v>1904</v>
      </c>
      <c r="L445" s="19">
        <f>'[18]2. BM Database'!T321</f>
        <v>0.55542590431738625</v>
      </c>
      <c r="M445" s="9"/>
      <c r="N445" s="9"/>
    </row>
    <row r="446" spans="1:14" s="15" customFormat="1">
      <c r="A446" s="15" t="s">
        <v>50</v>
      </c>
      <c r="B446" s="15">
        <v>3005</v>
      </c>
      <c r="C446" s="43">
        <v>2013</v>
      </c>
      <c r="D446" s="15">
        <v>3</v>
      </c>
      <c r="E446" s="17">
        <f>HLOOKUP(A446,'[19]2013 Benchmarking Calculations'!$I$3:$CC$76,6,FALSE)/1000</f>
        <v>53770.376680000001</v>
      </c>
      <c r="F446" s="41">
        <f t="shared" si="85"/>
        <v>1.178602141578931</v>
      </c>
      <c r="G446" s="44">
        <f>HLOOKUP(A446,'[19]2013 Benchmarking Calculations'!$I$3:$CC$76,57,FALSE)/1000</f>
        <v>1093.152</v>
      </c>
      <c r="H446" s="16">
        <f t="shared" si="87"/>
        <v>1231.75389</v>
      </c>
      <c r="I446" s="18">
        <f>HLOOKUP(A446,'[19]2013 Benchmarking Calculations'!$I$3:$CC$76,53,FALSE)</f>
        <v>238777</v>
      </c>
      <c r="J446" s="18">
        <f>HLOOKUP(A446,'[19]2013 Benchmarking Calculations'!$I$3:$CC$76,71,FALSE)</f>
        <v>3401</v>
      </c>
      <c r="K446" s="18">
        <f t="shared" si="86"/>
        <v>1898.9999999999998</v>
      </c>
      <c r="L446" s="19">
        <f>HLOOKUP(A446,'[19]2013 PBR data '!B$42:BV$68,15,FALSE)/HLOOKUP(A446,'[19]2013 PBR data '!B$42:BV$68,13,FALSE)</f>
        <v>0.55836518670979118</v>
      </c>
      <c r="M446" s="9"/>
      <c r="N446" s="9"/>
    </row>
    <row r="447" spans="1:14" s="15" customFormat="1">
      <c r="A447" s="15" t="s">
        <v>50</v>
      </c>
      <c r="B447" s="15">
        <v>3005</v>
      </c>
      <c r="C447" s="43">
        <v>2014</v>
      </c>
      <c r="D447" s="15">
        <v>3</v>
      </c>
      <c r="E447" s="17">
        <f>VLOOKUP(A447,[20]Result!$B$12:$D$84,2,FALSE)/10^3</f>
        <v>56905.305999999997</v>
      </c>
      <c r="F447" s="41">
        <f t="shared" si="85"/>
        <v>1.2030671041042156</v>
      </c>
      <c r="G447" s="44">
        <f>VLOOKUP(A447,'[21]General transpose'!$A$1:$AF$73,26,FALSE)/10^3</f>
        <v>944.10799999999995</v>
      </c>
      <c r="H447" s="16">
        <f t="shared" si="87"/>
        <v>1231.75389</v>
      </c>
      <c r="I447" s="18">
        <f>VLOOKUP(A447,'[21]General transpose'!$A$1:$AF$73,8,FALSE)</f>
        <v>240076</v>
      </c>
      <c r="J447" s="18">
        <f>VLOOKUP(A447,'[21]General transpose'!$A$1:$AF$73,16,FALSE)</f>
        <v>3473</v>
      </c>
      <c r="K447" s="18">
        <f t="shared" si="86"/>
        <v>1966</v>
      </c>
      <c r="L447" s="19">
        <f>VLOOKUP(A447,'[21]General transpose'!$A$1:$AF$73,17,FALSE)</f>
        <v>0.5660811978116902</v>
      </c>
      <c r="M447" s="9"/>
      <c r="N447" s="9"/>
    </row>
    <row r="448" spans="1:14" s="15" customFormat="1">
      <c r="A448" s="15" t="s">
        <v>50</v>
      </c>
      <c r="B448" s="15">
        <v>3005</v>
      </c>
      <c r="C448" s="43">
        <v>2015</v>
      </c>
      <c r="D448" s="15">
        <v>3</v>
      </c>
      <c r="E448" s="17">
        <f>VLOOKUP(A447,[20]Result!$B$12:$D$84,3,FALSE)/10^3</f>
        <v>61775.705999999998</v>
      </c>
      <c r="F448" s="41">
        <f t="shared" si="85"/>
        <v>1.2312762402864634</v>
      </c>
      <c r="G448" s="44">
        <f>VLOOKUP(A447,'[22]General transpose'!$A$1:$AF$73,26,FALSE)/10^3</f>
        <v>980.08699999999999</v>
      </c>
      <c r="H448" s="16">
        <f t="shared" si="87"/>
        <v>1231.75389</v>
      </c>
      <c r="I448" s="18">
        <f>VLOOKUP(A447,'[22]General transpose'!$A$1:$AF$73,8,FALSE)</f>
        <v>241986</v>
      </c>
      <c r="J448" s="18">
        <f>VLOOKUP(A447,'[22]General transpose'!$A$1:$AF$73,16,FALSE)</f>
        <v>3512</v>
      </c>
      <c r="K448" s="18">
        <f t="shared" si="86"/>
        <v>1985.9999999999998</v>
      </c>
      <c r="L448" s="19">
        <f>VLOOKUP(A447,'[22]General transpose'!$A$1:$AF$73,17,FALSE)</f>
        <v>0.56548974943052388</v>
      </c>
      <c r="M448" s="9"/>
      <c r="N448" s="9"/>
    </row>
    <row r="449" spans="1:14" s="15" customFormat="1">
      <c r="A449" s="15" t="s">
        <v>50</v>
      </c>
      <c r="B449" s="15">
        <v>3005</v>
      </c>
      <c r="C449" s="43">
        <v>2016</v>
      </c>
      <c r="D449" s="15">
        <v>3</v>
      </c>
      <c r="E449" s="17">
        <f>'[14]2016 Benchmarking Calculations'!$AJ$8/1000</f>
        <v>60084.978629999998</v>
      </c>
      <c r="F449" s="41">
        <f t="shared" si="85"/>
        <v>1.2455044937824149</v>
      </c>
      <c r="G449" s="44">
        <f>HLOOKUP(A449,[23]General!$A$1:$BQ$23,22,FALSE)/10^3</f>
        <v>1033.4739999999999</v>
      </c>
      <c r="H449" s="16">
        <f t="shared" si="87"/>
        <v>1231.75389</v>
      </c>
      <c r="I449" s="18">
        <f>HLOOKUP(A449,[23]General!$A$1:$BQ$23,9,FALSE)</f>
        <v>244114</v>
      </c>
      <c r="J449" s="18">
        <f>HLOOKUP(A449,[23]General!$A$1:$BQ$23,17,FALSE)</f>
        <v>3521</v>
      </c>
      <c r="K449" s="18">
        <f t="shared" si="86"/>
        <v>2001.0000000000002</v>
      </c>
      <c r="L449" s="19">
        <f>HLOOKUP(A449,[23]General!$A$1:$BQ$23,18,FALSE)</f>
        <v>0.56830445896052262</v>
      </c>
      <c r="M449" s="9"/>
      <c r="N449" s="9"/>
    </row>
    <row r="450" spans="1:14" s="15" customFormat="1">
      <c r="A450" s="15" t="s">
        <v>50</v>
      </c>
      <c r="B450" s="15">
        <v>3005</v>
      </c>
      <c r="C450" s="43">
        <v>2017</v>
      </c>
      <c r="D450" s="15">
        <v>3</v>
      </c>
      <c r="E450" s="17"/>
      <c r="F450" s="41">
        <f t="shared" si="85"/>
        <v>1.2674505553724562</v>
      </c>
      <c r="G450" s="44"/>
      <c r="H450" s="16"/>
      <c r="I450" s="18"/>
      <c r="J450" s="18"/>
      <c r="L450" s="19"/>
      <c r="M450" s="9"/>
      <c r="N450" s="9"/>
    </row>
    <row r="451" spans="1:14" s="15" customFormat="1">
      <c r="A451" s="15" t="s">
        <v>50</v>
      </c>
      <c r="B451" s="15">
        <v>3005</v>
      </c>
      <c r="C451" s="43">
        <v>2018</v>
      </c>
      <c r="D451" s="15">
        <v>3</v>
      </c>
      <c r="E451" s="17"/>
      <c r="F451" s="41">
        <f t="shared" si="85"/>
        <v>1.2994718602728874</v>
      </c>
      <c r="G451" s="44"/>
      <c r="H451" s="16"/>
      <c r="I451" s="18"/>
      <c r="J451" s="18"/>
      <c r="L451" s="19"/>
      <c r="M451" s="9"/>
      <c r="N451" s="9"/>
    </row>
    <row r="452" spans="1:14" s="15" customFormat="1">
      <c r="A452" s="15" t="s">
        <v>50</v>
      </c>
      <c r="B452" s="15">
        <v>3005</v>
      </c>
      <c r="C452" s="43">
        <v>2019</v>
      </c>
      <c r="D452" s="15">
        <v>3</v>
      </c>
      <c r="E452" s="17"/>
      <c r="F452" s="41">
        <f t="shared" si="85"/>
        <v>1.3352608354138498</v>
      </c>
      <c r="G452" s="44"/>
      <c r="H452" s="16"/>
      <c r="I452" s="18"/>
      <c r="J452" s="18"/>
      <c r="L452" s="19"/>
      <c r="M452" s="9"/>
      <c r="N452" s="9"/>
    </row>
    <row r="453" spans="1:14">
      <c r="A453" s="15" t="str">
        <f>'[18]2. BM Database'!B325</f>
        <v>HYDRO 2000 INC.</v>
      </c>
      <c r="B453" s="15">
        <v>3073</v>
      </c>
      <c r="C453" s="43">
        <f>'[18]2. BM Database'!C325</f>
        <v>2005</v>
      </c>
      <c r="D453" s="15">
        <v>3</v>
      </c>
      <c r="E453" s="17">
        <f>'[18]2. BM Database'!F325/1000</f>
        <v>270.94945000000001</v>
      </c>
      <c r="F453" s="41">
        <f t="shared" ref="F453:F467" si="88">F438</f>
        <v>1</v>
      </c>
      <c r="G453" s="44">
        <f>'[18]2. BM Database'!P325/1000</f>
        <v>6.976</v>
      </c>
      <c r="H453" s="16">
        <f>G453</f>
        <v>6.976</v>
      </c>
      <c r="I453" s="18">
        <f>'[18]2. BM Database'!L325</f>
        <v>1130</v>
      </c>
      <c r="J453" s="18">
        <f>'[18]2. BM Database'!R325</f>
        <v>20</v>
      </c>
      <c r="K453" s="18">
        <f t="shared" ref="K453:K464" si="89">J453*L453</f>
        <v>2</v>
      </c>
      <c r="L453" s="19">
        <f>'[18]2. BM Database'!T325</f>
        <v>0.1</v>
      </c>
      <c r="M453" s="9"/>
      <c r="N453" s="9"/>
    </row>
    <row r="454" spans="1:14">
      <c r="A454" s="15" t="str">
        <f>'[18]2. BM Database'!B326</f>
        <v>HYDRO 2000 INC.</v>
      </c>
      <c r="B454" s="15">
        <v>3073</v>
      </c>
      <c r="C454" s="43">
        <f>'[18]2. BM Database'!C326</f>
        <v>2006</v>
      </c>
      <c r="D454" s="15">
        <v>3</v>
      </c>
      <c r="E454" s="17">
        <f>'[18]2. BM Database'!F326/1000</f>
        <v>265.49973</v>
      </c>
      <c r="F454" s="41">
        <f t="shared" si="88"/>
        <v>1.0181607380073696</v>
      </c>
      <c r="G454" s="44">
        <f>'[18]2. BM Database'!P326/1000</f>
        <v>5.9980000000000002</v>
      </c>
      <c r="H454" s="16">
        <f>MAX(G454,H453)</f>
        <v>6.976</v>
      </c>
      <c r="I454" s="18">
        <f>'[18]2. BM Database'!L326</f>
        <v>1138</v>
      </c>
      <c r="J454" s="18">
        <f>'[18]2. BM Database'!R326</f>
        <v>20</v>
      </c>
      <c r="K454" s="18">
        <f t="shared" si="89"/>
        <v>2</v>
      </c>
      <c r="L454" s="19">
        <f>'[18]2. BM Database'!T326</f>
        <v>0.1</v>
      </c>
      <c r="M454" s="9"/>
      <c r="N454" s="9"/>
    </row>
    <row r="455" spans="1:14">
      <c r="A455" s="15" t="str">
        <f>'[18]2. BM Database'!B327</f>
        <v>HYDRO 2000 INC.</v>
      </c>
      <c r="B455" s="15">
        <v>3073</v>
      </c>
      <c r="C455" s="43">
        <f>'[18]2. BM Database'!C327</f>
        <v>2007</v>
      </c>
      <c r="D455" s="15">
        <v>3</v>
      </c>
      <c r="E455" s="17">
        <f>'[18]2. BM Database'!F327/1000</f>
        <v>332.70552000000004</v>
      </c>
      <c r="F455" s="41">
        <f t="shared" si="88"/>
        <v>1.0531931014872313</v>
      </c>
      <c r="G455" s="44">
        <f>'[18]2. BM Database'!P327/1000</f>
        <v>6.5709999999999997</v>
      </c>
      <c r="H455" s="16">
        <f t="shared" ref="H455:H467" si="90">MAX(G455,H454)</f>
        <v>6.976</v>
      </c>
      <c r="I455" s="18">
        <f>'[18]2. BM Database'!L327</f>
        <v>1159</v>
      </c>
      <c r="J455" s="18">
        <f>'[18]2. BM Database'!R327</f>
        <v>21</v>
      </c>
      <c r="K455" s="18">
        <f t="shared" si="89"/>
        <v>3</v>
      </c>
      <c r="L455" s="19">
        <f>'[18]2. BM Database'!T327</f>
        <v>0.14285714285714285</v>
      </c>
      <c r="M455" s="9"/>
      <c r="N455" s="9"/>
    </row>
    <row r="456" spans="1:14">
      <c r="A456" s="15" t="str">
        <f>'[18]2. BM Database'!B328</f>
        <v>HYDRO 2000 INC.</v>
      </c>
      <c r="B456" s="15">
        <v>3073</v>
      </c>
      <c r="C456" s="43">
        <f>'[18]2. BM Database'!C328</f>
        <v>2008</v>
      </c>
      <c r="D456" s="15">
        <v>3</v>
      </c>
      <c r="E456" s="17">
        <f>'[18]2. BM Database'!F328/1000</f>
        <v>343.21871000000004</v>
      </c>
      <c r="F456" s="41">
        <f t="shared" si="88"/>
        <v>1.078564603993923</v>
      </c>
      <c r="G456" s="44">
        <f>'[18]2. BM Database'!P328/1000</f>
        <v>6.1559999999999997</v>
      </c>
      <c r="H456" s="16">
        <f t="shared" si="90"/>
        <v>6.976</v>
      </c>
      <c r="I456" s="18">
        <f>'[18]2. BM Database'!L328</f>
        <v>1177</v>
      </c>
      <c r="J456" s="18">
        <f>'[18]2. BM Database'!R328</f>
        <v>21</v>
      </c>
      <c r="K456" s="18">
        <f t="shared" si="89"/>
        <v>3</v>
      </c>
      <c r="L456" s="19">
        <f>'[18]2. BM Database'!T328</f>
        <v>0.14285714285714285</v>
      </c>
      <c r="M456" s="9"/>
      <c r="N456" s="9"/>
    </row>
    <row r="457" spans="1:14">
      <c r="A457" s="15" t="str">
        <f>'[18]2. BM Database'!B329</f>
        <v>HYDRO 2000 INC.</v>
      </c>
      <c r="B457" s="15">
        <v>3073</v>
      </c>
      <c r="C457" s="43">
        <f>'[18]2. BM Database'!C329</f>
        <v>2009</v>
      </c>
      <c r="D457" s="15">
        <v>3</v>
      </c>
      <c r="E457" s="17">
        <f>'[18]2. BM Database'!F329/1000</f>
        <v>329.88928999999996</v>
      </c>
      <c r="F457" s="41">
        <f t="shared" si="88"/>
        <v>1.0915070880241431</v>
      </c>
      <c r="G457" s="44">
        <f>'[18]2. BM Database'!P329/1000</f>
        <v>7.0090000000000003</v>
      </c>
      <c r="H457" s="16">
        <f t="shared" si="90"/>
        <v>7.0090000000000003</v>
      </c>
      <c r="I457" s="18">
        <f>'[18]2. BM Database'!L329</f>
        <v>1178</v>
      </c>
      <c r="J457" s="18">
        <f>'[18]2. BM Database'!R329</f>
        <v>21</v>
      </c>
      <c r="K457" s="18">
        <f t="shared" si="89"/>
        <v>3</v>
      </c>
      <c r="L457" s="19">
        <f>'[18]2. BM Database'!T329</f>
        <v>0.14285714285714285</v>
      </c>
      <c r="M457" s="9"/>
      <c r="N457" s="9"/>
    </row>
    <row r="458" spans="1:14">
      <c r="A458" s="15" t="str">
        <f>'[18]2. BM Database'!B330</f>
        <v>HYDRO 2000 INC.</v>
      </c>
      <c r="B458" s="15">
        <v>3073</v>
      </c>
      <c r="C458" s="43">
        <f>'[18]2. BM Database'!C330</f>
        <v>2010</v>
      </c>
      <c r="D458" s="15">
        <v>3</v>
      </c>
      <c r="E458" s="17">
        <f>'[18]2. BM Database'!F330/1000</f>
        <v>354.10068999999999</v>
      </c>
      <c r="F458" s="41">
        <f t="shared" si="88"/>
        <v>1.1243125351578573</v>
      </c>
      <c r="G458" s="44">
        <f>'[18]2. BM Database'!P330/1000</f>
        <v>6.133</v>
      </c>
      <c r="H458" s="16">
        <f t="shared" si="90"/>
        <v>7.0090000000000003</v>
      </c>
      <c r="I458" s="18">
        <f>'[18]2. BM Database'!L330</f>
        <v>1196</v>
      </c>
      <c r="J458" s="18">
        <f>'[18]2. BM Database'!R330</f>
        <v>21</v>
      </c>
      <c r="K458" s="18">
        <f t="shared" si="89"/>
        <v>3</v>
      </c>
      <c r="L458" s="19">
        <f>'[18]2. BM Database'!T330</f>
        <v>0.14285714285714285</v>
      </c>
      <c r="M458" s="9"/>
      <c r="N458" s="9"/>
    </row>
    <row r="459" spans="1:14">
      <c r="A459" s="15" t="str">
        <f>'[18]2. BM Database'!B331</f>
        <v>HYDRO 2000 INC.</v>
      </c>
      <c r="B459" s="15">
        <v>3073</v>
      </c>
      <c r="C459" s="43">
        <f>'[18]2. BM Database'!C331</f>
        <v>2011</v>
      </c>
      <c r="D459" s="15">
        <v>3</v>
      </c>
      <c r="E459" s="17">
        <f>'[18]2. BM Database'!F331/1000</f>
        <v>399.59345999999999</v>
      </c>
      <c r="F459" s="41">
        <f t="shared" si="88"/>
        <v>1.1430978626415853</v>
      </c>
      <c r="G459" s="44">
        <f>'[18]2. BM Database'!P331/1000</f>
        <v>6.3680000000000003</v>
      </c>
      <c r="H459" s="16">
        <f t="shared" si="90"/>
        <v>7.0090000000000003</v>
      </c>
      <c r="I459" s="18">
        <f>'[18]2. BM Database'!L331</f>
        <v>1208</v>
      </c>
      <c r="J459" s="18">
        <f>'[18]2. BM Database'!R331</f>
        <v>21</v>
      </c>
      <c r="K459" s="18">
        <f t="shared" si="89"/>
        <v>3</v>
      </c>
      <c r="L459" s="19">
        <f>'[18]2. BM Database'!T331</f>
        <v>0.14285714285714285</v>
      </c>
      <c r="M459" s="9"/>
      <c r="N459" s="9"/>
    </row>
    <row r="460" spans="1:14">
      <c r="A460" s="15" t="str">
        <f>'[18]2. BM Database'!B332</f>
        <v>HYDRO 2000 INC.</v>
      </c>
      <c r="B460" s="15">
        <v>3073</v>
      </c>
      <c r="C460" s="43">
        <f>'[18]2. BM Database'!C332</f>
        <v>2012</v>
      </c>
      <c r="D460" s="15">
        <v>3</v>
      </c>
      <c r="E460" s="17">
        <f>'[18]2. BM Database'!F332/1000</f>
        <v>488.45544569999998</v>
      </c>
      <c r="F460" s="41">
        <f t="shared" si="88"/>
        <v>1.160126854517312</v>
      </c>
      <c r="G460" s="44">
        <f>'[18]2. BM Database'!P332/1000</f>
        <v>5.8159999999999998</v>
      </c>
      <c r="H460" s="16">
        <f t="shared" si="90"/>
        <v>7.0090000000000003</v>
      </c>
      <c r="I460" s="18">
        <f>'[18]2. BM Database'!L332</f>
        <v>1216</v>
      </c>
      <c r="J460" s="18">
        <f>'[18]2. BM Database'!R332</f>
        <v>21</v>
      </c>
      <c r="K460" s="18">
        <f t="shared" si="89"/>
        <v>3</v>
      </c>
      <c r="L460" s="19">
        <f>'[18]2. BM Database'!T332</f>
        <v>0.14285714285714285</v>
      </c>
      <c r="M460" s="9"/>
      <c r="N460" s="9"/>
    </row>
    <row r="461" spans="1:14" s="15" customFormat="1">
      <c r="A461" s="15" t="s">
        <v>51</v>
      </c>
      <c r="B461" s="15">
        <v>3073</v>
      </c>
      <c r="C461" s="43">
        <v>2013</v>
      </c>
      <c r="D461" s="15">
        <v>3</v>
      </c>
      <c r="E461" s="17">
        <f>HLOOKUP(A461,'[19]2013 Benchmarking Calculations'!$I$3:$CC$76,6,FALSE)/1000</f>
        <v>504.54119000000009</v>
      </c>
      <c r="F461" s="41">
        <f t="shared" si="88"/>
        <v>1.178602141578931</v>
      </c>
      <c r="G461" s="44">
        <f>HLOOKUP(A461,'[19]2013 Benchmarking Calculations'!$I$3:$CC$76,57,FALSE)/1000</f>
        <v>6.2009999999999996</v>
      </c>
      <c r="H461" s="16">
        <f t="shared" si="90"/>
        <v>7.0090000000000003</v>
      </c>
      <c r="I461" s="18">
        <f>HLOOKUP(A461,'[19]2013 Benchmarking Calculations'!$I$3:$CC$76,53,FALSE)</f>
        <v>1220</v>
      </c>
      <c r="J461" s="18">
        <f>HLOOKUP(A461,'[19]2013 Benchmarking Calculations'!$I$3:$CC$76,71,FALSE)</f>
        <v>21</v>
      </c>
      <c r="K461" s="18">
        <f t="shared" si="89"/>
        <v>3</v>
      </c>
      <c r="L461" s="19">
        <f>HLOOKUP(A461,'[19]2013 PBR data '!B$42:BV$68,15,FALSE)/HLOOKUP(A461,'[19]2013 PBR data '!B$42:BV$68,13,FALSE)</f>
        <v>0.14285714285714285</v>
      </c>
      <c r="M461" s="9"/>
      <c r="N461" s="9"/>
    </row>
    <row r="462" spans="1:14" s="15" customFormat="1">
      <c r="A462" s="15" t="s">
        <v>51</v>
      </c>
      <c r="B462" s="15">
        <v>3073</v>
      </c>
      <c r="C462" s="43">
        <v>2014</v>
      </c>
      <c r="D462" s="15">
        <v>3</v>
      </c>
      <c r="E462" s="17">
        <f>VLOOKUP(A462,[20]Result!$B$12:$D$84,2,FALSE)/10^3</f>
        <v>440.68200000000002</v>
      </c>
      <c r="F462" s="41">
        <f t="shared" si="88"/>
        <v>1.2030671041042156</v>
      </c>
      <c r="G462" s="44">
        <f>VLOOKUP(A462,'[21]General transpose'!$A$1:$AF$73,26,FALSE)/10^3</f>
        <v>6.2130000000000001</v>
      </c>
      <c r="H462" s="16">
        <f t="shared" si="90"/>
        <v>7.0090000000000003</v>
      </c>
      <c r="I462" s="18">
        <f>VLOOKUP(A462,'[21]General transpose'!$A$1:$AF$73,8,FALSE)</f>
        <v>1221</v>
      </c>
      <c r="J462" s="18">
        <f>VLOOKUP(A462,'[21]General transpose'!$A$1:$AF$73,16,FALSE)</f>
        <v>21</v>
      </c>
      <c r="K462" s="18">
        <f t="shared" si="89"/>
        <v>3</v>
      </c>
      <c r="L462" s="19">
        <f>VLOOKUP(A462,'[21]General transpose'!$A$1:$AF$73,17,FALSE)</f>
        <v>0.14285714285714285</v>
      </c>
      <c r="M462" s="9"/>
      <c r="N462" s="9"/>
    </row>
    <row r="463" spans="1:14" s="15" customFormat="1">
      <c r="A463" s="15" t="s">
        <v>51</v>
      </c>
      <c r="B463" s="15">
        <v>3073</v>
      </c>
      <c r="C463" s="43">
        <v>2015</v>
      </c>
      <c r="D463" s="15">
        <v>3</v>
      </c>
      <c r="E463" s="17">
        <f>VLOOKUP(A462,[20]Result!$B$12:$D$84,3,FALSE)/10^3</f>
        <v>517.39400000000001</v>
      </c>
      <c r="F463" s="41">
        <f t="shared" si="88"/>
        <v>1.2312762402864634</v>
      </c>
      <c r="G463" s="44">
        <f>VLOOKUP(A462,'[22]General transpose'!$A$1:$AF$73,26,FALSE)/10^3</f>
        <v>5.5869999999999997</v>
      </c>
      <c r="H463" s="16">
        <f t="shared" si="90"/>
        <v>7.0090000000000003</v>
      </c>
      <c r="I463" s="18">
        <f>VLOOKUP(A462,'[22]General transpose'!$A$1:$AF$73,8,FALSE)</f>
        <v>1225</v>
      </c>
      <c r="J463" s="18">
        <f>VLOOKUP(A462,'[22]General transpose'!$A$1:$AF$73,16,FALSE)</f>
        <v>21</v>
      </c>
      <c r="K463" s="18">
        <f t="shared" si="89"/>
        <v>3</v>
      </c>
      <c r="L463" s="19">
        <f>VLOOKUP(A462,'[22]General transpose'!$A$1:$AF$73,17,FALSE)</f>
        <v>0.14285714285714285</v>
      </c>
      <c r="M463" s="9"/>
      <c r="N463" s="9"/>
    </row>
    <row r="464" spans="1:14" s="15" customFormat="1">
      <c r="A464" s="15" t="s">
        <v>51</v>
      </c>
      <c r="B464" s="15">
        <v>3073</v>
      </c>
      <c r="C464" s="43">
        <v>2016</v>
      </c>
      <c r="D464" s="15">
        <v>3</v>
      </c>
      <c r="E464" s="17">
        <f>'[14]2016 Benchmarking Calculations'!$AK$8/1000</f>
        <v>514.94220999999993</v>
      </c>
      <c r="F464" s="41">
        <f t="shared" si="88"/>
        <v>1.2455044937824149</v>
      </c>
      <c r="G464" s="44">
        <f>HLOOKUP(A464,[23]General!$A$1:$BQ$23,22,FALSE)/10^3</f>
        <v>5.59</v>
      </c>
      <c r="H464" s="16">
        <f t="shared" si="90"/>
        <v>7.0090000000000003</v>
      </c>
      <c r="I464" s="18">
        <f>HLOOKUP(A464,[23]General!$A$1:$BQ$23,9,FALSE)</f>
        <v>1327</v>
      </c>
      <c r="J464" s="18">
        <f>HLOOKUP(A464,[23]General!$A$1:$BQ$23,17,FALSE)</f>
        <v>21</v>
      </c>
      <c r="K464" s="18">
        <f t="shared" si="89"/>
        <v>3</v>
      </c>
      <c r="L464" s="19">
        <f>HLOOKUP(A464,[23]General!$A$1:$BQ$23,18,FALSE)</f>
        <v>0.14285714285714285</v>
      </c>
      <c r="M464" s="9"/>
      <c r="N464" s="9"/>
    </row>
    <row r="465" spans="1:14" s="15" customFormat="1">
      <c r="A465" s="15" t="s">
        <v>51</v>
      </c>
      <c r="B465" s="15">
        <v>3073</v>
      </c>
      <c r="C465" s="43">
        <v>2017</v>
      </c>
      <c r="D465" s="15">
        <v>3</v>
      </c>
      <c r="E465" s="17">
        <f>'[14]2017 Benchmarking Calculations'!$AM$9/1000</f>
        <v>573.24386000000004</v>
      </c>
      <c r="F465" s="41">
        <f t="shared" si="88"/>
        <v>1.2674505553724562</v>
      </c>
      <c r="G465" s="44">
        <f>'[14]2017 Benchmarking Calculations'!$AM$60/1000</f>
        <v>5.59</v>
      </c>
      <c r="H465" s="16">
        <f t="shared" si="90"/>
        <v>7.0090000000000003</v>
      </c>
      <c r="I465" s="18">
        <f>'[14]2017 Benchmarking Calculations'!$AM$56</f>
        <v>1254</v>
      </c>
      <c r="J465" s="18">
        <f>'[14]2017 Utility Characteristics'!$AD$79</f>
        <v>21</v>
      </c>
      <c r="K465" s="15">
        <f>'[14]2017 Utility Characteristics'!$AD$81</f>
        <v>3</v>
      </c>
      <c r="L465" s="19">
        <f>K465/J465</f>
        <v>0.14285714285714285</v>
      </c>
      <c r="M465" s="9"/>
      <c r="N465" s="9"/>
    </row>
    <row r="466" spans="1:14" s="15" customFormat="1">
      <c r="A466" s="15" t="s">
        <v>51</v>
      </c>
      <c r="B466" s="15">
        <v>3073</v>
      </c>
      <c r="C466" s="43">
        <v>2018</v>
      </c>
      <c r="D466" s="15">
        <v>3</v>
      </c>
      <c r="E466" s="17">
        <f>'[16]2018 Benchmarking Calculations'!$AM$10/1000</f>
        <v>546.52436</v>
      </c>
      <c r="F466" s="41">
        <f t="shared" si="88"/>
        <v>1.2994718602728874</v>
      </c>
      <c r="G466" s="44">
        <f>'[16]2018 Benchmarking Calculations'!$AM$61/1000</f>
        <v>5.4669999999999996</v>
      </c>
      <c r="H466" s="16">
        <f t="shared" si="90"/>
        <v>7.0090000000000003</v>
      </c>
      <c r="I466" s="18">
        <f>'[16]2018 Benchmarking Calculations'!$AM$57</f>
        <v>1262</v>
      </c>
      <c r="J466" s="18">
        <f>'[16]2018 Utility Characteristics'!$AG$103</f>
        <v>21</v>
      </c>
      <c r="K466" s="18">
        <f>'[16]2018 Utility Characteristics'!$AG$105</f>
        <v>3</v>
      </c>
      <c r="L466" s="19">
        <f>K466/J466</f>
        <v>0.14285714285714285</v>
      </c>
      <c r="M466" s="9"/>
      <c r="N466" s="9"/>
    </row>
    <row r="467" spans="1:14" s="15" customFormat="1">
      <c r="A467" s="15" t="s">
        <v>51</v>
      </c>
      <c r="B467" s="15">
        <v>3073</v>
      </c>
      <c r="C467" s="43">
        <v>2019</v>
      </c>
      <c r="D467" s="15">
        <v>3</v>
      </c>
      <c r="E467" s="17">
        <f>'[17]2019 Benchmarking Calculations'!$AM$10/1000</f>
        <v>506.16425999999996</v>
      </c>
      <c r="F467" s="41">
        <f t="shared" si="88"/>
        <v>1.3352608354138498</v>
      </c>
      <c r="G467" s="44">
        <f>'[17]2019 Benchmarking Calculations'!$AM$61/1000</f>
        <v>5.21</v>
      </c>
      <c r="H467" s="16">
        <f t="shared" si="90"/>
        <v>7.0090000000000003</v>
      </c>
      <c r="I467" s="18">
        <f>'[17]2019 Benchmarking Calculations'!$AM$57</f>
        <v>1244</v>
      </c>
      <c r="J467" s="18">
        <f>'[17]2019 Utility Characteristics'!$AG$13</f>
        <v>21</v>
      </c>
      <c r="K467" s="18">
        <f>'[17]2019 Utility Characteristics'!$AG$18</f>
        <v>3</v>
      </c>
      <c r="L467" s="19">
        <f>K467/J467</f>
        <v>0.14285714285714285</v>
      </c>
      <c r="M467" s="9"/>
      <c r="N467" s="9"/>
    </row>
    <row r="468" spans="1:14">
      <c r="A468" s="15" t="str">
        <f>'[18]2. BM Database'!B336</f>
        <v>HYDRO HAWKESBURY INC.</v>
      </c>
      <c r="B468" s="15">
        <v>3060</v>
      </c>
      <c r="C468" s="43">
        <f>'[18]2. BM Database'!C336</f>
        <v>2005</v>
      </c>
      <c r="D468" s="15">
        <v>3</v>
      </c>
      <c r="E468" s="17">
        <f>'[18]2. BM Database'!F336/1000</f>
        <v>711.85811999999999</v>
      </c>
      <c r="F468" s="41">
        <f t="shared" ref="F468:F482" si="91">F453</f>
        <v>1</v>
      </c>
      <c r="G468" s="44">
        <f>'[18]2. BM Database'!P336/1000</f>
        <v>37.386000000000003</v>
      </c>
      <c r="H468" s="16">
        <f>G468</f>
        <v>37.386000000000003</v>
      </c>
      <c r="I468" s="18">
        <f>'[18]2. BM Database'!L336</f>
        <v>5248</v>
      </c>
      <c r="J468" s="18">
        <f>'[18]2. BM Database'!R336</f>
        <v>65</v>
      </c>
      <c r="K468" s="18">
        <f t="shared" ref="K468:K479" si="92">J468*L468</f>
        <v>8</v>
      </c>
      <c r="L468" s="19">
        <f>'[18]2. BM Database'!T336</f>
        <v>0.12307692307692308</v>
      </c>
      <c r="M468" s="9"/>
      <c r="N468" s="9"/>
    </row>
    <row r="469" spans="1:14">
      <c r="A469" s="15" t="str">
        <f>'[18]2. BM Database'!B337</f>
        <v>HYDRO HAWKESBURY INC.</v>
      </c>
      <c r="B469" s="15">
        <v>3060</v>
      </c>
      <c r="C469" s="43">
        <f>'[18]2. BM Database'!C337</f>
        <v>2006</v>
      </c>
      <c r="D469" s="15">
        <v>3</v>
      </c>
      <c r="E469" s="17">
        <f>'[18]2. BM Database'!F337/1000</f>
        <v>659.32283999999993</v>
      </c>
      <c r="F469" s="41">
        <f t="shared" si="91"/>
        <v>1.0181607380073696</v>
      </c>
      <c r="G469" s="44">
        <f>'[18]2. BM Database'!P337/1000</f>
        <v>37.012</v>
      </c>
      <c r="H469" s="16">
        <f>MAX(G469,H468)</f>
        <v>37.386000000000003</v>
      </c>
      <c r="I469" s="18">
        <f>'[18]2. BM Database'!L337</f>
        <v>5286</v>
      </c>
      <c r="J469" s="18">
        <f>'[18]2. BM Database'!R337</f>
        <v>65</v>
      </c>
      <c r="K469" s="18">
        <f t="shared" si="92"/>
        <v>9</v>
      </c>
      <c r="L469" s="19">
        <f>'[18]2. BM Database'!T337</f>
        <v>0.13846153846153847</v>
      </c>
      <c r="M469" s="9"/>
      <c r="N469" s="9"/>
    </row>
    <row r="470" spans="1:14">
      <c r="A470" s="15" t="str">
        <f>'[18]2. BM Database'!B338</f>
        <v>HYDRO HAWKESBURY INC.</v>
      </c>
      <c r="B470" s="15">
        <v>3060</v>
      </c>
      <c r="C470" s="43">
        <f>'[18]2. BM Database'!C338</f>
        <v>2007</v>
      </c>
      <c r="D470" s="15">
        <v>3</v>
      </c>
      <c r="E470" s="17">
        <f>'[18]2. BM Database'!F338/1000</f>
        <v>740.57132000000001</v>
      </c>
      <c r="F470" s="41">
        <f t="shared" si="91"/>
        <v>1.0531931014872313</v>
      </c>
      <c r="G470" s="44">
        <f>'[18]2. BM Database'!P338/1000</f>
        <v>37.11</v>
      </c>
      <c r="H470" s="16">
        <f t="shared" ref="H470:H482" si="93">MAX(G470,H469)</f>
        <v>37.386000000000003</v>
      </c>
      <c r="I470" s="18">
        <f>'[18]2. BM Database'!L338</f>
        <v>5428</v>
      </c>
      <c r="J470" s="18">
        <f>'[18]2. BM Database'!R338</f>
        <v>65</v>
      </c>
      <c r="K470" s="18">
        <f t="shared" si="92"/>
        <v>9</v>
      </c>
      <c r="L470" s="19">
        <f>'[18]2. BM Database'!T338</f>
        <v>0.13846153846153847</v>
      </c>
      <c r="M470" s="9"/>
      <c r="N470" s="9"/>
    </row>
    <row r="471" spans="1:14">
      <c r="A471" s="15" t="str">
        <f>'[18]2. BM Database'!B339</f>
        <v>HYDRO HAWKESBURY INC.</v>
      </c>
      <c r="B471" s="15">
        <v>3060</v>
      </c>
      <c r="C471" s="43">
        <f>'[18]2. BM Database'!C339</f>
        <v>2008</v>
      </c>
      <c r="D471" s="15">
        <v>3</v>
      </c>
      <c r="E471" s="17">
        <f>'[18]2. BM Database'!F339/1000</f>
        <v>767.31416999999988</v>
      </c>
      <c r="F471" s="41">
        <f t="shared" si="91"/>
        <v>1.078564603993923</v>
      </c>
      <c r="G471" s="44">
        <f>'[18]2. BM Database'!P339/1000</f>
        <v>35.335000000000001</v>
      </c>
      <c r="H471" s="16">
        <f t="shared" si="93"/>
        <v>37.386000000000003</v>
      </c>
      <c r="I471" s="18">
        <f>'[18]2. BM Database'!L339</f>
        <v>5375</v>
      </c>
      <c r="J471" s="18">
        <f>'[18]2. BM Database'!R339</f>
        <v>65</v>
      </c>
      <c r="K471" s="18">
        <f t="shared" si="92"/>
        <v>9</v>
      </c>
      <c r="L471" s="19">
        <f>'[18]2. BM Database'!T339</f>
        <v>0.13846153846153847</v>
      </c>
      <c r="M471" s="9"/>
      <c r="N471" s="9"/>
    </row>
    <row r="472" spans="1:14">
      <c r="A472" s="15" t="str">
        <f>'[18]2. BM Database'!B340</f>
        <v>HYDRO HAWKESBURY INC.</v>
      </c>
      <c r="B472" s="15">
        <v>3060</v>
      </c>
      <c r="C472" s="43">
        <f>'[18]2. BM Database'!C340</f>
        <v>2009</v>
      </c>
      <c r="D472" s="15">
        <v>3</v>
      </c>
      <c r="E472" s="17">
        <f>'[18]2. BM Database'!F340/1000</f>
        <v>765.80445999999995</v>
      </c>
      <c r="F472" s="41">
        <f t="shared" si="91"/>
        <v>1.0915070880241431</v>
      </c>
      <c r="G472" s="44">
        <f>'[18]2. BM Database'!P340/1000</f>
        <v>35.692999999999998</v>
      </c>
      <c r="H472" s="16">
        <f t="shared" si="93"/>
        <v>37.386000000000003</v>
      </c>
      <c r="I472" s="18">
        <f>'[18]2. BM Database'!L340</f>
        <v>5449</v>
      </c>
      <c r="J472" s="18">
        <f>'[18]2. BM Database'!R340</f>
        <v>66</v>
      </c>
      <c r="K472" s="18">
        <f t="shared" si="92"/>
        <v>10</v>
      </c>
      <c r="L472" s="19">
        <f>'[18]2. BM Database'!T340</f>
        <v>0.15151515151515152</v>
      </c>
      <c r="M472" s="9"/>
      <c r="N472" s="9"/>
    </row>
    <row r="473" spans="1:14">
      <c r="A473" s="15" t="str">
        <f>'[18]2. BM Database'!B341</f>
        <v>HYDRO HAWKESBURY INC.</v>
      </c>
      <c r="B473" s="15">
        <v>3060</v>
      </c>
      <c r="C473" s="43">
        <f>'[18]2. BM Database'!C341</f>
        <v>2010</v>
      </c>
      <c r="D473" s="15">
        <v>3</v>
      </c>
      <c r="E473" s="17">
        <f>'[18]2. BM Database'!F341/1000</f>
        <v>818.23311000000012</v>
      </c>
      <c r="F473" s="41">
        <f t="shared" si="91"/>
        <v>1.1243125351578573</v>
      </c>
      <c r="G473" s="44">
        <f>'[18]2. BM Database'!P341/1000</f>
        <v>30.183</v>
      </c>
      <c r="H473" s="16">
        <f t="shared" si="93"/>
        <v>37.386000000000003</v>
      </c>
      <c r="I473" s="18">
        <f>'[18]2. BM Database'!L341</f>
        <v>5496</v>
      </c>
      <c r="J473" s="18">
        <f>'[18]2. BM Database'!R341</f>
        <v>66</v>
      </c>
      <c r="K473" s="18">
        <f t="shared" si="92"/>
        <v>10</v>
      </c>
      <c r="L473" s="19">
        <f>'[18]2. BM Database'!T341</f>
        <v>0.15151515151515152</v>
      </c>
      <c r="M473" s="9"/>
      <c r="N473" s="9"/>
    </row>
    <row r="474" spans="1:14">
      <c r="A474" s="15" t="str">
        <f>'[18]2. BM Database'!B342</f>
        <v>HYDRO HAWKESBURY INC.</v>
      </c>
      <c r="B474" s="15">
        <v>3060</v>
      </c>
      <c r="C474" s="43">
        <f>'[18]2. BM Database'!C342</f>
        <v>2011</v>
      </c>
      <c r="D474" s="15">
        <v>3</v>
      </c>
      <c r="E474" s="17">
        <f>'[18]2. BM Database'!F342/1000</f>
        <v>881.60538999999994</v>
      </c>
      <c r="F474" s="41">
        <f t="shared" si="91"/>
        <v>1.1430978626415853</v>
      </c>
      <c r="G474" s="44">
        <f>'[18]2. BM Database'!P342/1000</f>
        <v>31.966000000000001</v>
      </c>
      <c r="H474" s="16">
        <f t="shared" si="93"/>
        <v>37.386000000000003</v>
      </c>
      <c r="I474" s="18">
        <f>'[18]2. BM Database'!L342</f>
        <v>5521</v>
      </c>
      <c r="J474" s="18">
        <f>'[18]2. BM Database'!R342</f>
        <v>66</v>
      </c>
      <c r="K474" s="18">
        <f t="shared" si="92"/>
        <v>10</v>
      </c>
      <c r="L474" s="19">
        <f>'[18]2. BM Database'!T342</f>
        <v>0.15151515151515152</v>
      </c>
      <c r="M474" s="9"/>
      <c r="N474" s="9"/>
    </row>
    <row r="475" spans="1:14">
      <c r="A475" s="15" t="str">
        <f>'[18]2. BM Database'!B343</f>
        <v>HYDRO HAWKESBURY INC.</v>
      </c>
      <c r="B475" s="15">
        <v>3060</v>
      </c>
      <c r="C475" s="43">
        <f>'[18]2. BM Database'!C343</f>
        <v>2012</v>
      </c>
      <c r="D475" s="15">
        <v>3</v>
      </c>
      <c r="E475" s="17">
        <f>'[18]2. BM Database'!F343/1000</f>
        <v>964.3055968000001</v>
      </c>
      <c r="F475" s="41">
        <f t="shared" si="91"/>
        <v>1.160126854517312</v>
      </c>
      <c r="G475" s="44">
        <f>'[18]2. BM Database'!P343</f>
        <v>29</v>
      </c>
      <c r="H475" s="16">
        <f t="shared" si="93"/>
        <v>37.386000000000003</v>
      </c>
      <c r="I475" s="18">
        <f>'[18]2. BM Database'!L343</f>
        <v>5579</v>
      </c>
      <c r="J475" s="18">
        <f>'[18]2. BM Database'!R343</f>
        <v>66</v>
      </c>
      <c r="K475" s="18">
        <f t="shared" si="92"/>
        <v>10</v>
      </c>
      <c r="L475" s="19">
        <f>'[18]2. BM Database'!T343</f>
        <v>0.15151515151515152</v>
      </c>
      <c r="M475" s="9"/>
      <c r="N475" s="9"/>
    </row>
    <row r="476" spans="1:14" s="15" customFormat="1">
      <c r="A476" s="15" t="s">
        <v>52</v>
      </c>
      <c r="B476" s="15">
        <v>3060</v>
      </c>
      <c r="C476" s="43">
        <v>2013</v>
      </c>
      <c r="D476" s="15">
        <v>3</v>
      </c>
      <c r="E476" s="17">
        <f>HLOOKUP(A476,'[19]2013 Benchmarking Calculations'!$I$3:$CC$76,6,FALSE)/1000</f>
        <v>1084.2319399999999</v>
      </c>
      <c r="F476" s="41">
        <f t="shared" si="91"/>
        <v>1.178602141578931</v>
      </c>
      <c r="G476" s="44">
        <f>HLOOKUP(A476,'[19]2013 Benchmarking Calculations'!$I$3:$CC$76,57,FALSE)</f>
        <v>33</v>
      </c>
      <c r="H476" s="16">
        <f t="shared" si="93"/>
        <v>37.386000000000003</v>
      </c>
      <c r="I476" s="18">
        <f>HLOOKUP(A476,'[19]2013 Benchmarking Calculations'!$I$3:$CC$76,53,FALSE)</f>
        <v>5517</v>
      </c>
      <c r="J476" s="18">
        <f>HLOOKUP(A476,'[19]2013 Benchmarking Calculations'!$I$3:$CC$76,71,FALSE)</f>
        <v>68</v>
      </c>
      <c r="K476" s="18">
        <f t="shared" si="92"/>
        <v>11</v>
      </c>
      <c r="L476" s="19">
        <f>HLOOKUP(A476,'[19]2013 PBR data '!B$42:BV$68,15,FALSE)/HLOOKUP(A476,'[19]2013 PBR data '!B$42:BV$68,13,FALSE)</f>
        <v>0.16176470588235295</v>
      </c>
      <c r="M476" s="9"/>
      <c r="N476" s="9"/>
    </row>
    <row r="477" spans="1:14" s="15" customFormat="1">
      <c r="A477" s="15" t="s">
        <v>52</v>
      </c>
      <c r="B477" s="15">
        <v>3060</v>
      </c>
      <c r="C477" s="43">
        <v>2014</v>
      </c>
      <c r="D477" s="15">
        <v>3</v>
      </c>
      <c r="E477" s="17">
        <f>VLOOKUP(A477,[20]Result!$B$12:$D$84,2,FALSE)/10^3</f>
        <v>944.39099999999996</v>
      </c>
      <c r="F477" s="41">
        <f t="shared" si="91"/>
        <v>1.2030671041042156</v>
      </c>
      <c r="G477" s="44">
        <f>VLOOKUP(A477,'[21]General transpose'!$A$1:$AF$73,26,FALSE)/10^3</f>
        <v>33.820999999999998</v>
      </c>
      <c r="H477" s="16">
        <f t="shared" si="93"/>
        <v>37.386000000000003</v>
      </c>
      <c r="I477" s="18">
        <f>VLOOKUP(A477,'[21]General transpose'!$A$1:$AF$73,8,FALSE)</f>
        <v>5499</v>
      </c>
      <c r="J477" s="18">
        <f>VLOOKUP(A477,'[21]General transpose'!$A$1:$AF$73,16,FALSE)</f>
        <v>68</v>
      </c>
      <c r="K477" s="18">
        <f t="shared" si="92"/>
        <v>11</v>
      </c>
      <c r="L477" s="19">
        <f>VLOOKUP(A477,'[21]General transpose'!$A$1:$AF$73,17,FALSE)</f>
        <v>0.16176470588235295</v>
      </c>
      <c r="M477" s="9"/>
      <c r="N477" s="9"/>
    </row>
    <row r="478" spans="1:14" s="15" customFormat="1">
      <c r="A478" s="15" t="s">
        <v>52</v>
      </c>
      <c r="B478" s="15">
        <v>3060</v>
      </c>
      <c r="C478" s="43">
        <v>2015</v>
      </c>
      <c r="D478" s="15">
        <v>3</v>
      </c>
      <c r="E478" s="17">
        <f>VLOOKUP(A477,[20]Result!$B$12:$D$84,3,FALSE)/10^3</f>
        <v>894.85199999999998</v>
      </c>
      <c r="F478" s="41">
        <f t="shared" si="91"/>
        <v>1.2312762402864634</v>
      </c>
      <c r="G478" s="44">
        <f>VLOOKUP(A477,'[22]General transpose'!$A$1:$AF$73,26,FALSE)/10^3</f>
        <v>33.17</v>
      </c>
      <c r="H478" s="16">
        <f t="shared" si="93"/>
        <v>37.386000000000003</v>
      </c>
      <c r="I478" s="18">
        <f>VLOOKUP(A477,'[22]General transpose'!$A$1:$AF$73,8,FALSE)</f>
        <v>5510</v>
      </c>
      <c r="J478" s="18">
        <f>VLOOKUP(A477,'[22]General transpose'!$A$1:$AF$73,16,FALSE)</f>
        <v>68</v>
      </c>
      <c r="K478" s="18">
        <f t="shared" si="92"/>
        <v>11</v>
      </c>
      <c r="L478" s="19">
        <f>VLOOKUP(A477,'[22]General transpose'!$A$1:$AF$73,17,FALSE)</f>
        <v>0.16176470588235295</v>
      </c>
      <c r="M478" s="9"/>
      <c r="N478" s="9"/>
    </row>
    <row r="479" spans="1:14" s="15" customFormat="1">
      <c r="A479" s="15" t="s">
        <v>52</v>
      </c>
      <c r="B479" s="15">
        <v>3060</v>
      </c>
      <c r="C479" s="43">
        <v>2016</v>
      </c>
      <c r="D479" s="15">
        <v>3</v>
      </c>
      <c r="E479" s="17">
        <f>'[14]2016 Benchmarking Calculations'!$AL$8/1000</f>
        <v>956.64296999999999</v>
      </c>
      <c r="F479" s="41">
        <f t="shared" si="91"/>
        <v>1.2455044937824149</v>
      </c>
      <c r="G479" s="44">
        <f>HLOOKUP(A479,[23]General!$A$1:$BQ$23,22,FALSE)/10^3</f>
        <v>30.783000000000001</v>
      </c>
      <c r="H479" s="16">
        <f t="shared" si="93"/>
        <v>37.386000000000003</v>
      </c>
      <c r="I479" s="18">
        <f>HLOOKUP(A479,[23]General!$A$1:$BQ$23,9,FALSE)</f>
        <v>5531</v>
      </c>
      <c r="J479" s="18">
        <f>HLOOKUP(A479,[23]General!$A$1:$BQ$23,17,FALSE)</f>
        <v>69</v>
      </c>
      <c r="K479" s="18">
        <f t="shared" si="92"/>
        <v>12</v>
      </c>
      <c r="L479" s="19">
        <f>HLOOKUP(A479,[23]General!$A$1:$BQ$23,18,FALSE)</f>
        <v>0.17391304347826086</v>
      </c>
      <c r="M479" s="9"/>
      <c r="N479" s="9"/>
    </row>
    <row r="480" spans="1:14" s="15" customFormat="1">
      <c r="A480" s="15" t="s">
        <v>52</v>
      </c>
      <c r="B480" s="15">
        <v>3060</v>
      </c>
      <c r="C480" s="43">
        <v>2017</v>
      </c>
      <c r="D480" s="15">
        <v>3</v>
      </c>
      <c r="E480" s="17">
        <f>'[14]2017 Benchmarking Calculations'!$AN$9/1000</f>
        <v>1067.9383300000002</v>
      </c>
      <c r="F480" s="41">
        <f t="shared" si="91"/>
        <v>1.2674505553724562</v>
      </c>
      <c r="G480" s="44">
        <f>'[14]2017 Benchmarking Calculations'!$AN$60/1000</f>
        <v>27.794</v>
      </c>
      <c r="H480" s="16">
        <f t="shared" si="93"/>
        <v>37.386000000000003</v>
      </c>
      <c r="I480" s="18">
        <f>'[14]2017 Benchmarking Calculations'!$AN$56</f>
        <v>5534</v>
      </c>
      <c r="J480" s="18">
        <f>'[14]2017 Utility Characteristics'!$AE$79</f>
        <v>69</v>
      </c>
      <c r="K480" s="15">
        <f>'[14]2017 Utility Characteristics'!$AE$81</f>
        <v>12</v>
      </c>
      <c r="L480" s="19">
        <f>K480/J480</f>
        <v>0.17391304347826086</v>
      </c>
      <c r="M480" s="9"/>
      <c r="N480" s="9"/>
    </row>
    <row r="481" spans="1:14" s="15" customFormat="1">
      <c r="A481" s="15" t="s">
        <v>52</v>
      </c>
      <c r="B481" s="15">
        <v>3060</v>
      </c>
      <c r="C481" s="43">
        <v>2018</v>
      </c>
      <c r="D481" s="15">
        <v>3</v>
      </c>
      <c r="E481" s="17">
        <f>'[16]2018 Benchmarking Calculations'!$AN$10/1000</f>
        <v>1120.61988</v>
      </c>
      <c r="F481" s="41">
        <f t="shared" si="91"/>
        <v>1.2994718602728874</v>
      </c>
      <c r="G481" s="44">
        <f>'[16]2018 Benchmarking Calculations'!$AN$61/1000</f>
        <v>28.620999999999999</v>
      </c>
      <c r="H481" s="16">
        <f t="shared" si="93"/>
        <v>37.386000000000003</v>
      </c>
      <c r="I481" s="18">
        <f>'[16]2018 Benchmarking Calculations'!$AN$57</f>
        <v>5547</v>
      </c>
      <c r="J481" s="18">
        <f>'[16]2018 Utility Characteristics'!$AH$103</f>
        <v>70</v>
      </c>
      <c r="K481" s="18">
        <f>'[16]2018 Utility Characteristics'!$AH$105</f>
        <v>13</v>
      </c>
      <c r="L481" s="19">
        <f>K481/J481</f>
        <v>0.18571428571428572</v>
      </c>
      <c r="M481" s="9"/>
      <c r="N481" s="9"/>
    </row>
    <row r="482" spans="1:14" s="15" customFormat="1">
      <c r="A482" s="15" t="s">
        <v>52</v>
      </c>
      <c r="B482" s="15">
        <v>3060</v>
      </c>
      <c r="C482" s="43">
        <v>2019</v>
      </c>
      <c r="D482" s="15">
        <v>3</v>
      </c>
      <c r="E482" s="17">
        <f>'[17]2019 Benchmarking Calculations'!$AN$10/1000</f>
        <v>991.63780000000008</v>
      </c>
      <c r="F482" s="41">
        <f t="shared" si="91"/>
        <v>1.3352608354138498</v>
      </c>
      <c r="G482" s="44">
        <f>'[17]2019 Benchmarking Calculations'!$AN$61/1000</f>
        <v>29.922999999999998</v>
      </c>
      <c r="H482" s="16">
        <f t="shared" si="93"/>
        <v>37.386000000000003</v>
      </c>
      <c r="I482" s="18">
        <f>'[17]2019 Benchmarking Calculations'!$AN$57</f>
        <v>5549</v>
      </c>
      <c r="J482" s="18">
        <f>'[17]2019 Utility Characteristics'!$AH$13</f>
        <v>71</v>
      </c>
      <c r="K482" s="18">
        <f>'[17]2019 Utility Characteristics'!$AH$15</f>
        <v>14</v>
      </c>
      <c r="L482" s="19">
        <f>K482/J482</f>
        <v>0.19718309859154928</v>
      </c>
      <c r="M482" s="9"/>
      <c r="N482" s="9"/>
    </row>
    <row r="483" spans="1:14">
      <c r="A483" s="15" t="str">
        <f>'[18]2. BM Database'!B347</f>
        <v>HYDRO ONE BRAMPTON NETWORKS INC.</v>
      </c>
      <c r="B483" s="15">
        <v>3008</v>
      </c>
      <c r="C483" s="43">
        <f>'[18]2. BM Database'!C347</f>
        <v>2005</v>
      </c>
      <c r="D483" s="15">
        <v>3</v>
      </c>
      <c r="E483" s="17">
        <f>'[18]2. BM Database'!F347/1000</f>
        <v>13233.34274</v>
      </c>
      <c r="F483" s="41">
        <f t="shared" ref="F483:F497" si="94">F468</f>
        <v>1</v>
      </c>
      <c r="G483" s="44">
        <f>'[18]2. BM Database'!P347/1000</f>
        <v>731.2</v>
      </c>
      <c r="H483" s="16">
        <f>G483</f>
        <v>731.2</v>
      </c>
      <c r="I483" s="18">
        <f>'[18]2. BM Database'!L347</f>
        <v>116166</v>
      </c>
      <c r="J483" s="18">
        <f>'[18]2. BM Database'!R347</f>
        <v>2486</v>
      </c>
      <c r="K483" s="18">
        <f t="shared" ref="K483:K494" si="95">J483*L483</f>
        <v>1723</v>
      </c>
      <c r="L483" s="19">
        <f>'[18]2. BM Database'!T347</f>
        <v>0.69308125502815765</v>
      </c>
      <c r="M483" s="9"/>
      <c r="N483" s="9"/>
    </row>
    <row r="484" spans="1:14">
      <c r="A484" s="15" t="str">
        <f>'[18]2. BM Database'!B348</f>
        <v>HYDRO ONE BRAMPTON NETWORKS INC.</v>
      </c>
      <c r="B484" s="15">
        <v>3008</v>
      </c>
      <c r="C484" s="43">
        <f>'[18]2. BM Database'!C348</f>
        <v>2006</v>
      </c>
      <c r="D484" s="15">
        <v>3</v>
      </c>
      <c r="E484" s="17">
        <f>'[18]2. BM Database'!F348/1000</f>
        <v>15027.44598</v>
      </c>
      <c r="F484" s="41">
        <f t="shared" si="94"/>
        <v>1.0181607380073696</v>
      </c>
      <c r="G484" s="44">
        <f>'[18]2. BM Database'!P348/1000</f>
        <v>784.9</v>
      </c>
      <c r="H484" s="16">
        <f>MAX(G484,H483)</f>
        <v>784.9</v>
      </c>
      <c r="I484" s="18">
        <f>'[18]2. BM Database'!L348</f>
        <v>120364</v>
      </c>
      <c r="J484" s="18">
        <f>'[18]2. BM Database'!R348</f>
        <v>2601</v>
      </c>
      <c r="K484" s="18">
        <f t="shared" si="95"/>
        <v>1816</v>
      </c>
      <c r="L484" s="19">
        <f>'[18]2. BM Database'!T348</f>
        <v>0.6981930026912726</v>
      </c>
      <c r="M484" s="9"/>
      <c r="N484" s="9"/>
    </row>
    <row r="485" spans="1:14">
      <c r="A485" s="15" t="str">
        <f>'[18]2. BM Database'!B349</f>
        <v>HYDRO ONE BRAMPTON NETWORKS INC.</v>
      </c>
      <c r="B485" s="15">
        <v>3008</v>
      </c>
      <c r="C485" s="43">
        <f>'[18]2. BM Database'!C349</f>
        <v>2007</v>
      </c>
      <c r="D485" s="15">
        <v>3</v>
      </c>
      <c r="E485" s="17">
        <f>'[18]2. BM Database'!F349/1000</f>
        <v>15166.237430000001</v>
      </c>
      <c r="F485" s="41">
        <f t="shared" si="94"/>
        <v>1.0531931014872313</v>
      </c>
      <c r="G485" s="44">
        <f>'[18]2. BM Database'!P349/1000</f>
        <v>772.1</v>
      </c>
      <c r="H485" s="16">
        <f t="shared" ref="H485:H494" si="96">MAX(G485,H484)</f>
        <v>784.9</v>
      </c>
      <c r="I485" s="18">
        <f>'[18]2. BM Database'!L349</f>
        <v>126026</v>
      </c>
      <c r="J485" s="18">
        <f>'[18]2. BM Database'!R349</f>
        <v>2702</v>
      </c>
      <c r="K485" s="18">
        <f t="shared" si="95"/>
        <v>1902</v>
      </c>
      <c r="L485" s="19">
        <f>'[18]2. BM Database'!T349</f>
        <v>0.70392301998519613</v>
      </c>
      <c r="M485" s="9"/>
      <c r="N485" s="9"/>
    </row>
    <row r="486" spans="1:14">
      <c r="A486" s="15" t="str">
        <f>'[18]2. BM Database'!B350</f>
        <v>HYDRO ONE BRAMPTON NETWORKS INC.</v>
      </c>
      <c r="B486" s="15">
        <v>3008</v>
      </c>
      <c r="C486" s="43">
        <f>'[18]2. BM Database'!C350</f>
        <v>2008</v>
      </c>
      <c r="D486" s="15">
        <v>3</v>
      </c>
      <c r="E486" s="17">
        <f>'[18]2. BM Database'!F350/1000</f>
        <v>17647.425670000001</v>
      </c>
      <c r="F486" s="41">
        <f t="shared" si="94"/>
        <v>1.078564603993923</v>
      </c>
      <c r="G486" s="44">
        <f>'[18]2. BM Database'!P350/1000</f>
        <v>729</v>
      </c>
      <c r="H486" s="16">
        <f t="shared" si="96"/>
        <v>784.9</v>
      </c>
      <c r="I486" s="18">
        <f>'[18]2. BM Database'!L350</f>
        <v>129585</v>
      </c>
      <c r="J486" s="18">
        <f>'[18]2. BM Database'!R350</f>
        <v>2744</v>
      </c>
      <c r="K486" s="18">
        <f t="shared" si="95"/>
        <v>1938</v>
      </c>
      <c r="L486" s="19">
        <f>'[18]2. BM Database'!T350</f>
        <v>0.70626822157434399</v>
      </c>
      <c r="M486" s="9"/>
      <c r="N486" s="9"/>
    </row>
    <row r="487" spans="1:14">
      <c r="A487" s="15" t="str">
        <f>'[18]2. BM Database'!B351</f>
        <v>HYDRO ONE BRAMPTON NETWORKS INC.</v>
      </c>
      <c r="B487" s="15">
        <v>3008</v>
      </c>
      <c r="C487" s="43">
        <f>'[18]2. BM Database'!C351</f>
        <v>2009</v>
      </c>
      <c r="D487" s="15">
        <v>3</v>
      </c>
      <c r="E487" s="17">
        <f>'[18]2. BM Database'!F351/1000</f>
        <v>16525.952000000001</v>
      </c>
      <c r="F487" s="41">
        <f t="shared" si="94"/>
        <v>1.0915070880241431</v>
      </c>
      <c r="G487" s="44">
        <f>'[18]2. BM Database'!P351/1000</f>
        <v>737.02599999999995</v>
      </c>
      <c r="H487" s="16">
        <f t="shared" si="96"/>
        <v>784.9</v>
      </c>
      <c r="I487" s="18">
        <f>'[18]2. BM Database'!L351</f>
        <v>131027</v>
      </c>
      <c r="J487" s="18">
        <f>'[18]2. BM Database'!R351</f>
        <v>2778</v>
      </c>
      <c r="K487" s="18">
        <f t="shared" si="95"/>
        <v>1959</v>
      </c>
      <c r="L487" s="19">
        <f>'[18]2. BM Database'!T351</f>
        <v>0.70518358531317493</v>
      </c>
      <c r="M487" s="9"/>
      <c r="N487" s="9"/>
    </row>
    <row r="488" spans="1:14">
      <c r="A488" s="15" t="str">
        <f>'[18]2. BM Database'!B352</f>
        <v>HYDRO ONE BRAMPTON NETWORKS INC.</v>
      </c>
      <c r="B488" s="15">
        <v>3008</v>
      </c>
      <c r="C488" s="43">
        <f>'[18]2. BM Database'!C352</f>
        <v>2010</v>
      </c>
      <c r="D488" s="15">
        <v>3</v>
      </c>
      <c r="E488" s="17">
        <f>'[18]2. BM Database'!F352/1000</f>
        <v>18008.623330000002</v>
      </c>
      <c r="F488" s="41">
        <f t="shared" si="94"/>
        <v>1.1243125351578573</v>
      </c>
      <c r="G488" s="44">
        <f>'[18]2. BM Database'!P352/1000</f>
        <v>799.13</v>
      </c>
      <c r="H488" s="16">
        <f t="shared" si="96"/>
        <v>799.13</v>
      </c>
      <c r="I488" s="18">
        <f>'[18]2. BM Database'!L352</f>
        <v>134228</v>
      </c>
      <c r="J488" s="18">
        <f>'[18]2. BM Database'!R352</f>
        <v>2823</v>
      </c>
      <c r="K488" s="18">
        <f t="shared" si="95"/>
        <v>2017</v>
      </c>
      <c r="L488" s="19">
        <f>'[18]2. BM Database'!T352</f>
        <v>0.71448813319164006</v>
      </c>
      <c r="M488" s="9"/>
      <c r="N488" s="9"/>
    </row>
    <row r="489" spans="1:14">
      <c r="A489" s="15" t="str">
        <f>'[18]2. BM Database'!B353</f>
        <v>HYDRO ONE BRAMPTON NETWORKS INC.</v>
      </c>
      <c r="B489" s="15">
        <v>3008</v>
      </c>
      <c r="C489" s="43">
        <f>'[18]2. BM Database'!C353</f>
        <v>2011</v>
      </c>
      <c r="D489" s="15">
        <v>3</v>
      </c>
      <c r="E489" s="17">
        <f>'[18]2. BM Database'!F353/1000</f>
        <v>18099.067301070951</v>
      </c>
      <c r="F489" s="41">
        <f t="shared" si="94"/>
        <v>1.1430978626415853</v>
      </c>
      <c r="G489" s="44">
        <f>'[18]2. BM Database'!P353/1000</f>
        <v>820</v>
      </c>
      <c r="H489" s="16">
        <f t="shared" si="96"/>
        <v>820</v>
      </c>
      <c r="I489" s="18">
        <f>'[18]2. BM Database'!L353</f>
        <v>137856</v>
      </c>
      <c r="J489" s="18">
        <f>'[18]2. BM Database'!R353</f>
        <v>2896</v>
      </c>
      <c r="K489" s="18">
        <f t="shared" si="95"/>
        <v>2094</v>
      </c>
      <c r="L489" s="19">
        <f>'[18]2. BM Database'!T353</f>
        <v>0.72306629834254144</v>
      </c>
      <c r="M489" s="9"/>
      <c r="N489" s="9"/>
    </row>
    <row r="490" spans="1:14">
      <c r="A490" s="15" t="str">
        <f>'[18]2. BM Database'!B354</f>
        <v>HYDRO ONE BRAMPTON NETWORKS INC.</v>
      </c>
      <c r="B490" s="15">
        <v>3008</v>
      </c>
      <c r="C490" s="43">
        <f>'[18]2. BM Database'!C354</f>
        <v>2012</v>
      </c>
      <c r="D490" s="15">
        <v>3</v>
      </c>
      <c r="E490" s="17">
        <f>'[18]2. BM Database'!F354/1000</f>
        <v>19523.281629999998</v>
      </c>
      <c r="F490" s="41">
        <f t="shared" si="94"/>
        <v>1.160126854517312</v>
      </c>
      <c r="G490" s="44">
        <f>'[18]2. BM Database'!P354/1000</f>
        <v>817.322</v>
      </c>
      <c r="H490" s="16">
        <f t="shared" si="96"/>
        <v>820</v>
      </c>
      <c r="I490" s="18">
        <f>'[18]2. BM Database'!L354</f>
        <v>141795</v>
      </c>
      <c r="J490" s="18">
        <f>'[18]2. BM Database'!R354</f>
        <v>2952</v>
      </c>
      <c r="K490" s="18">
        <f t="shared" si="95"/>
        <v>2164</v>
      </c>
      <c r="L490" s="19">
        <f>'[18]2. BM Database'!T354</f>
        <v>0.73306233062330628</v>
      </c>
      <c r="M490" s="9"/>
      <c r="N490" s="9"/>
    </row>
    <row r="491" spans="1:14" s="15" customFormat="1">
      <c r="A491" s="15" t="s">
        <v>53</v>
      </c>
      <c r="B491" s="15">
        <v>3008</v>
      </c>
      <c r="C491" s="43">
        <v>2013</v>
      </c>
      <c r="D491" s="15">
        <v>3</v>
      </c>
      <c r="E491" s="17">
        <f>HLOOKUP(A491,'[19]2013 Benchmarking Calculations'!$I$3:$CC$76,6,FALSE)/1000</f>
        <v>22922.932000000001</v>
      </c>
      <c r="F491" s="41">
        <f t="shared" si="94"/>
        <v>1.178602141578931</v>
      </c>
      <c r="G491" s="44">
        <f>HLOOKUP(A491,'[19]2013 Benchmarking Calculations'!$I$3:$CC$76,57,FALSE)/1000</f>
        <v>831.79600000000005</v>
      </c>
      <c r="H491" s="16">
        <f t="shared" si="96"/>
        <v>831.79600000000005</v>
      </c>
      <c r="I491" s="18">
        <f>HLOOKUP(A491,'[19]2013 Benchmarking Calculations'!$I$3:$CC$76,53,FALSE)</f>
        <v>145983</v>
      </c>
      <c r="J491" s="18">
        <f>HLOOKUP(A491,'[19]2013 Benchmarking Calculations'!$I$3:$CC$76,71,FALSE)</f>
        <v>3103</v>
      </c>
      <c r="K491" s="18">
        <f t="shared" si="95"/>
        <v>2325</v>
      </c>
      <c r="L491" s="19">
        <f>HLOOKUP(A491,'[19]2013 PBR data '!B$42:BV$68,15,FALSE)/HLOOKUP(A491,'[19]2013 PBR data '!B$42:BV$68,13,FALSE)</f>
        <v>0.74927489526264901</v>
      </c>
      <c r="M491" s="9"/>
      <c r="N491" s="9"/>
    </row>
    <row r="492" spans="1:14" s="15" customFormat="1">
      <c r="A492" s="15" t="s">
        <v>53</v>
      </c>
      <c r="B492" s="15">
        <v>3008</v>
      </c>
      <c r="C492" s="43">
        <v>2014</v>
      </c>
      <c r="D492" s="15">
        <v>3</v>
      </c>
      <c r="E492" s="17">
        <f>VLOOKUP(A492,[20]Result!$B$12:$D$84,2,FALSE)/10^3</f>
        <v>25548.449000000001</v>
      </c>
      <c r="F492" s="41">
        <f t="shared" si="94"/>
        <v>1.2030671041042156</v>
      </c>
      <c r="G492" s="44">
        <f>VLOOKUP(A492,'[21]General transpose'!$A$1:$AF$73,26,FALSE)/10^3</f>
        <v>746.95500000000004</v>
      </c>
      <c r="H492" s="16">
        <f t="shared" si="96"/>
        <v>831.79600000000005</v>
      </c>
      <c r="I492" s="18">
        <f>VLOOKUP(A492,'[21]General transpose'!$A$1:$AF$73,8,FALSE)</f>
        <v>149618</v>
      </c>
      <c r="J492" s="18">
        <f>VLOOKUP(A492,'[21]General transpose'!$A$1:$AF$73,16,FALSE)</f>
        <v>3242</v>
      </c>
      <c r="K492" s="18">
        <f t="shared" si="95"/>
        <v>2458</v>
      </c>
      <c r="L492" s="19">
        <f>VLOOKUP(A492,'[21]General transpose'!$A$1:$AF$73,17,FALSE)</f>
        <v>0.75817396668723014</v>
      </c>
      <c r="M492" s="9"/>
      <c r="N492" s="9"/>
    </row>
    <row r="493" spans="1:14" s="15" customFormat="1">
      <c r="A493" s="15" t="s">
        <v>53</v>
      </c>
      <c r="B493" s="15">
        <v>3008</v>
      </c>
      <c r="C493" s="43">
        <v>2015</v>
      </c>
      <c r="D493" s="15">
        <v>3</v>
      </c>
      <c r="E493" s="17">
        <f>VLOOKUP(A492,[20]Result!$B$12:$D$84,3,FALSE)/10^3</f>
        <v>26810.796999999999</v>
      </c>
      <c r="F493" s="41">
        <f t="shared" si="94"/>
        <v>1.2312762402864634</v>
      </c>
      <c r="G493" s="44">
        <f>VLOOKUP(A492,'[22]General transpose'!$A$1:$AF$73,26,FALSE)/10^3</f>
        <v>796.94799999999998</v>
      </c>
      <c r="H493" s="16">
        <f t="shared" si="96"/>
        <v>831.79600000000005</v>
      </c>
      <c r="I493" s="18">
        <f>'[14]2015 Benchmarking Calculations'!$AM$55</f>
        <v>154106</v>
      </c>
      <c r="J493" s="18">
        <f>VLOOKUP(A492,'[22]General transpose'!$A$1:$AF$73,16,FALSE)</f>
        <v>3266</v>
      </c>
      <c r="K493" s="18">
        <f t="shared" si="95"/>
        <v>2466</v>
      </c>
      <c r="L493" s="19">
        <f>VLOOKUP(A492,'[22]General transpose'!$A$1:$AF$73,17,FALSE)</f>
        <v>0.75505205143906917</v>
      </c>
      <c r="M493" s="9"/>
      <c r="N493" s="9"/>
    </row>
    <row r="494" spans="1:14" s="15" customFormat="1">
      <c r="A494" s="15" t="s">
        <v>53</v>
      </c>
      <c r="B494" s="15">
        <v>3008</v>
      </c>
      <c r="C494" s="43">
        <v>2016</v>
      </c>
      <c r="D494" s="15">
        <v>3</v>
      </c>
      <c r="E494" s="17">
        <f>'[14]2016 Benchmarking Calculations'!$AM$8/1000</f>
        <v>30304.363839999998</v>
      </c>
      <c r="F494" s="41">
        <f t="shared" si="94"/>
        <v>1.2455044937824149</v>
      </c>
      <c r="G494" s="44">
        <f>HLOOKUP(A494,[23]General!$A$1:$BQ$23,22,FALSE)/10^3</f>
        <v>836.21799999999996</v>
      </c>
      <c r="H494" s="16">
        <f t="shared" si="96"/>
        <v>836.21799999999996</v>
      </c>
      <c r="I494" s="18">
        <f>'[14]2016 Benchmarking Calculations'!$AM$55</f>
        <v>158631</v>
      </c>
      <c r="J494" s="18">
        <f>HLOOKUP(A494,[23]General!$A$1:$BQ$23,17,FALSE)</f>
        <v>3367</v>
      </c>
      <c r="K494" s="18">
        <f t="shared" si="95"/>
        <v>2553</v>
      </c>
      <c r="L494" s="19">
        <f>HLOOKUP(A494,[23]General!$A$1:$BQ$23,18,FALSE)</f>
        <v>0.75824175824175821</v>
      </c>
      <c r="M494" s="9"/>
      <c r="N494" s="9"/>
    </row>
    <row r="495" spans="1:14" s="15" customFormat="1">
      <c r="A495" s="15" t="s">
        <v>53</v>
      </c>
      <c r="B495" s="15">
        <v>3008</v>
      </c>
      <c r="C495" s="43">
        <v>2017</v>
      </c>
      <c r="D495" s="15">
        <v>3</v>
      </c>
      <c r="E495" s="17"/>
      <c r="F495" s="41">
        <f t="shared" si="94"/>
        <v>1.2674505553724562</v>
      </c>
      <c r="G495" s="44"/>
      <c r="H495" s="16"/>
      <c r="I495" s="18"/>
      <c r="J495" s="18"/>
      <c r="L495" s="19"/>
      <c r="M495" s="9"/>
      <c r="N495" s="9"/>
    </row>
    <row r="496" spans="1:14" s="15" customFormat="1">
      <c r="A496" s="15" t="s">
        <v>53</v>
      </c>
      <c r="B496" s="15">
        <v>3008</v>
      </c>
      <c r="C496" s="43">
        <v>2018</v>
      </c>
      <c r="D496" s="15">
        <v>3</v>
      </c>
      <c r="E496" s="17"/>
      <c r="F496" s="41">
        <f t="shared" si="94"/>
        <v>1.2994718602728874</v>
      </c>
      <c r="G496" s="44"/>
      <c r="H496" s="16"/>
      <c r="I496" s="18"/>
      <c r="J496" s="18"/>
      <c r="L496" s="19"/>
      <c r="M496" s="9"/>
      <c r="N496" s="9"/>
    </row>
    <row r="497" spans="1:14" s="15" customFormat="1">
      <c r="A497" s="15" t="s">
        <v>53</v>
      </c>
      <c r="B497" s="15">
        <v>3008</v>
      </c>
      <c r="C497" s="43">
        <v>2019</v>
      </c>
      <c r="D497" s="15">
        <v>3</v>
      </c>
      <c r="E497" s="17"/>
      <c r="F497" s="41">
        <f t="shared" si="94"/>
        <v>1.3352608354138498</v>
      </c>
      <c r="G497" s="44"/>
      <c r="H497" s="16"/>
      <c r="I497" s="18"/>
      <c r="J497" s="18"/>
      <c r="L497" s="19"/>
      <c r="M497" s="9"/>
      <c r="N497" s="9"/>
    </row>
    <row r="498" spans="1:14">
      <c r="A498" s="15" t="str">
        <f>'[18]2. BM Database'!B358</f>
        <v>HYDRO ONE NETWORKS INC.</v>
      </c>
      <c r="B498" s="15">
        <v>3001</v>
      </c>
      <c r="C498" s="43">
        <f>'[18]2. BM Database'!C358</f>
        <v>2005</v>
      </c>
      <c r="D498" s="15">
        <v>3</v>
      </c>
      <c r="E498" s="17">
        <f>'[14]2. BM Database'!$F359/1000</f>
        <v>329243.82668</v>
      </c>
      <c r="F498" s="41">
        <f t="shared" ref="F498:F512" si="97">F483</f>
        <v>1</v>
      </c>
      <c r="G498" s="17">
        <f>'[14]2. BM Database'!$P359/1000</f>
        <v>4407.2380000000003</v>
      </c>
      <c r="H498" s="16">
        <f>G498</f>
        <v>4407.2380000000003</v>
      </c>
      <c r="I498" s="18">
        <f>'[14]2. BM Database'!$L359</f>
        <v>1152927</v>
      </c>
      <c r="J498" s="18">
        <f>'[14]2. BM Database'!$R359</f>
        <v>119650</v>
      </c>
      <c r="K498" s="18">
        <f t="shared" ref="K498:K505" si="98">J498*L498</f>
        <v>4220</v>
      </c>
      <c r="L498" s="19">
        <f>'[14]2. BM Database'!$T359</f>
        <v>3.5269536147095694E-2</v>
      </c>
      <c r="M498" s="9"/>
      <c r="N498" s="9"/>
    </row>
    <row r="499" spans="1:14">
      <c r="A499" s="15" t="str">
        <f>'[18]2. BM Database'!B359</f>
        <v>HYDRO ONE NETWORKS INC.</v>
      </c>
      <c r="B499" s="15">
        <v>3001</v>
      </c>
      <c r="C499" s="43">
        <f>'[18]2. BM Database'!C359</f>
        <v>2006</v>
      </c>
      <c r="D499" s="15">
        <v>3</v>
      </c>
      <c r="E499" s="17">
        <f>'[14]2. BM Database'!$F360/1000</f>
        <v>371996.26160999999</v>
      </c>
      <c r="F499" s="41">
        <f t="shared" si="97"/>
        <v>1.0181607380073696</v>
      </c>
      <c r="G499" s="17">
        <f>'[14]2. BM Database'!$P360/1000</f>
        <v>4163.1729999999998</v>
      </c>
      <c r="H499" s="16">
        <f>MAX(G499,H498)</f>
        <v>4407.2380000000003</v>
      </c>
      <c r="I499" s="18">
        <f>'[14]2. BM Database'!$L360</f>
        <v>1164887</v>
      </c>
      <c r="J499" s="18">
        <f>'[14]2. BM Database'!$R360</f>
        <v>119879</v>
      </c>
      <c r="K499" s="18">
        <f t="shared" si="98"/>
        <v>4230</v>
      </c>
      <c r="L499" s="19">
        <f>'[14]2. BM Database'!$T360</f>
        <v>3.5285579626123005E-2</v>
      </c>
      <c r="M499" s="9"/>
      <c r="N499" s="9"/>
    </row>
    <row r="500" spans="1:14">
      <c r="A500" s="15" t="str">
        <f>'[18]2. BM Database'!B360</f>
        <v>HYDRO ONE NETWORKS INC.</v>
      </c>
      <c r="B500" s="15">
        <v>3001</v>
      </c>
      <c r="C500" s="43">
        <f>'[18]2. BM Database'!C360</f>
        <v>2007</v>
      </c>
      <c r="D500" s="15">
        <v>3</v>
      </c>
      <c r="E500" s="17">
        <f>'[14]2. BM Database'!$F361/1000</f>
        <v>454177.4473</v>
      </c>
      <c r="F500" s="41">
        <f t="shared" si="97"/>
        <v>1.0531931014872313</v>
      </c>
      <c r="G500" s="17">
        <f>'[14]2. BM Database'!$P361/1000</f>
        <v>4146.9269999999997</v>
      </c>
      <c r="H500" s="16">
        <f t="shared" ref="H500:H512" si="99">MAX(G500,H499)</f>
        <v>4407.2380000000003</v>
      </c>
      <c r="I500" s="18">
        <f>'[14]2. BM Database'!$L361</f>
        <v>1173360</v>
      </c>
      <c r="J500" s="18">
        <f>'[14]2. BM Database'!$R361</f>
        <v>120231</v>
      </c>
      <c r="K500" s="18">
        <f t="shared" si="98"/>
        <v>4241</v>
      </c>
      <c r="L500" s="19">
        <f>'[14]2. BM Database'!$T361</f>
        <v>3.5273764669677535E-2</v>
      </c>
      <c r="M500" s="9"/>
      <c r="N500" s="9"/>
    </row>
    <row r="501" spans="1:14">
      <c r="A501" s="15" t="str">
        <f>'[18]2. BM Database'!B361</f>
        <v>HYDRO ONE NETWORKS INC.</v>
      </c>
      <c r="B501" s="15">
        <v>3001</v>
      </c>
      <c r="C501" s="43">
        <f>'[18]2. BM Database'!C361</f>
        <v>2008</v>
      </c>
      <c r="D501" s="15">
        <v>3</v>
      </c>
      <c r="E501" s="17">
        <f>'[14]2. BM Database'!$F362/1000</f>
        <v>446088.02148</v>
      </c>
      <c r="F501" s="41">
        <f t="shared" si="97"/>
        <v>1.078564603993923</v>
      </c>
      <c r="G501" s="17">
        <f>'[14]2. BM Database'!$P362/1000</f>
        <v>3867.0549999999998</v>
      </c>
      <c r="H501" s="16">
        <f t="shared" si="99"/>
        <v>4407.2380000000003</v>
      </c>
      <c r="I501" s="18">
        <f>'[14]2. BM Database'!$L362</f>
        <v>1187253</v>
      </c>
      <c r="J501" s="18">
        <f>'[14]2. BM Database'!$R362</f>
        <v>120516</v>
      </c>
      <c r="K501" s="18">
        <f t="shared" si="98"/>
        <v>4251</v>
      </c>
      <c r="L501" s="19">
        <f>'[14]2. BM Database'!$T362</f>
        <v>3.527332470377377E-2</v>
      </c>
      <c r="M501" s="9"/>
      <c r="N501" s="9"/>
    </row>
    <row r="502" spans="1:14">
      <c r="A502" s="15" t="str">
        <f>'[18]2. BM Database'!B362</f>
        <v>HYDRO ONE NETWORKS INC.</v>
      </c>
      <c r="B502" s="15">
        <v>3001</v>
      </c>
      <c r="C502" s="43">
        <f>'[18]2. BM Database'!C362</f>
        <v>2009</v>
      </c>
      <c r="D502" s="15">
        <v>3</v>
      </c>
      <c r="E502" s="17">
        <f>'[14]2. BM Database'!$F363/1000</f>
        <v>482799.62398389995</v>
      </c>
      <c r="F502" s="41">
        <f t="shared" si="97"/>
        <v>1.0915070880241431</v>
      </c>
      <c r="G502" s="17">
        <f>'[14]2. BM Database'!$P363/1000</f>
        <v>4143.3389999999999</v>
      </c>
      <c r="H502" s="16">
        <f t="shared" si="99"/>
        <v>4407.2380000000003</v>
      </c>
      <c r="I502" s="18">
        <f>'[14]2. BM Database'!$L363</f>
        <v>1193767</v>
      </c>
      <c r="J502" s="18">
        <f>'[14]2. BM Database'!$R363</f>
        <v>120750</v>
      </c>
      <c r="K502" s="18">
        <f t="shared" si="98"/>
        <v>4259</v>
      </c>
      <c r="L502" s="19">
        <f>'[14]2. BM Database'!$T363</f>
        <v>3.5271221532091099E-2</v>
      </c>
      <c r="M502" s="9"/>
      <c r="N502" s="9"/>
    </row>
    <row r="503" spans="1:14">
      <c r="A503" s="15" t="str">
        <f>'[18]2. BM Database'!B363</f>
        <v>HYDRO ONE NETWORKS INC.</v>
      </c>
      <c r="B503" s="15">
        <v>3001</v>
      </c>
      <c r="C503" s="43">
        <f>'[18]2. BM Database'!C363</f>
        <v>2010</v>
      </c>
      <c r="D503" s="15">
        <v>3</v>
      </c>
      <c r="E503" s="17">
        <f>'[14]2. BM Database'!$F364/1000</f>
        <v>519892.96752000001</v>
      </c>
      <c r="F503" s="41">
        <f t="shared" si="97"/>
        <v>1.1243125351578573</v>
      </c>
      <c r="G503" s="17">
        <f>'[14]2. BM Database'!$P364/1000</f>
        <v>4180.5510000000004</v>
      </c>
      <c r="H503" s="16">
        <f t="shared" si="99"/>
        <v>4407.2380000000003</v>
      </c>
      <c r="I503" s="18">
        <f>'[14]2. BM Database'!$L364</f>
        <v>1203030</v>
      </c>
      <c r="J503" s="18">
        <f>'[14]2. BM Database'!$R364</f>
        <v>120921</v>
      </c>
      <c r="K503" s="18">
        <f t="shared" si="98"/>
        <v>4265</v>
      </c>
      <c r="L503" s="19">
        <f>'[14]2. BM Database'!$T364</f>
        <v>3.527096203306291E-2</v>
      </c>
      <c r="M503" s="9"/>
      <c r="N503" s="9"/>
    </row>
    <row r="504" spans="1:14">
      <c r="A504" s="15" t="str">
        <f>'[18]2. BM Database'!B364</f>
        <v>HYDRO ONE NETWORKS INC.</v>
      </c>
      <c r="B504" s="15">
        <v>3001</v>
      </c>
      <c r="C504" s="43">
        <f>'[18]2. BM Database'!C364</f>
        <v>2011</v>
      </c>
      <c r="D504" s="15">
        <v>3</v>
      </c>
      <c r="E504" s="17">
        <f>'[14]2. BM Database'!$F365/1000</f>
        <v>522934.64277000003</v>
      </c>
      <c r="F504" s="41">
        <f t="shared" si="97"/>
        <v>1.1430978626415853</v>
      </c>
      <c r="G504" s="17">
        <f>'[14]2. BM Database'!$P365/1000</f>
        <v>3923.7710000000002</v>
      </c>
      <c r="H504" s="16">
        <f t="shared" si="99"/>
        <v>4407.2380000000003</v>
      </c>
      <c r="I504" s="18">
        <f>'[14]2. BM Database'!$L365</f>
        <v>1211071</v>
      </c>
      <c r="J504" s="18">
        <f>'[14]2. BM Database'!$R365</f>
        <v>117385</v>
      </c>
      <c r="K504" s="18">
        <f t="shared" si="98"/>
        <v>7886</v>
      </c>
      <c r="L504" s="19">
        <f>'[14]2. BM Database'!$T365</f>
        <v>6.7180644886484647E-2</v>
      </c>
      <c r="M504" s="9"/>
      <c r="N504" s="9"/>
    </row>
    <row r="505" spans="1:14">
      <c r="A505" s="15" t="str">
        <f>'[18]2. BM Database'!B365</f>
        <v>HYDRO ONE NETWORKS INC.</v>
      </c>
      <c r="B505" s="15">
        <v>3001</v>
      </c>
      <c r="C505" s="43">
        <f>'[18]2. BM Database'!C365</f>
        <v>2012</v>
      </c>
      <c r="D505" s="15">
        <v>3</v>
      </c>
      <c r="E505" s="17">
        <f>'[14]2. BM Database'!$F366/1000</f>
        <v>509039.13318</v>
      </c>
      <c r="F505" s="41">
        <f t="shared" si="97"/>
        <v>1.160126854517312</v>
      </c>
      <c r="G505" s="17">
        <f>'[14]2. BM Database'!$P366/1000</f>
        <v>3716.7</v>
      </c>
      <c r="H505" s="16">
        <f t="shared" si="99"/>
        <v>4407.2380000000003</v>
      </c>
      <c r="I505" s="18">
        <f>'[14]2. BM Database'!$L366</f>
        <v>1221411</v>
      </c>
      <c r="J505" s="18">
        <f>'[14]2. BM Database'!$R366</f>
        <v>118340</v>
      </c>
      <c r="K505" s="18">
        <f t="shared" si="98"/>
        <v>8107</v>
      </c>
      <c r="L505" s="19">
        <f>'[14]2. BM Database'!$T366</f>
        <v>6.8505999661990877E-2</v>
      </c>
      <c r="M505" s="9"/>
      <c r="N505" s="9"/>
    </row>
    <row r="506" spans="1:14" s="15" customFormat="1">
      <c r="A506" s="15" t="s">
        <v>54</v>
      </c>
      <c r="B506" s="15">
        <v>3001</v>
      </c>
      <c r="C506" s="43">
        <v>2013</v>
      </c>
      <c r="D506" s="15">
        <v>3</v>
      </c>
      <c r="E506" s="17">
        <f>'[14]2013 Benchmarking Calculations'!$AN$8/1000</f>
        <v>561763.82969000004</v>
      </c>
      <c r="F506" s="41">
        <f t="shared" si="97"/>
        <v>1.178602141578931</v>
      </c>
      <c r="G506" s="17">
        <f>'[14]2013 Benchmarking Calculations'!$AN$59/1000</f>
        <v>5657.3337621250357</v>
      </c>
      <c r="H506" s="16">
        <f t="shared" si="99"/>
        <v>5657.3337621250357</v>
      </c>
      <c r="I506" s="18">
        <f>'[14]2013 Benchmarking Calculations'!$AN$55</f>
        <v>1220476</v>
      </c>
      <c r="J506" s="18">
        <f>'[14]2013 Benchmarking Calculations'!$AN$73</f>
        <v>119516</v>
      </c>
      <c r="K506" s="15">
        <f>[24]General!$AG$15</f>
        <v>8549</v>
      </c>
      <c r="L506" s="19">
        <f>K506/J506</f>
        <v>7.1530171692493053E-2</v>
      </c>
      <c r="M506" s="9"/>
      <c r="N506" s="9"/>
    </row>
    <row r="507" spans="1:14" s="15" customFormat="1">
      <c r="A507" s="15" t="s">
        <v>54</v>
      </c>
      <c r="B507" s="15">
        <v>3001</v>
      </c>
      <c r="C507" s="43">
        <v>2014</v>
      </c>
      <c r="D507" s="15">
        <v>3</v>
      </c>
      <c r="E507" s="17">
        <f>[20]Result!$C$43/1000</f>
        <v>592224.12399999995</v>
      </c>
      <c r="F507" s="41">
        <f t="shared" si="97"/>
        <v>1.2030671041042156</v>
      </c>
      <c r="G507" s="17">
        <f>'[14]2014 Benchmarking Calculations'!$AN$59/1000</f>
        <v>5908.4543687728201</v>
      </c>
      <c r="H507" s="16">
        <f t="shared" si="99"/>
        <v>5908.4543687728201</v>
      </c>
      <c r="I507" s="18">
        <f>'[14]2014 Benchmarking Calculations'!$AN$55</f>
        <v>1219670</v>
      </c>
      <c r="J507" s="18">
        <f>'[14]2014 Benchmarking Calculations'!$AN$73</f>
        <v>119392</v>
      </c>
      <c r="K507" s="15">
        <f>'[14]2014 PBR Data'!$AG$44</f>
        <v>8660</v>
      </c>
      <c r="L507" s="19">
        <f>K507/J507</f>
        <v>7.2534173143929237E-2</v>
      </c>
      <c r="M507" s="9"/>
      <c r="N507" s="9"/>
    </row>
    <row r="508" spans="1:14" s="15" customFormat="1">
      <c r="A508" s="15" t="s">
        <v>54</v>
      </c>
      <c r="B508" s="15">
        <v>3001</v>
      </c>
      <c r="C508" s="43">
        <v>2015</v>
      </c>
      <c r="D508" s="15">
        <v>3</v>
      </c>
      <c r="E508" s="17">
        <f>[20]Result!$D$43/1000</f>
        <v>529290.91</v>
      </c>
      <c r="F508" s="41">
        <f t="shared" si="97"/>
        <v>1.2312762402864634</v>
      </c>
      <c r="G508" s="44">
        <f>'[14]2015 Benchmarking Calculations'!$AN$59/1000</f>
        <v>6305.6849978430755</v>
      </c>
      <c r="H508" s="16">
        <f t="shared" si="99"/>
        <v>6305.6849978430755</v>
      </c>
      <c r="I508" s="18">
        <f>'[14]2015 Benchmarking Calculations'!$AN$55</f>
        <v>1257467</v>
      </c>
      <c r="J508" s="18">
        <f>VLOOKUP(A507,'[22]General transpose'!$A$1:$AF$73,16,FALSE)</f>
        <v>121209</v>
      </c>
      <c r="K508" s="18">
        <f t="shared" ref="K508:K509" si="100">J508*L508</f>
        <v>9178</v>
      </c>
      <c r="L508" s="19">
        <f>L1143</f>
        <v>7.5720449801582393E-2</v>
      </c>
      <c r="M508" s="9"/>
      <c r="N508" s="9"/>
    </row>
    <row r="509" spans="1:14" s="15" customFormat="1">
      <c r="A509" s="15" t="s">
        <v>54</v>
      </c>
      <c r="B509" s="15">
        <v>3001</v>
      </c>
      <c r="C509" s="43">
        <v>2016</v>
      </c>
      <c r="D509" s="15">
        <v>3</v>
      </c>
      <c r="E509" s="17">
        <f>'[14]2016 Benchmarking Calculations'!$AN$8/1000</f>
        <v>544519.28041999985</v>
      </c>
      <c r="F509" s="41">
        <f t="shared" si="97"/>
        <v>1.2455044937824149</v>
      </c>
      <c r="G509" s="44">
        <f>HLOOKUP(A509,[23]General!$A$1:$BQ$23,22,FALSE)/10^3</f>
        <v>5641.0780000000004</v>
      </c>
      <c r="H509" s="16">
        <f t="shared" si="99"/>
        <v>6305.6849978430755</v>
      </c>
      <c r="I509" s="18">
        <f>'[14]2016 Benchmarking Calculations'!$AN$55</f>
        <v>1307906</v>
      </c>
      <c r="J509" s="18">
        <f>HLOOKUP(A509,[23]General!$A$1:$BQ$23,17,FALSE)</f>
        <v>122366</v>
      </c>
      <c r="K509" s="18">
        <f t="shared" si="100"/>
        <v>9148</v>
      </c>
      <c r="L509" s="19">
        <f>HLOOKUP(A509,[23]General!$A$1:$BQ$23,18,FALSE)</f>
        <v>7.4759328571662065E-2</v>
      </c>
      <c r="M509" s="9"/>
      <c r="N509" s="9"/>
    </row>
    <row r="510" spans="1:14" s="15" customFormat="1">
      <c r="A510" s="15" t="s">
        <v>54</v>
      </c>
      <c r="B510" s="15">
        <v>3001</v>
      </c>
      <c r="C510" s="43">
        <v>2017</v>
      </c>
      <c r="D510" s="15">
        <v>3</v>
      </c>
      <c r="E510" s="17">
        <f>'[14]2017 Benchmarking Calculations'!$AP$9/1000</f>
        <v>531008.99735999992</v>
      </c>
      <c r="F510" s="41">
        <f t="shared" si="97"/>
        <v>1.2674505553724562</v>
      </c>
      <c r="G510" s="44">
        <f>[15]General!$AC$19/1000</f>
        <v>5361.9920000000002</v>
      </c>
      <c r="H510" s="16">
        <f t="shared" si="99"/>
        <v>6305.6849978430755</v>
      </c>
      <c r="I510" s="136">
        <f>'[16]2018 Revisions to 2017 Data'!$F$13</f>
        <v>1320458</v>
      </c>
      <c r="J510" s="18">
        <f>[15]General!$AC$17</f>
        <v>123119</v>
      </c>
      <c r="K510" s="18">
        <f>J510*L510</f>
        <v>9365</v>
      </c>
      <c r="L510" s="19">
        <f>[15]General!$AC$16/[15]General!$AC$17</f>
        <v>7.6064620407898048E-2</v>
      </c>
      <c r="M510" s="9"/>
      <c r="N510" s="9"/>
    </row>
    <row r="511" spans="1:14" s="15" customFormat="1">
      <c r="A511" s="15" t="s">
        <v>54</v>
      </c>
      <c r="B511" s="15">
        <v>3001</v>
      </c>
      <c r="C511" s="43">
        <v>2018</v>
      </c>
      <c r="D511" s="15">
        <v>3</v>
      </c>
      <c r="E511" s="17">
        <f>'[16]2018 Benchmarking Calculations'!$AP$10/1000</f>
        <v>535524.47184000001</v>
      </c>
      <c r="F511" s="41">
        <f t="shared" si="97"/>
        <v>1.2994718602728874</v>
      </c>
      <c r="G511" s="44">
        <f>'[16]2018 Benchmarking Calculations'!$AP$61/1000</f>
        <v>5812.4319999999998</v>
      </c>
      <c r="H511" s="16">
        <f t="shared" si="99"/>
        <v>6305.6849978430755</v>
      </c>
      <c r="I511" s="18">
        <f>'[16]2018 Benchmarking Calculations'!$AP$57</f>
        <v>1333961</v>
      </c>
      <c r="J511" s="18">
        <f>'[16]2018 Utility Characteristics'!$AJ$103</f>
        <v>123176</v>
      </c>
      <c r="K511" s="18">
        <f>'[16]2018 Utility Characteristics'!$AJ$105</f>
        <v>9558</v>
      </c>
      <c r="L511" s="19">
        <f>K511/J511</f>
        <v>7.7596284990582576E-2</v>
      </c>
      <c r="M511" s="9"/>
      <c r="N511" s="9"/>
    </row>
    <row r="512" spans="1:14" s="15" customFormat="1">
      <c r="A512" s="15" t="s">
        <v>54</v>
      </c>
      <c r="B512" s="15">
        <v>3001</v>
      </c>
      <c r="C512" s="43">
        <v>2019</v>
      </c>
      <c r="D512" s="15">
        <v>3</v>
      </c>
      <c r="E512" s="17">
        <f>'[17]2019 Benchmarking Calculations'!$AP$10/1000</f>
        <v>538618.19463000004</v>
      </c>
      <c r="F512" s="41">
        <f t="shared" si="97"/>
        <v>1.3352608354138498</v>
      </c>
      <c r="G512" s="44">
        <f>'[17]2019 Benchmarking Calculations'!$AP$61/1000</f>
        <v>6291.23</v>
      </c>
      <c r="H512" s="16">
        <f t="shared" si="99"/>
        <v>6305.6849978430755</v>
      </c>
      <c r="I512" s="18">
        <f>'[17]2019 Benchmarking Calculations'!$AP$57</f>
        <v>1344318</v>
      </c>
      <c r="J512" s="18">
        <f>'[17]2019 Utility Characteristics'!$AJ$13</f>
        <v>123139</v>
      </c>
      <c r="K512" s="18">
        <f>'[17]2019 Utility Characteristics'!$AJ$15</f>
        <v>9749</v>
      </c>
      <c r="L512" s="19">
        <f>K512/J512</f>
        <v>7.917069328157611E-2</v>
      </c>
      <c r="M512" s="9"/>
      <c r="N512" s="9"/>
    </row>
    <row r="513" spans="1:14">
      <c r="A513" s="15" t="str">
        <f>'[18]2. BM Database'!B380</f>
        <v>HYDRO OTTAWA LIMITED</v>
      </c>
      <c r="B513" s="15">
        <v>3004</v>
      </c>
      <c r="C513" s="43">
        <f>'[18]2. BM Database'!C380</f>
        <v>2005</v>
      </c>
      <c r="D513" s="15">
        <v>3</v>
      </c>
      <c r="E513" s="17">
        <f>'[18]2. BM Database'!F380/1000</f>
        <v>32817.707990000003</v>
      </c>
      <c r="F513" s="41">
        <f t="shared" ref="F513:F527" si="101">F498</f>
        <v>1</v>
      </c>
      <c r="G513" s="44">
        <f>'[18]2. BM Database'!P380/1000</f>
        <v>1464.855</v>
      </c>
      <c r="H513" s="16">
        <f>G513</f>
        <v>1464.855</v>
      </c>
      <c r="I513" s="18">
        <f>'[18]2. BM Database'!L380</f>
        <v>278581</v>
      </c>
      <c r="J513" s="18">
        <f>'[18]2. BM Database'!R380</f>
        <v>5242</v>
      </c>
      <c r="K513" s="18">
        <f t="shared" ref="K513:K524" si="102">J513*L513</f>
        <v>1924.0000000000002</v>
      </c>
      <c r="L513" s="19">
        <f>'[18]2. BM Database'!T380</f>
        <v>0.36703548264021368</v>
      </c>
      <c r="M513" s="9"/>
      <c r="N513" s="9"/>
    </row>
    <row r="514" spans="1:14">
      <c r="A514" s="15" t="str">
        <f>'[18]2. BM Database'!B381</f>
        <v>HYDRO OTTAWA LIMITED</v>
      </c>
      <c r="B514" s="15">
        <v>3004</v>
      </c>
      <c r="C514" s="43">
        <f>'[18]2. BM Database'!C381</f>
        <v>2006</v>
      </c>
      <c r="D514" s="15">
        <v>3</v>
      </c>
      <c r="E514" s="17">
        <f>'[18]2. BM Database'!F381/1000</f>
        <v>39694.751361499984</v>
      </c>
      <c r="F514" s="41">
        <f t="shared" si="101"/>
        <v>1.0181607380073696</v>
      </c>
      <c r="G514" s="44">
        <f>'[18]2. BM Database'!P381/1000</f>
        <v>1495.3030000000001</v>
      </c>
      <c r="H514" s="16">
        <f>MAX(G514,H513)</f>
        <v>1495.3030000000001</v>
      </c>
      <c r="I514" s="18">
        <f>'[18]2. BM Database'!L381</f>
        <v>282393</v>
      </c>
      <c r="J514" s="18">
        <f>'[18]2. BM Database'!R381</f>
        <v>5451</v>
      </c>
      <c r="K514" s="18">
        <f t="shared" si="102"/>
        <v>2001</v>
      </c>
      <c r="L514" s="19">
        <f>'[18]2. BM Database'!T381</f>
        <v>0.36708860759493672</v>
      </c>
      <c r="M514" s="9"/>
      <c r="N514" s="9"/>
    </row>
    <row r="515" spans="1:14">
      <c r="A515" s="15" t="str">
        <f>'[18]2. BM Database'!B382</f>
        <v>HYDRO OTTAWA LIMITED</v>
      </c>
      <c r="B515" s="15">
        <v>3004</v>
      </c>
      <c r="C515" s="43">
        <f>'[18]2. BM Database'!C382</f>
        <v>2007</v>
      </c>
      <c r="D515" s="15">
        <v>3</v>
      </c>
      <c r="E515" s="17">
        <f>'[18]2. BM Database'!F382/1000</f>
        <v>40599.346184500006</v>
      </c>
      <c r="F515" s="41">
        <f t="shared" si="101"/>
        <v>1.0531931014872313</v>
      </c>
      <c r="G515" s="44">
        <f>'[18]2. BM Database'!P382/1000</f>
        <v>1425.095</v>
      </c>
      <c r="H515" s="16">
        <f t="shared" ref="H515:H527" si="103">MAX(G515,H514)</f>
        <v>1495.3030000000001</v>
      </c>
      <c r="I515" s="18">
        <f>'[18]2. BM Database'!L382</f>
        <v>287006</v>
      </c>
      <c r="J515" s="18">
        <f>'[18]2. BM Database'!R382</f>
        <v>5739</v>
      </c>
      <c r="K515" s="18">
        <f t="shared" si="102"/>
        <v>2841</v>
      </c>
      <c r="L515" s="19">
        <f>'[18]2. BM Database'!T382</f>
        <v>0.49503397804495558</v>
      </c>
      <c r="M515" s="9"/>
      <c r="N515" s="9"/>
    </row>
    <row r="516" spans="1:14">
      <c r="A516" s="15" t="str">
        <f>'[18]2. BM Database'!B383</f>
        <v>HYDRO OTTAWA LIMITED</v>
      </c>
      <c r="B516" s="15">
        <v>3004</v>
      </c>
      <c r="C516" s="43">
        <f>'[18]2. BM Database'!C383</f>
        <v>2008</v>
      </c>
      <c r="D516" s="15">
        <v>3</v>
      </c>
      <c r="E516" s="17">
        <f>'[18]2. BM Database'!F383/1000</f>
        <v>50450.13886050001</v>
      </c>
      <c r="F516" s="41">
        <f t="shared" si="101"/>
        <v>1.078564603993923</v>
      </c>
      <c r="G516" s="44">
        <f>'[18]2. BM Database'!P383/1000</f>
        <v>1355.421</v>
      </c>
      <c r="H516" s="16">
        <f t="shared" si="103"/>
        <v>1495.3030000000001</v>
      </c>
      <c r="I516" s="18">
        <f>'[18]2. BM Database'!L383</f>
        <v>291639</v>
      </c>
      <c r="J516" s="18">
        <f>'[18]2. BM Database'!R383</f>
        <v>5353</v>
      </c>
      <c r="K516" s="18">
        <f t="shared" si="102"/>
        <v>2623</v>
      </c>
      <c r="L516" s="19">
        <f>'[18]2. BM Database'!T383</f>
        <v>0.4900056043340183</v>
      </c>
      <c r="M516" s="9"/>
      <c r="N516" s="9"/>
    </row>
    <row r="517" spans="1:14">
      <c r="A517" s="15" t="str">
        <f>'[18]2. BM Database'!B384</f>
        <v>HYDRO OTTAWA LIMITED</v>
      </c>
      <c r="B517" s="15">
        <v>3004</v>
      </c>
      <c r="C517" s="43">
        <f>'[18]2. BM Database'!C384</f>
        <v>2009</v>
      </c>
      <c r="D517" s="15">
        <v>3</v>
      </c>
      <c r="E517" s="17">
        <f>'[18]2. BM Database'!F384/1000</f>
        <v>50099.746523999995</v>
      </c>
      <c r="F517" s="41">
        <f t="shared" si="101"/>
        <v>1.0915070880241431</v>
      </c>
      <c r="G517" s="44">
        <f>'[18]2. BM Database'!P384/1000</f>
        <v>1363.575</v>
      </c>
      <c r="H517" s="16">
        <f t="shared" si="103"/>
        <v>1495.3030000000001</v>
      </c>
      <c r="I517" s="18">
        <f>'[18]2. BM Database'!L384</f>
        <v>296007</v>
      </c>
      <c r="J517" s="18">
        <f>'[18]2. BM Database'!R384</f>
        <v>5387</v>
      </c>
      <c r="K517" s="18">
        <f t="shared" si="102"/>
        <v>2677</v>
      </c>
      <c r="L517" s="19">
        <f>'[18]2. BM Database'!T384</f>
        <v>0.49693707072582144</v>
      </c>
      <c r="M517" s="9"/>
      <c r="N517" s="9"/>
    </row>
    <row r="518" spans="1:14">
      <c r="A518" s="15" t="str">
        <f>'[18]2. BM Database'!B385</f>
        <v>HYDRO OTTAWA LIMITED</v>
      </c>
      <c r="B518" s="15">
        <v>3004</v>
      </c>
      <c r="C518" s="43">
        <f>'[18]2. BM Database'!C385</f>
        <v>2010</v>
      </c>
      <c r="D518" s="15">
        <v>3</v>
      </c>
      <c r="E518" s="17">
        <f>'[18]2. BM Database'!F385/1000</f>
        <v>52519.053272500001</v>
      </c>
      <c r="F518" s="41">
        <f t="shared" si="101"/>
        <v>1.1243125351578573</v>
      </c>
      <c r="G518" s="44">
        <f>'[18]2. BM Database'!P385/1000</f>
        <v>1518.1679999999999</v>
      </c>
      <c r="H518" s="16">
        <f t="shared" si="103"/>
        <v>1518.1679999999999</v>
      </c>
      <c r="I518" s="18">
        <f>'[18]2. BM Database'!L385</f>
        <v>300664</v>
      </c>
      <c r="J518" s="18">
        <f>'[18]2. BM Database'!R385</f>
        <v>5414</v>
      </c>
      <c r="K518" s="18">
        <f t="shared" si="102"/>
        <v>2721.0000000000005</v>
      </c>
      <c r="L518" s="19">
        <f>'[18]2. BM Database'!T385</f>
        <v>0.50258588843738461</v>
      </c>
      <c r="M518" s="9"/>
      <c r="N518" s="9"/>
    </row>
    <row r="519" spans="1:14">
      <c r="A519" s="15" t="str">
        <f>'[18]2. BM Database'!B386</f>
        <v>HYDRO OTTAWA LIMITED</v>
      </c>
      <c r="B519" s="15">
        <v>3004</v>
      </c>
      <c r="C519" s="43">
        <f>'[18]2. BM Database'!C386</f>
        <v>2011</v>
      </c>
      <c r="D519" s="15">
        <v>3</v>
      </c>
      <c r="E519" s="17">
        <f>'[18]2. BM Database'!F386/1000</f>
        <v>53053.012890099992</v>
      </c>
      <c r="F519" s="41">
        <f t="shared" si="101"/>
        <v>1.1430978626415853</v>
      </c>
      <c r="G519" s="44">
        <f>'[18]2. BM Database'!P386/1000</f>
        <v>1501.701</v>
      </c>
      <c r="H519" s="16">
        <f t="shared" si="103"/>
        <v>1518.1679999999999</v>
      </c>
      <c r="I519" s="18">
        <f>'[18]2. BM Database'!L386</f>
        <v>305266</v>
      </c>
      <c r="J519" s="18">
        <f>'[18]2. BM Database'!R386</f>
        <v>5606</v>
      </c>
      <c r="K519" s="18">
        <f t="shared" si="102"/>
        <v>2690</v>
      </c>
      <c r="L519" s="19">
        <f>'[18]2. BM Database'!T386</f>
        <v>0.47984302533000356</v>
      </c>
      <c r="M519" s="9"/>
      <c r="N519" s="9"/>
    </row>
    <row r="520" spans="1:14">
      <c r="A520" s="15" t="str">
        <f>'[18]2. BM Database'!B387</f>
        <v>HYDRO OTTAWA LIMITED</v>
      </c>
      <c r="B520" s="15">
        <v>3004</v>
      </c>
      <c r="C520" s="43">
        <f>'[18]2. BM Database'!C387</f>
        <v>2012</v>
      </c>
      <c r="D520" s="15">
        <v>3</v>
      </c>
      <c r="E520" s="17">
        <f>'[18]2. BM Database'!F387/1000</f>
        <v>69443.905366499996</v>
      </c>
      <c r="F520" s="41">
        <f t="shared" si="101"/>
        <v>1.160126854517312</v>
      </c>
      <c r="G520" s="44">
        <f>'[18]2. BM Database'!P387/1000</f>
        <v>1458.4970000000001</v>
      </c>
      <c r="H520" s="16">
        <f t="shared" si="103"/>
        <v>1518.1679999999999</v>
      </c>
      <c r="I520" s="18">
        <f>'[18]2. BM Database'!L387</f>
        <v>309534</v>
      </c>
      <c r="J520" s="18">
        <f>'[18]2. BM Database'!R387</f>
        <v>5658</v>
      </c>
      <c r="K520" s="18">
        <f t="shared" si="102"/>
        <v>2735</v>
      </c>
      <c r="L520" s="19">
        <f>'[18]2. BM Database'!T387</f>
        <v>0.48338635560268645</v>
      </c>
      <c r="M520" s="9"/>
      <c r="N520" s="9"/>
    </row>
    <row r="521" spans="1:14" s="15" customFormat="1">
      <c r="A521" s="15" t="s">
        <v>55</v>
      </c>
      <c r="B521" s="15">
        <v>3004</v>
      </c>
      <c r="C521" s="43">
        <v>2013</v>
      </c>
      <c r="D521" s="15">
        <v>3</v>
      </c>
      <c r="E521" s="17">
        <f>HLOOKUP(A521,'[19]2013 Benchmarking Calculations'!$I$3:$CC$76,6,FALSE)/1000</f>
        <v>70831.893209000002</v>
      </c>
      <c r="F521" s="41">
        <f t="shared" si="101"/>
        <v>1.178602141578931</v>
      </c>
      <c r="G521" s="44">
        <f>HLOOKUP(A521,'[19]2013 Benchmarking Calculations'!$I$3:$CC$76,57,FALSE)/1000</f>
        <v>1430.3030000000001</v>
      </c>
      <c r="H521" s="16">
        <f t="shared" si="103"/>
        <v>1518.1679999999999</v>
      </c>
      <c r="I521" s="18">
        <f>HLOOKUP(A521,'[19]2013 Benchmarking Calculations'!$I$3:$CC$76,53,FALSE)</f>
        <v>314722</v>
      </c>
      <c r="J521" s="18">
        <f>HLOOKUP(A521,'[19]2013 Benchmarking Calculations'!$I$3:$CC$76,71,FALSE)</f>
        <v>5484</v>
      </c>
      <c r="K521" s="18">
        <f t="shared" si="102"/>
        <v>2781</v>
      </c>
      <c r="L521" s="19">
        <f>HLOOKUP(A521,'[19]2013 PBR data '!B$42:BV$68,15,FALSE)/HLOOKUP(A521,'[19]2013 PBR data '!B$42:BV$68,13,FALSE)</f>
        <v>0.50711159737417943</v>
      </c>
      <c r="M521" s="9"/>
      <c r="N521" s="9"/>
    </row>
    <row r="522" spans="1:14" s="15" customFormat="1">
      <c r="A522" s="15" t="s">
        <v>55</v>
      </c>
      <c r="B522" s="15">
        <v>3004</v>
      </c>
      <c r="C522" s="43">
        <v>2014</v>
      </c>
      <c r="D522" s="15">
        <v>3</v>
      </c>
      <c r="E522" s="17">
        <f>VLOOKUP(A522,[20]Result!$B$12:$D$84,2,FALSE)/10^3</f>
        <v>75953.201000000001</v>
      </c>
      <c r="F522" s="41">
        <f t="shared" si="101"/>
        <v>1.2030671041042156</v>
      </c>
      <c r="G522" s="44">
        <f>VLOOKUP(A522,'[21]General transpose'!$A$1:$AF$73,26,FALSE)/10^3</f>
        <v>1307.6510000000001</v>
      </c>
      <c r="H522" s="16">
        <f t="shared" si="103"/>
        <v>1518.1679999999999</v>
      </c>
      <c r="I522" s="18">
        <f>VLOOKUP(A522,'[21]General transpose'!$A$1:$AF$73,8,FALSE)</f>
        <v>319536</v>
      </c>
      <c r="J522" s="18">
        <f>VLOOKUP(A522,'[21]General transpose'!$A$1:$AF$73,16,FALSE)</f>
        <v>5506</v>
      </c>
      <c r="K522" s="18">
        <f t="shared" si="102"/>
        <v>2802</v>
      </c>
      <c r="L522" s="19">
        <f>VLOOKUP(A522,'[21]General transpose'!$A$1:$AF$73,17,FALSE)</f>
        <v>0.50889938249182709</v>
      </c>
      <c r="M522" s="9"/>
      <c r="N522" s="9"/>
    </row>
    <row r="523" spans="1:14" s="15" customFormat="1">
      <c r="A523" s="15" t="s">
        <v>55</v>
      </c>
      <c r="B523" s="15">
        <v>3004</v>
      </c>
      <c r="C523" s="43">
        <v>2015</v>
      </c>
      <c r="D523" s="15">
        <v>3</v>
      </c>
      <c r="E523" s="17">
        <f>VLOOKUP(A522,[20]Result!$B$12:$D$84,3,FALSE)/10^3</f>
        <v>76651.195999999996</v>
      </c>
      <c r="F523" s="41">
        <f t="shared" si="101"/>
        <v>1.2312762402864634</v>
      </c>
      <c r="G523" s="44">
        <f>VLOOKUP(A522,'[22]General transpose'!$A$1:$AF$73,26,FALSE)/10^3</f>
        <v>1374.915</v>
      </c>
      <c r="H523" s="16">
        <f t="shared" si="103"/>
        <v>1518.1679999999999</v>
      </c>
      <c r="I523" s="18">
        <f>VLOOKUP(A522,'[22]General transpose'!$A$1:$AF$73,8,FALSE)</f>
        <v>323919</v>
      </c>
      <c r="J523" s="18">
        <f>VLOOKUP(A522,'[22]General transpose'!$A$1:$AF$73,16,FALSE)</f>
        <v>5572</v>
      </c>
      <c r="K523" s="18">
        <f t="shared" si="102"/>
        <v>2849</v>
      </c>
      <c r="L523" s="19">
        <f>VLOOKUP(A522,'[22]General transpose'!$A$1:$AF$73,17,FALSE)</f>
        <v>0.5113065326633166</v>
      </c>
      <c r="M523" s="9"/>
      <c r="N523" s="9"/>
    </row>
    <row r="524" spans="1:14" s="15" customFormat="1">
      <c r="A524" s="15" t="s">
        <v>55</v>
      </c>
      <c r="B524" s="15">
        <v>3004</v>
      </c>
      <c r="C524" s="43">
        <v>2016</v>
      </c>
      <c r="D524" s="15">
        <v>3</v>
      </c>
      <c r="E524" s="17">
        <f>'[14]2016 Benchmarking Calculations'!$AO$8/1000</f>
        <v>77473.478329000005</v>
      </c>
      <c r="F524" s="41">
        <f t="shared" si="101"/>
        <v>1.2455044937824149</v>
      </c>
      <c r="G524" s="44">
        <f>HLOOKUP(A524,[23]General!$A$1:$BQ$23,22,FALSE)/10^3</f>
        <v>1391.443</v>
      </c>
      <c r="H524" s="16">
        <f t="shared" si="103"/>
        <v>1518.1679999999999</v>
      </c>
      <c r="I524" s="18">
        <f>HLOOKUP(A524,[23]General!$A$1:$BQ$23,9,FALSE)</f>
        <v>327880</v>
      </c>
      <c r="J524" s="18">
        <f>HLOOKUP(A524,[23]General!$A$1:$BQ$23,17,FALSE)</f>
        <v>5608</v>
      </c>
      <c r="K524" s="18">
        <f t="shared" si="102"/>
        <v>2887</v>
      </c>
      <c r="L524" s="19">
        <f>HLOOKUP(A524,[23]General!$A$1:$BQ$23,18,FALSE)</f>
        <v>0.51480028530670474</v>
      </c>
      <c r="M524" s="9"/>
      <c r="N524" s="9"/>
    </row>
    <row r="525" spans="1:14" s="15" customFormat="1">
      <c r="A525" s="15" t="s">
        <v>55</v>
      </c>
      <c r="B525" s="15">
        <v>3004</v>
      </c>
      <c r="C525" s="43">
        <v>2017</v>
      </c>
      <c r="D525" s="15">
        <v>3</v>
      </c>
      <c r="E525" s="17">
        <f>'[14]2017 Benchmarking Calculations'!$AQ$9/1000</f>
        <v>76585.426719499985</v>
      </c>
      <c r="F525" s="41">
        <f t="shared" si="101"/>
        <v>1.2674505553724562</v>
      </c>
      <c r="G525" s="44">
        <f>[15]General!$AD$20/1000</f>
        <v>1360.318</v>
      </c>
      <c r="H525" s="16">
        <f t="shared" si="103"/>
        <v>1518.1679999999999</v>
      </c>
      <c r="I525" s="18">
        <f>[15]General!$AD$9</f>
        <v>331777</v>
      </c>
      <c r="J525" s="18">
        <f>[15]General!$AD$17</f>
        <v>5712</v>
      </c>
      <c r="K525" s="18">
        <f>J525*L525</f>
        <v>2980</v>
      </c>
      <c r="L525" s="19">
        <f>[15]General!$AD$16/[15]General!$AD$17</f>
        <v>0.52170868347338939</v>
      </c>
      <c r="M525" s="9"/>
      <c r="N525" s="9"/>
    </row>
    <row r="526" spans="1:14" s="15" customFormat="1">
      <c r="A526" s="15" t="s">
        <v>55</v>
      </c>
      <c r="B526" s="15">
        <v>3004</v>
      </c>
      <c r="C526" s="43">
        <v>2018</v>
      </c>
      <c r="D526" s="15">
        <v>3</v>
      </c>
      <c r="E526" s="17">
        <f>'[16]2018 Benchmarking Calculations'!$AQ$10/1000</f>
        <v>81806.254579</v>
      </c>
      <c r="F526" s="41">
        <f t="shared" si="101"/>
        <v>1.2994718602728874</v>
      </c>
      <c r="G526" s="44">
        <f>'[16]2018 Benchmarking Calculations'!$AQ$61/1000</f>
        <v>1441.3689999999999</v>
      </c>
      <c r="H526" s="16">
        <f t="shared" si="103"/>
        <v>1518.1679999999999</v>
      </c>
      <c r="I526" s="18">
        <f>'[16]2018 Benchmarking Calculations'!$AQ$57</f>
        <v>335320</v>
      </c>
      <c r="J526" s="18">
        <f>'[16]2018 Utility Characteristics'!$AK$103</f>
        <v>5767</v>
      </c>
      <c r="K526" s="18">
        <f>'[16]2018 Utility Characteristics'!$AK$105</f>
        <v>3022</v>
      </c>
      <c r="L526" s="19">
        <f>K526/J526</f>
        <v>0.52401595283509628</v>
      </c>
      <c r="M526" s="9"/>
      <c r="N526" s="9"/>
    </row>
    <row r="527" spans="1:14" s="15" customFormat="1">
      <c r="A527" s="15" t="s">
        <v>55</v>
      </c>
      <c r="B527" s="15">
        <v>3004</v>
      </c>
      <c r="C527" s="43">
        <v>2019</v>
      </c>
      <c r="D527" s="15">
        <v>3</v>
      </c>
      <c r="E527" s="17">
        <f>'[17]2019 Benchmarking Calculations'!$AQ$10/1000</f>
        <v>78332.370787500011</v>
      </c>
      <c r="F527" s="41">
        <f t="shared" si="101"/>
        <v>1.3352608354138498</v>
      </c>
      <c r="G527" s="44">
        <f>'[17]2019 Benchmarking Calculations'!$AQ$61/1000</f>
        <v>1348.2149999999999</v>
      </c>
      <c r="H527" s="16">
        <f t="shared" si="103"/>
        <v>1518.1679999999999</v>
      </c>
      <c r="I527" s="18">
        <f>'[17]2019 Benchmarking Calculations'!$AQ$57</f>
        <v>339771</v>
      </c>
      <c r="J527" s="18">
        <f>'[17]2019 Utility Characteristics'!$AK$13</f>
        <v>5836</v>
      </c>
      <c r="K527" s="18">
        <f>'[17]2019 Utility Characteristics'!$AK$18</f>
        <v>3094</v>
      </c>
      <c r="L527" s="19">
        <f>K527/J527</f>
        <v>0.53015764222069905</v>
      </c>
      <c r="M527" s="9"/>
      <c r="N527" s="9"/>
    </row>
    <row r="528" spans="1:14">
      <c r="A528" s="15" t="str">
        <f>'[18]2. BM Database'!B391</f>
        <v>INNISFIL HYDRO DISTRIBUTION SYSTEMS LIMITED</v>
      </c>
      <c r="B528" s="15">
        <v>3043</v>
      </c>
      <c r="C528" s="43">
        <f t="shared" ref="C528:C535" si="104">C513</f>
        <v>2005</v>
      </c>
      <c r="D528" s="15">
        <v>3</v>
      </c>
      <c r="E528" s="17">
        <f>'[18]2. BM Database'!F391/1000</f>
        <v>2593.7866799999997</v>
      </c>
      <c r="F528" s="41">
        <f t="shared" ref="F528:F542" si="105">F513</f>
        <v>1</v>
      </c>
      <c r="G528" s="44">
        <f>'[18]2. BM Database'!P391/1000</f>
        <v>62.728999999999999</v>
      </c>
      <c r="H528" s="16">
        <f>G528</f>
        <v>62.728999999999999</v>
      </c>
      <c r="I528" s="18">
        <f>'[18]2. BM Database'!L391</f>
        <v>13793</v>
      </c>
      <c r="J528" s="18">
        <f>'[18]2. BM Database'!R391</f>
        <v>597</v>
      </c>
      <c r="K528" s="18">
        <f t="shared" ref="K528:K539" si="106">J528*L528</f>
        <v>104</v>
      </c>
      <c r="L528" s="19">
        <f>'[18]2. BM Database'!T391</f>
        <v>0.17420435510887772</v>
      </c>
      <c r="M528" s="9"/>
      <c r="N528" s="9"/>
    </row>
    <row r="529" spans="1:14">
      <c r="A529" s="15" t="str">
        <f>'[18]2. BM Database'!B392</f>
        <v>INNISFIL HYDRO DISTRIBUTION SYSTEMS LIMITED</v>
      </c>
      <c r="B529" s="15">
        <v>3043</v>
      </c>
      <c r="C529" s="43">
        <f t="shared" si="104"/>
        <v>2006</v>
      </c>
      <c r="D529" s="15">
        <v>3</v>
      </c>
      <c r="E529" s="17">
        <f>'[18]2. BM Database'!F392/1000</f>
        <v>2864.5698499999994</v>
      </c>
      <c r="F529" s="41">
        <f t="shared" si="105"/>
        <v>1.0181607380073696</v>
      </c>
      <c r="G529" s="44">
        <f>'[18]2. BM Database'!P392/1000</f>
        <v>48.244999999999997</v>
      </c>
      <c r="H529" s="16">
        <f>MAX(G529,H528)</f>
        <v>62.728999999999999</v>
      </c>
      <c r="I529" s="18">
        <f>'[18]2. BM Database'!L392</f>
        <v>13832</v>
      </c>
      <c r="J529" s="18">
        <f>'[18]2. BM Database'!R392</f>
        <v>631</v>
      </c>
      <c r="K529" s="18">
        <f t="shared" si="106"/>
        <v>111</v>
      </c>
      <c r="L529" s="19">
        <f>'[18]2. BM Database'!T392</f>
        <v>0.17591125198098256</v>
      </c>
      <c r="M529" s="9"/>
      <c r="N529" s="9"/>
    </row>
    <row r="530" spans="1:14">
      <c r="A530" s="15" t="str">
        <f>'[18]2. BM Database'!B393</f>
        <v>INNISFIL HYDRO DISTRIBUTION SYSTEMS LIMITED</v>
      </c>
      <c r="B530" s="15">
        <v>3043</v>
      </c>
      <c r="C530" s="43">
        <f t="shared" si="104"/>
        <v>2007</v>
      </c>
      <c r="D530" s="15">
        <v>3</v>
      </c>
      <c r="E530" s="17">
        <f>'[18]2. BM Database'!F393/1000</f>
        <v>3178.2351720000001</v>
      </c>
      <c r="F530" s="41">
        <f t="shared" si="105"/>
        <v>1.0531931014872313</v>
      </c>
      <c r="G530" s="44">
        <f>'[18]2. BM Database'!P393/1000</f>
        <v>48.561999999999998</v>
      </c>
      <c r="H530" s="16">
        <f t="shared" ref="H530:H542" si="107">MAX(G530,H529)</f>
        <v>62.728999999999999</v>
      </c>
      <c r="I530" s="18">
        <f>'[18]2. BM Database'!L393</f>
        <v>14120</v>
      </c>
      <c r="J530" s="18">
        <f>'[18]2. BM Database'!R393</f>
        <v>637</v>
      </c>
      <c r="K530" s="18">
        <f t="shared" si="106"/>
        <v>116</v>
      </c>
      <c r="L530" s="19">
        <f>'[18]2. BM Database'!T393</f>
        <v>0.18210361067503925</v>
      </c>
      <c r="M530" s="9"/>
      <c r="N530" s="9"/>
    </row>
    <row r="531" spans="1:14">
      <c r="A531" s="15" t="str">
        <f>'[18]2. BM Database'!B394</f>
        <v>INNISFIL HYDRO DISTRIBUTION SYSTEMS LIMITED</v>
      </c>
      <c r="B531" s="15">
        <v>3043</v>
      </c>
      <c r="C531" s="43">
        <f t="shared" si="104"/>
        <v>2008</v>
      </c>
      <c r="D531" s="15">
        <v>3</v>
      </c>
      <c r="E531" s="17">
        <f>'[18]2. BM Database'!F394/1000</f>
        <v>3585.0779899999998</v>
      </c>
      <c r="F531" s="41">
        <f t="shared" si="105"/>
        <v>1.078564603993923</v>
      </c>
      <c r="G531" s="44">
        <f>'[18]2. BM Database'!P394/1000</f>
        <v>49.1</v>
      </c>
      <c r="H531" s="16">
        <f t="shared" si="107"/>
        <v>62.728999999999999</v>
      </c>
      <c r="I531" s="18">
        <f>'[18]2. BM Database'!L394</f>
        <v>14471</v>
      </c>
      <c r="J531" s="18">
        <f>'[18]2. BM Database'!R394</f>
        <v>647</v>
      </c>
      <c r="K531" s="18">
        <f t="shared" si="106"/>
        <v>122</v>
      </c>
      <c r="L531" s="19">
        <f>'[18]2. BM Database'!T394</f>
        <v>0.18856259659969088</v>
      </c>
      <c r="M531" s="9"/>
      <c r="N531" s="9"/>
    </row>
    <row r="532" spans="1:14">
      <c r="A532" s="15" t="str">
        <f>'[18]2. BM Database'!B395</f>
        <v>INNISFIL HYDRO DISTRIBUTION SYSTEMS LIMITED</v>
      </c>
      <c r="B532" s="15">
        <v>3043</v>
      </c>
      <c r="C532" s="43">
        <f t="shared" si="104"/>
        <v>2009</v>
      </c>
      <c r="D532" s="15">
        <v>3</v>
      </c>
      <c r="E532" s="17">
        <f>'[18]2. BM Database'!F395/1000</f>
        <v>3677.9810599999996</v>
      </c>
      <c r="F532" s="41">
        <f t="shared" si="105"/>
        <v>1.0915070880241431</v>
      </c>
      <c r="G532" s="44">
        <f>'[18]2. BM Database'!P395/1000</f>
        <v>49.692</v>
      </c>
      <c r="H532" s="16">
        <f t="shared" si="107"/>
        <v>62.728999999999999</v>
      </c>
      <c r="I532" s="18">
        <f>'[18]2. BM Database'!L395</f>
        <v>14563</v>
      </c>
      <c r="J532" s="18">
        <f>'[18]2. BM Database'!R395</f>
        <v>741</v>
      </c>
      <c r="K532" s="18">
        <f t="shared" si="106"/>
        <v>136</v>
      </c>
      <c r="L532" s="19">
        <f>'[18]2. BM Database'!T395</f>
        <v>0.18353576248313092</v>
      </c>
      <c r="M532" s="9"/>
      <c r="N532" s="9"/>
    </row>
    <row r="533" spans="1:14">
      <c r="A533" s="15" t="str">
        <f>'[18]2. BM Database'!B396</f>
        <v>INNISFIL HYDRO DISTRIBUTION SYSTEMS LIMITED</v>
      </c>
      <c r="B533" s="15">
        <v>3043</v>
      </c>
      <c r="C533" s="43">
        <f t="shared" si="104"/>
        <v>2010</v>
      </c>
      <c r="D533" s="15">
        <v>3</v>
      </c>
      <c r="E533" s="17">
        <f>'[18]2. BM Database'!F396/1000</f>
        <v>3824.8855900000003</v>
      </c>
      <c r="F533" s="41">
        <f t="shared" si="105"/>
        <v>1.1243125351578573</v>
      </c>
      <c r="G533" s="44">
        <f>'[18]2. BM Database'!P396/1000</f>
        <v>51.326999999999998</v>
      </c>
      <c r="H533" s="16">
        <f t="shared" si="107"/>
        <v>62.728999999999999</v>
      </c>
      <c r="I533" s="18">
        <f>'[18]2. BM Database'!L396</f>
        <v>14707</v>
      </c>
      <c r="J533" s="18">
        <f>'[18]2. BM Database'!R396</f>
        <v>753</v>
      </c>
      <c r="K533" s="18">
        <f t="shared" si="106"/>
        <v>140</v>
      </c>
      <c r="L533" s="19">
        <f>'[18]2. BM Database'!T396</f>
        <v>0.18592297476759628</v>
      </c>
      <c r="M533" s="9"/>
      <c r="N533" s="9"/>
    </row>
    <row r="534" spans="1:14">
      <c r="A534" s="15" t="str">
        <f>'[18]2. BM Database'!B397</f>
        <v>INNISFIL HYDRO DISTRIBUTION SYSTEMS LIMITED</v>
      </c>
      <c r="B534" s="15">
        <v>3043</v>
      </c>
      <c r="C534" s="43">
        <f t="shared" si="104"/>
        <v>2011</v>
      </c>
      <c r="D534" s="15">
        <v>3</v>
      </c>
      <c r="E534" s="17">
        <f>'[18]2. BM Database'!F397/1000</f>
        <v>4174.0171700000001</v>
      </c>
      <c r="F534" s="41">
        <f t="shared" si="105"/>
        <v>1.1430978626415853</v>
      </c>
      <c r="G534" s="44">
        <f>'[18]2. BM Database'!P397/1000</f>
        <v>49.22</v>
      </c>
      <c r="H534" s="16">
        <f t="shared" si="107"/>
        <v>62.728999999999999</v>
      </c>
      <c r="I534" s="18">
        <f>'[18]2. BM Database'!L397</f>
        <v>14826</v>
      </c>
      <c r="J534" s="18">
        <f>'[18]2. BM Database'!R397</f>
        <v>748</v>
      </c>
      <c r="K534" s="18">
        <f t="shared" si="106"/>
        <v>141</v>
      </c>
      <c r="L534" s="19">
        <f>'[18]2. BM Database'!T397</f>
        <v>0.18850267379679145</v>
      </c>
      <c r="M534" s="9"/>
      <c r="N534" s="9"/>
    </row>
    <row r="535" spans="1:14">
      <c r="A535" s="15" t="str">
        <f>'[18]2. BM Database'!B398</f>
        <v>INNISFIL HYDRO DISTRIBUTION SYSTEMS LIMITED</v>
      </c>
      <c r="B535" s="15">
        <v>3043</v>
      </c>
      <c r="C535" s="43">
        <f t="shared" si="104"/>
        <v>2012</v>
      </c>
      <c r="D535" s="15">
        <v>3</v>
      </c>
      <c r="E535" s="17">
        <f>'[18]2. BM Database'!F398/1000</f>
        <v>4715.3175844999996</v>
      </c>
      <c r="F535" s="41">
        <f t="shared" si="105"/>
        <v>1.160126854517312</v>
      </c>
      <c r="G535" s="44">
        <f>'[18]2. BM Database'!P398/1000</f>
        <v>46.737000000000002</v>
      </c>
      <c r="H535" s="16">
        <f t="shared" si="107"/>
        <v>62.728999999999999</v>
      </c>
      <c r="I535" s="18">
        <f>'[18]2. BM Database'!L398</f>
        <v>15062</v>
      </c>
      <c r="J535" s="18">
        <f>'[18]2. BM Database'!R398</f>
        <v>783</v>
      </c>
      <c r="K535" s="18">
        <f t="shared" si="106"/>
        <v>163</v>
      </c>
      <c r="L535" s="19">
        <f>'[18]2. BM Database'!T398</f>
        <v>0.20817369093231161</v>
      </c>
      <c r="M535" s="9"/>
      <c r="N535" s="9"/>
    </row>
    <row r="536" spans="1:14" s="15" customFormat="1">
      <c r="A536" s="15" t="s">
        <v>56</v>
      </c>
      <c r="B536" s="15">
        <v>3043</v>
      </c>
      <c r="C536" s="43">
        <v>2013</v>
      </c>
      <c r="D536" s="15">
        <v>3</v>
      </c>
      <c r="E536" s="17">
        <f>HLOOKUP(A536,'[19]2013 Benchmarking Calculations'!$I$3:$CC$76,6,FALSE)/1000</f>
        <v>4983.1837300000007</v>
      </c>
      <c r="F536" s="41">
        <f t="shared" si="105"/>
        <v>1.178602141578931</v>
      </c>
      <c r="G536" s="44">
        <f>HLOOKUP(A536,'[19]2013 Benchmarking Calculations'!$I$3:$CC$76,57,FALSE)/1000</f>
        <v>58.024999999999999</v>
      </c>
      <c r="H536" s="16">
        <f t="shared" si="107"/>
        <v>62.728999999999999</v>
      </c>
      <c r="I536" s="18">
        <f>HLOOKUP(A536,'[19]2013 Benchmarking Calculations'!$I$3:$CC$76,53,FALSE)</f>
        <v>15341</v>
      </c>
      <c r="J536" s="18">
        <f>HLOOKUP(A536,'[19]2013 Benchmarking Calculations'!$I$3:$CC$76,71,FALSE)</f>
        <v>793</v>
      </c>
      <c r="K536" s="18">
        <f t="shared" si="106"/>
        <v>163</v>
      </c>
      <c r="L536" s="19">
        <f>HLOOKUP(A536,'[19]2013 PBR data '!B$42:BV$68,15,FALSE)/HLOOKUP(A536,'[19]2013 PBR data '!B$42:BV$68,13,FALSE)</f>
        <v>0.20554854981084489</v>
      </c>
      <c r="M536" s="9"/>
      <c r="N536" s="9"/>
    </row>
    <row r="537" spans="1:14" s="15" customFormat="1">
      <c r="A537" s="15" t="s">
        <v>56</v>
      </c>
      <c r="B537" s="15">
        <v>3043</v>
      </c>
      <c r="C537" s="43">
        <v>2014</v>
      </c>
      <c r="D537" s="15">
        <v>3</v>
      </c>
      <c r="E537" s="17">
        <f>VLOOKUP(A537,[20]Result!$B$12:$D$84,2,FALSE)/10^3</f>
        <v>5190.6639999999998</v>
      </c>
      <c r="F537" s="41">
        <f t="shared" si="105"/>
        <v>1.2030671041042156</v>
      </c>
      <c r="G537" s="17">
        <f>G1185</f>
        <v>51.363</v>
      </c>
      <c r="H537" s="16">
        <f t="shared" si="107"/>
        <v>62.728999999999999</v>
      </c>
      <c r="I537" s="18">
        <f t="shared" ref="I537:J539" si="108">I1185</f>
        <v>15790</v>
      </c>
      <c r="J537" s="18">
        <f t="shared" si="108"/>
        <v>818</v>
      </c>
      <c r="K537" s="18">
        <f t="shared" si="106"/>
        <v>168</v>
      </c>
      <c r="L537" s="19">
        <f>L1185</f>
        <v>0.20537897310513448</v>
      </c>
      <c r="M537" s="9"/>
      <c r="N537" s="9"/>
    </row>
    <row r="538" spans="1:14" s="15" customFormat="1">
      <c r="A538" s="15" t="s">
        <v>56</v>
      </c>
      <c r="B538" s="15">
        <v>3043</v>
      </c>
      <c r="C538" s="43">
        <v>2015</v>
      </c>
      <c r="D538" s="15">
        <v>3</v>
      </c>
      <c r="E538" s="17">
        <f>VLOOKUP(A537,[20]Result!$B$12:$D$84,3,FALSE)/10^3</f>
        <v>5396.3190000000004</v>
      </c>
      <c r="F538" s="41">
        <f t="shared" si="105"/>
        <v>1.2312762402864634</v>
      </c>
      <c r="G538" s="17">
        <f>G1186</f>
        <v>50.975000000000001</v>
      </c>
      <c r="H538" s="16">
        <f t="shared" si="107"/>
        <v>62.728999999999999</v>
      </c>
      <c r="I538" s="18">
        <f t="shared" si="108"/>
        <v>16157</v>
      </c>
      <c r="J538" s="18">
        <f t="shared" si="108"/>
        <v>833</v>
      </c>
      <c r="K538" s="18">
        <f t="shared" si="106"/>
        <v>173</v>
      </c>
      <c r="L538" s="19">
        <f>L1186</f>
        <v>0.20768307322929172</v>
      </c>
      <c r="M538" s="9"/>
      <c r="N538" s="9"/>
    </row>
    <row r="539" spans="1:14" s="15" customFormat="1">
      <c r="A539" s="15" t="s">
        <v>319</v>
      </c>
      <c r="B539" s="15">
        <v>3043</v>
      </c>
      <c r="C539" s="43">
        <v>2016</v>
      </c>
      <c r="D539" s="15">
        <v>3</v>
      </c>
      <c r="E539" s="17">
        <f>'[14]2016 Benchmarking Calculations'!$AP$8/1000</f>
        <v>5712.2093399999994</v>
      </c>
      <c r="F539" s="41">
        <f t="shared" si="105"/>
        <v>1.2455044937824149</v>
      </c>
      <c r="G539" s="17">
        <f>G1187</f>
        <v>52.171999999999997</v>
      </c>
      <c r="H539" s="16">
        <f t="shared" si="107"/>
        <v>62.728999999999999</v>
      </c>
      <c r="I539" s="18">
        <f t="shared" si="108"/>
        <v>16443</v>
      </c>
      <c r="J539" s="18">
        <f t="shared" si="108"/>
        <v>843</v>
      </c>
      <c r="K539" s="18">
        <f t="shared" si="106"/>
        <v>183</v>
      </c>
      <c r="L539" s="19">
        <f>L1187</f>
        <v>0.21708185053380782</v>
      </c>
      <c r="M539" s="9"/>
      <c r="N539" s="9"/>
    </row>
    <row r="540" spans="1:14" s="15" customFormat="1">
      <c r="A540" s="15" t="s">
        <v>319</v>
      </c>
      <c r="B540" s="15">
        <v>3043</v>
      </c>
      <c r="C540" s="43">
        <v>2017</v>
      </c>
      <c r="D540" s="15">
        <v>3</v>
      </c>
      <c r="E540" s="17">
        <f>'[14]2017 Benchmarking Calculations'!$AR$9/1000</f>
        <v>5967.6737899999998</v>
      </c>
      <c r="F540" s="41">
        <f t="shared" si="105"/>
        <v>1.2674505553724562</v>
      </c>
      <c r="G540" s="44">
        <f>'[14]2017 Benchmarking Calculations'!$AR$60/1000</f>
        <v>51.036000000000001</v>
      </c>
      <c r="H540" s="16">
        <f t="shared" si="107"/>
        <v>62.728999999999999</v>
      </c>
      <c r="I540" s="18">
        <f>'[14]2017 Benchmarking Calculations'!$AR$56</f>
        <v>17228</v>
      </c>
      <c r="J540" s="18">
        <f>'[14]2017 Utility Characteristics'!$AI$79</f>
        <v>862</v>
      </c>
      <c r="K540" s="15">
        <f>'[14]2017 Utility Characteristics'!$AI$81</f>
        <v>200</v>
      </c>
      <c r="L540" s="19">
        <f>K540/J540</f>
        <v>0.23201856148491878</v>
      </c>
      <c r="M540" s="9"/>
      <c r="N540" s="9"/>
    </row>
    <row r="541" spans="1:14" s="15" customFormat="1">
      <c r="A541" s="15" t="s">
        <v>319</v>
      </c>
      <c r="B541" s="15">
        <v>3043</v>
      </c>
      <c r="C541" s="43">
        <v>2018</v>
      </c>
      <c r="D541" s="15">
        <v>3</v>
      </c>
      <c r="E541" s="17">
        <f>'[16]2018 Benchmarking Calculations'!$AR$10/1000</f>
        <v>5758.1293800000012</v>
      </c>
      <c r="F541" s="41">
        <f t="shared" si="105"/>
        <v>1.2994718602728874</v>
      </c>
      <c r="G541" s="44">
        <f>'[16]2018 Benchmarking Calculations'!$AR$61/1000</f>
        <v>58.965000000000003</v>
      </c>
      <c r="H541" s="16">
        <f t="shared" si="107"/>
        <v>62.728999999999999</v>
      </c>
      <c r="I541" s="18">
        <f>'[16]2018 Benchmarking Calculations'!$AR$57</f>
        <v>18163</v>
      </c>
      <c r="J541" s="18">
        <f>'[16]2018 Utility Characteristics'!$AL$103</f>
        <v>879</v>
      </c>
      <c r="K541" s="18">
        <f>'[16]2018 Utility Characteristics'!$AL$105</f>
        <v>217</v>
      </c>
      <c r="L541" s="19">
        <f>K541/J541</f>
        <v>0.24687144482366324</v>
      </c>
      <c r="M541" s="9"/>
      <c r="N541" s="9"/>
    </row>
    <row r="542" spans="1:14" s="15" customFormat="1">
      <c r="A542" s="15" t="s">
        <v>319</v>
      </c>
      <c r="B542" s="15">
        <v>3043</v>
      </c>
      <c r="C542" s="43">
        <v>2019</v>
      </c>
      <c r="D542" s="15">
        <v>3</v>
      </c>
      <c r="E542" s="17">
        <f>'[17]2019 Benchmarking Calculations'!$AR$10/1000</f>
        <v>5765.6606499999998</v>
      </c>
      <c r="F542" s="41">
        <f t="shared" si="105"/>
        <v>1.3352608354138498</v>
      </c>
      <c r="G542" s="44">
        <f>'[17]2019 Benchmarking Calculations'!$AR$61/1000</f>
        <v>59.938000000000002</v>
      </c>
      <c r="H542" s="16">
        <f t="shared" si="107"/>
        <v>62.728999999999999</v>
      </c>
      <c r="I542" s="18">
        <f>'[17]2019 Benchmarking Calculations'!$AR$57</f>
        <v>18632</v>
      </c>
      <c r="J542" s="18">
        <f>'[17]2019 Utility Characteristics'!$AL$16+'[17]2019 Utility Characteristics'!$AL$18</f>
        <v>796</v>
      </c>
      <c r="K542" s="18">
        <f>'[17]2019 Utility Characteristics'!$AL$18</f>
        <v>182</v>
      </c>
      <c r="L542" s="19">
        <f>K542/J542</f>
        <v>0.228643216080402</v>
      </c>
      <c r="M542" s="9"/>
      <c r="N542" s="9"/>
    </row>
    <row r="543" spans="1:14">
      <c r="A543" s="15" t="str">
        <f>'[18]2. BM Database'!B402</f>
        <v>KENORA HYDRO ELECTRIC CORPORATION LTD.</v>
      </c>
      <c r="B543" s="15">
        <v>3061</v>
      </c>
      <c r="C543" s="43">
        <f>'[18]2. BM Database'!C402</f>
        <v>2005</v>
      </c>
      <c r="D543" s="15">
        <v>3</v>
      </c>
      <c r="E543" s="17">
        <f>'[18]2. BM Database'!F402/1000</f>
        <v>1212.3566099999998</v>
      </c>
      <c r="F543" s="41">
        <f t="shared" ref="F543:F557" si="109">F528</f>
        <v>1</v>
      </c>
      <c r="G543" s="44">
        <f>'[18]2. BM Database'!P402/1000</f>
        <v>23</v>
      </c>
      <c r="H543" s="16">
        <f>G543</f>
        <v>23</v>
      </c>
      <c r="I543" s="18">
        <f>'[18]2. BM Database'!L402</f>
        <v>5847</v>
      </c>
      <c r="J543" s="18">
        <f>'[18]2. BM Database'!R402</f>
        <v>98</v>
      </c>
      <c r="K543" s="18">
        <f t="shared" ref="K543:K554" si="110">J543*L543</f>
        <v>10</v>
      </c>
      <c r="L543" s="19">
        <f>'[18]2. BM Database'!T402</f>
        <v>0.10204081632653061</v>
      </c>
      <c r="M543" s="9"/>
      <c r="N543" s="9"/>
    </row>
    <row r="544" spans="1:14">
      <c r="A544" s="15" t="str">
        <f>'[18]2. BM Database'!B403</f>
        <v>KENORA HYDRO ELECTRIC CORPORATION LTD.</v>
      </c>
      <c r="B544" s="15">
        <v>3061</v>
      </c>
      <c r="C544" s="43">
        <f>'[18]2. BM Database'!C403</f>
        <v>2006</v>
      </c>
      <c r="D544" s="15">
        <v>3</v>
      </c>
      <c r="E544" s="17">
        <f>'[18]2. BM Database'!F403/1000</f>
        <v>1238.23711</v>
      </c>
      <c r="F544" s="41">
        <f t="shared" si="109"/>
        <v>1.0181607380073696</v>
      </c>
      <c r="G544" s="44">
        <f>'[18]2. BM Database'!P403/1000</f>
        <v>20.864000000000001</v>
      </c>
      <c r="H544" s="16">
        <f>MAX(G544,H543)</f>
        <v>23</v>
      </c>
      <c r="I544" s="18">
        <f>'[18]2. BM Database'!L403</f>
        <v>5828</v>
      </c>
      <c r="J544" s="18">
        <f>'[18]2. BM Database'!R403</f>
        <v>98</v>
      </c>
      <c r="K544" s="18">
        <f t="shared" si="110"/>
        <v>10</v>
      </c>
      <c r="L544" s="19">
        <f>'[18]2. BM Database'!T403</f>
        <v>0.10204081632653061</v>
      </c>
      <c r="M544" s="9"/>
      <c r="N544" s="9"/>
    </row>
    <row r="545" spans="1:14">
      <c r="A545" s="15" t="str">
        <f>'[18]2. BM Database'!B404</f>
        <v>KENORA HYDRO ELECTRIC CORPORATION LTD.</v>
      </c>
      <c r="B545" s="15">
        <v>3061</v>
      </c>
      <c r="C545" s="43">
        <f>'[18]2. BM Database'!C404</f>
        <v>2007</v>
      </c>
      <c r="D545" s="15">
        <v>3</v>
      </c>
      <c r="E545" s="17">
        <f>'[18]2. BM Database'!F404/1000</f>
        <v>1379.6952099999996</v>
      </c>
      <c r="F545" s="41">
        <f t="shared" si="109"/>
        <v>1.0531931014872313</v>
      </c>
      <c r="G545" s="44">
        <f>'[18]2. BM Database'!P404/1000</f>
        <v>20.992999999999999</v>
      </c>
      <c r="H545" s="16">
        <f t="shared" ref="H545:H556" si="111">MAX(G545,H544)</f>
        <v>23</v>
      </c>
      <c r="I545" s="18">
        <f>'[18]2. BM Database'!L404</f>
        <v>5642</v>
      </c>
      <c r="J545" s="18">
        <f>'[18]2. BM Database'!R404</f>
        <v>98</v>
      </c>
      <c r="K545" s="18">
        <f t="shared" si="110"/>
        <v>10</v>
      </c>
      <c r="L545" s="19">
        <f>'[18]2. BM Database'!T404</f>
        <v>0.10204081632653061</v>
      </c>
      <c r="M545" s="9"/>
      <c r="N545" s="9"/>
    </row>
    <row r="546" spans="1:14">
      <c r="A546" s="15" t="str">
        <f>'[18]2. BM Database'!B405</f>
        <v>KENORA HYDRO ELECTRIC CORPORATION LTD.</v>
      </c>
      <c r="B546" s="15">
        <v>3061</v>
      </c>
      <c r="C546" s="43">
        <f>'[18]2. BM Database'!C405</f>
        <v>2008</v>
      </c>
      <c r="D546" s="15">
        <v>3</v>
      </c>
      <c r="E546" s="17">
        <f>'[18]2. BM Database'!F405/1000</f>
        <v>1522.53205</v>
      </c>
      <c r="F546" s="41">
        <f t="shared" si="109"/>
        <v>1.078564603993923</v>
      </c>
      <c r="G546" s="44">
        <f>'[18]2. BM Database'!P405/1000</f>
        <v>22.434999999999999</v>
      </c>
      <c r="H546" s="16">
        <f t="shared" si="111"/>
        <v>23</v>
      </c>
      <c r="I546" s="18">
        <f>'[18]2. BM Database'!L405</f>
        <v>5583</v>
      </c>
      <c r="J546" s="18">
        <f>'[18]2. BM Database'!R405</f>
        <v>98</v>
      </c>
      <c r="K546" s="18">
        <f t="shared" si="110"/>
        <v>10</v>
      </c>
      <c r="L546" s="19">
        <f>'[18]2. BM Database'!T405</f>
        <v>0.10204081632653061</v>
      </c>
      <c r="M546" s="9"/>
      <c r="N546" s="9"/>
    </row>
    <row r="547" spans="1:14">
      <c r="A547" s="15" t="str">
        <f>'[18]2. BM Database'!B406</f>
        <v>KENORA HYDRO ELECTRIC CORPORATION LTD.</v>
      </c>
      <c r="B547" s="15">
        <v>3061</v>
      </c>
      <c r="C547" s="43">
        <f>'[18]2. BM Database'!C406</f>
        <v>2009</v>
      </c>
      <c r="D547" s="15">
        <v>3</v>
      </c>
      <c r="E547" s="17">
        <f>'[18]2. BM Database'!F406/1000</f>
        <v>1752.2566199999999</v>
      </c>
      <c r="F547" s="41">
        <f t="shared" si="109"/>
        <v>1.0915070880241431</v>
      </c>
      <c r="G547" s="44">
        <f>'[18]2. BM Database'!P406/1000</f>
        <v>22.36</v>
      </c>
      <c r="H547" s="16">
        <f t="shared" si="111"/>
        <v>23</v>
      </c>
      <c r="I547" s="18">
        <f>'[18]2. BM Database'!L406</f>
        <v>5579</v>
      </c>
      <c r="J547" s="18">
        <f>'[18]2. BM Database'!R406</f>
        <v>98</v>
      </c>
      <c r="K547" s="18">
        <f t="shared" si="110"/>
        <v>10</v>
      </c>
      <c r="L547" s="19">
        <f>'[18]2. BM Database'!T406</f>
        <v>0.10204081632653061</v>
      </c>
      <c r="M547" s="9"/>
      <c r="N547" s="9"/>
    </row>
    <row r="548" spans="1:14">
      <c r="A548" s="15" t="str">
        <f>'[18]2. BM Database'!B407</f>
        <v>KENORA HYDRO ELECTRIC CORPORATION LTD.</v>
      </c>
      <c r="B548" s="15">
        <v>3061</v>
      </c>
      <c r="C548" s="43">
        <f>'[18]2. BM Database'!C407</f>
        <v>2010</v>
      </c>
      <c r="D548" s="15">
        <v>3</v>
      </c>
      <c r="E548" s="17">
        <f>'[18]2. BM Database'!F407/1000</f>
        <v>1676.8316499999999</v>
      </c>
      <c r="F548" s="41">
        <f t="shared" si="109"/>
        <v>1.1243125351578573</v>
      </c>
      <c r="G548" s="44">
        <f>'[18]2. BM Database'!P407/1000</f>
        <v>21.033999999999999</v>
      </c>
      <c r="H548" s="16">
        <f t="shared" si="111"/>
        <v>23</v>
      </c>
      <c r="I548" s="18">
        <f>'[18]2. BM Database'!L407</f>
        <v>5580</v>
      </c>
      <c r="J548" s="18">
        <f>'[18]2. BM Database'!R407</f>
        <v>98</v>
      </c>
      <c r="K548" s="18">
        <f t="shared" si="110"/>
        <v>10</v>
      </c>
      <c r="L548" s="19">
        <f>'[18]2. BM Database'!T407</f>
        <v>0.10204081632653061</v>
      </c>
      <c r="M548" s="9"/>
      <c r="N548" s="9"/>
    </row>
    <row r="549" spans="1:14">
      <c r="A549" s="15" t="str">
        <f>'[18]2. BM Database'!B408</f>
        <v>KENORA HYDRO ELECTRIC CORPORATION LTD.</v>
      </c>
      <c r="B549" s="15">
        <v>3061</v>
      </c>
      <c r="C549" s="43">
        <f>'[18]2. BM Database'!C408</f>
        <v>2011</v>
      </c>
      <c r="D549" s="15">
        <v>3</v>
      </c>
      <c r="E549" s="17">
        <f>'[18]2. BM Database'!F408/1000</f>
        <v>1961.059307264444</v>
      </c>
      <c r="F549" s="41">
        <f t="shared" si="109"/>
        <v>1.1430978626415853</v>
      </c>
      <c r="G549" s="44">
        <f>'[18]2. BM Database'!P408/1000</f>
        <v>20.492000000000001</v>
      </c>
      <c r="H549" s="16">
        <f t="shared" si="111"/>
        <v>23</v>
      </c>
      <c r="I549" s="18">
        <f>'[18]2. BM Database'!L408</f>
        <v>5572</v>
      </c>
      <c r="J549" s="18">
        <f>'[18]2. BM Database'!R408</f>
        <v>98</v>
      </c>
      <c r="K549" s="18">
        <f t="shared" si="110"/>
        <v>10</v>
      </c>
      <c r="L549" s="19">
        <f>'[18]2. BM Database'!T408</f>
        <v>0.10204081632653061</v>
      </c>
      <c r="M549" s="9"/>
      <c r="N549" s="9"/>
    </row>
    <row r="550" spans="1:14">
      <c r="A550" s="15" t="str">
        <f>'[18]2. BM Database'!B409</f>
        <v>KENORA HYDRO ELECTRIC CORPORATION LTD.</v>
      </c>
      <c r="B550" s="15">
        <v>3061</v>
      </c>
      <c r="C550" s="43">
        <f>'[18]2. BM Database'!C409</f>
        <v>2012</v>
      </c>
      <c r="D550" s="15">
        <v>3</v>
      </c>
      <c r="E550" s="17">
        <f>'[18]2. BM Database'!F409/1000</f>
        <v>1805.7831799999999</v>
      </c>
      <c r="F550" s="41">
        <f t="shared" si="109"/>
        <v>1.160126854517312</v>
      </c>
      <c r="G550" s="44">
        <f>'[18]2. BM Database'!P409/1000</f>
        <v>20.768000000000001</v>
      </c>
      <c r="H550" s="16">
        <f t="shared" si="111"/>
        <v>23</v>
      </c>
      <c r="I550" s="18">
        <f>'[18]2. BM Database'!L409</f>
        <v>5568</v>
      </c>
      <c r="J550" s="18">
        <f>'[18]2. BM Database'!R409</f>
        <v>98</v>
      </c>
      <c r="K550" s="18">
        <f t="shared" si="110"/>
        <v>10</v>
      </c>
      <c r="L550" s="19">
        <f>'[18]2. BM Database'!T409</f>
        <v>0.10204081632653061</v>
      </c>
      <c r="M550" s="9"/>
      <c r="N550" s="9"/>
    </row>
    <row r="551" spans="1:14" s="15" customFormat="1">
      <c r="A551" s="15" t="s">
        <v>57</v>
      </c>
      <c r="B551" s="15">
        <v>3061</v>
      </c>
      <c r="C551" s="43">
        <v>2013</v>
      </c>
      <c r="D551" s="15">
        <v>3</v>
      </c>
      <c r="E551" s="17">
        <f>HLOOKUP(A551,'[19]2013 Benchmarking Calculations'!$I$3:$CC$76,6,FALSE)/1000</f>
        <v>1854.498</v>
      </c>
      <c r="F551" s="41">
        <f t="shared" si="109"/>
        <v>1.178602141578931</v>
      </c>
      <c r="G551" s="44">
        <f>HLOOKUP(A551,'[19]2013 Benchmarking Calculations'!$I$3:$CC$76,57,FALSE)/1000</f>
        <v>21.268999999999998</v>
      </c>
      <c r="H551" s="16">
        <f t="shared" si="111"/>
        <v>23</v>
      </c>
      <c r="I551" s="18">
        <f>HLOOKUP(A551,'[19]2013 Benchmarking Calculations'!$I$3:$CC$76,53,FALSE)</f>
        <v>5567</v>
      </c>
      <c r="J551" s="18">
        <f>HLOOKUP(A551,'[19]2013 Benchmarking Calculations'!$I$3:$CC$76,71,FALSE)</f>
        <v>98</v>
      </c>
      <c r="K551" s="18">
        <f t="shared" si="110"/>
        <v>10</v>
      </c>
      <c r="L551" s="19">
        <f>HLOOKUP(A551,'[19]2013 PBR data '!B$42:BV$68,15,FALSE)/HLOOKUP(A551,'[19]2013 PBR data '!B$42:BV$68,13,FALSE)</f>
        <v>0.10204081632653061</v>
      </c>
      <c r="M551" s="9"/>
      <c r="N551" s="9"/>
    </row>
    <row r="552" spans="1:14" s="15" customFormat="1">
      <c r="A552" s="15" t="s">
        <v>57</v>
      </c>
      <c r="B552" s="15">
        <v>3061</v>
      </c>
      <c r="C552" s="43">
        <v>2014</v>
      </c>
      <c r="D552" s="15">
        <v>3</v>
      </c>
      <c r="E552" s="17">
        <f>VLOOKUP(A552,[20]Result!$B$12:$D$84,2,FALSE)/10^3</f>
        <v>1908.79</v>
      </c>
      <c r="F552" s="41">
        <f t="shared" si="109"/>
        <v>1.2030671041042156</v>
      </c>
      <c r="G552" s="44">
        <f>VLOOKUP(A552,'[21]General transpose'!$A$1:$AF$73,26,FALSE)/10^3</f>
        <v>21.754999999999999</v>
      </c>
      <c r="H552" s="16">
        <f t="shared" si="111"/>
        <v>23</v>
      </c>
      <c r="I552" s="18">
        <f>VLOOKUP(A552,'[21]General transpose'!$A$1:$AF$73,8,FALSE)</f>
        <v>5558</v>
      </c>
      <c r="J552" s="18">
        <f>VLOOKUP(A552,'[21]General transpose'!$A$1:$AF$73,16,FALSE)</f>
        <v>98</v>
      </c>
      <c r="K552" s="18">
        <f t="shared" si="110"/>
        <v>10</v>
      </c>
      <c r="L552" s="19">
        <f>VLOOKUP(A552,'[21]General transpose'!$A$1:$AF$73,17,FALSE)</f>
        <v>0.10204081632653061</v>
      </c>
      <c r="M552" s="9"/>
      <c r="N552" s="9"/>
    </row>
    <row r="553" spans="1:14" s="15" customFormat="1">
      <c r="A553" s="15" t="s">
        <v>57</v>
      </c>
      <c r="B553" s="15">
        <v>3061</v>
      </c>
      <c r="C553" s="43">
        <v>2015</v>
      </c>
      <c r="D553" s="15">
        <v>3</v>
      </c>
      <c r="E553" s="17">
        <f>VLOOKUP(A552,[20]Result!$B$12:$D$84,3,FALSE)/10^3</f>
        <v>2227.4699999999998</v>
      </c>
      <c r="F553" s="41">
        <f t="shared" si="109"/>
        <v>1.2312762402864634</v>
      </c>
      <c r="G553" s="44">
        <f>VLOOKUP(A552,'[22]General transpose'!$A$1:$AF$73,26,FALSE)/10^3</f>
        <v>20.693000000000001</v>
      </c>
      <c r="H553" s="16">
        <f t="shared" si="111"/>
        <v>23</v>
      </c>
      <c r="I553" s="18">
        <f>VLOOKUP(A552,'[22]General transpose'!$A$1:$AF$73,8,FALSE)</f>
        <v>5569</v>
      </c>
      <c r="J553" s="18">
        <f>VLOOKUP(A552,'[22]General transpose'!$A$1:$AF$73,16,FALSE)</f>
        <v>98</v>
      </c>
      <c r="K553" s="18">
        <f t="shared" si="110"/>
        <v>10</v>
      </c>
      <c r="L553" s="19">
        <f>VLOOKUP(A552,'[22]General transpose'!$A$1:$AF$73,17,FALSE)</f>
        <v>0.10204081632653061</v>
      </c>
      <c r="M553" s="9"/>
      <c r="N553" s="9"/>
    </row>
    <row r="554" spans="1:14" s="15" customFormat="1">
      <c r="A554" s="15" t="s">
        <v>57</v>
      </c>
      <c r="B554" s="15">
        <v>3061</v>
      </c>
      <c r="C554" s="43">
        <v>2016</v>
      </c>
      <c r="D554" s="15">
        <v>3</v>
      </c>
      <c r="E554" s="17">
        <f>'[14]2016 Benchmarking Calculations'!$AQ$8/1000</f>
        <v>1999.114</v>
      </c>
      <c r="F554" s="41">
        <f t="shared" si="109"/>
        <v>1.2455044937824149</v>
      </c>
      <c r="G554" s="44">
        <f>HLOOKUP(A554,[23]General!$A$1:$BQ$23,22,FALSE)/10^3</f>
        <v>19.062999999999999</v>
      </c>
      <c r="H554" s="16">
        <f t="shared" si="111"/>
        <v>23</v>
      </c>
      <c r="I554" s="18">
        <f>HLOOKUP(A554,[23]General!$A$1:$BQ$23,9,FALSE)</f>
        <v>5563</v>
      </c>
      <c r="J554" s="18">
        <f>HLOOKUP(A554,[23]General!$A$1:$BQ$23,17,FALSE)</f>
        <v>98</v>
      </c>
      <c r="K554" s="18">
        <f t="shared" si="110"/>
        <v>10</v>
      </c>
      <c r="L554" s="19">
        <f>HLOOKUP(A554,[23]General!$A$1:$BQ$23,18,FALSE)</f>
        <v>0.10204081632653061</v>
      </c>
      <c r="M554" s="9"/>
      <c r="N554" s="9"/>
    </row>
    <row r="555" spans="1:14" s="15" customFormat="1">
      <c r="A555" s="15" t="s">
        <v>57</v>
      </c>
      <c r="B555" s="15">
        <v>3061</v>
      </c>
      <c r="C555" s="43">
        <v>2017</v>
      </c>
      <c r="D555" s="15">
        <v>3</v>
      </c>
      <c r="E555" s="17">
        <f>'[14]2017 Benchmarking Calculations'!$AS$9/1000</f>
        <v>2196.8429999999998</v>
      </c>
      <c r="F555" s="41">
        <f t="shared" si="109"/>
        <v>1.2674505553724562</v>
      </c>
      <c r="G555" s="44">
        <f>'[14]2017 Benchmarking Calculations'!$AS$60/1000</f>
        <v>18.576000000000001</v>
      </c>
      <c r="H555" s="16">
        <f t="shared" si="111"/>
        <v>23</v>
      </c>
      <c r="I555" s="18">
        <f>'[14]2017 Benchmarking Calculations'!$AS$56</f>
        <v>5581</v>
      </c>
      <c r="J555" s="18">
        <f>'[14]2017 Utility Characteristics'!$AJ$79</f>
        <v>98</v>
      </c>
      <c r="K555" s="15">
        <f>'[14]2017 Utility Characteristics'!$AJ$81</f>
        <v>10</v>
      </c>
      <c r="L555" s="19">
        <f>K555/J555</f>
        <v>0.10204081632653061</v>
      </c>
      <c r="M555" s="9"/>
      <c r="N555" s="9"/>
    </row>
    <row r="556" spans="1:14" s="15" customFormat="1">
      <c r="A556" s="15" t="s">
        <v>57</v>
      </c>
      <c r="B556" s="15">
        <v>3061</v>
      </c>
      <c r="C556" s="43">
        <v>2018</v>
      </c>
      <c r="D556" s="15">
        <v>3</v>
      </c>
      <c r="E556" s="17">
        <f>'[16]2018 Benchmarking Calculations'!$AS$10/1000</f>
        <v>2283.52</v>
      </c>
      <c r="F556" s="41">
        <f t="shared" si="109"/>
        <v>1.2994718602728874</v>
      </c>
      <c r="G556" s="44">
        <f>'[16]2018 Benchmarking Calculations'!$AS$61/1000</f>
        <v>20.702000000000002</v>
      </c>
      <c r="H556" s="16">
        <f t="shared" si="111"/>
        <v>23</v>
      </c>
      <c r="I556" s="18">
        <f>'[16]2018 Benchmarking Calculations'!$AS$57</f>
        <v>5565</v>
      </c>
      <c r="J556" s="18">
        <f>'[16]2018 Utility Characteristics'!$AM$103</f>
        <v>98</v>
      </c>
      <c r="K556" s="18">
        <f>'[16]2018 Utility Characteristics'!$AM$105</f>
        <v>10</v>
      </c>
      <c r="L556" s="19">
        <f>K556/J556</f>
        <v>0.10204081632653061</v>
      </c>
      <c r="M556" s="9"/>
      <c r="N556" s="9"/>
    </row>
    <row r="557" spans="1:14" s="15" customFormat="1">
      <c r="A557" s="15" t="s">
        <v>57</v>
      </c>
      <c r="B557" s="15">
        <v>3061</v>
      </c>
      <c r="C557" s="43">
        <v>2019</v>
      </c>
      <c r="D557" s="15">
        <v>3</v>
      </c>
      <c r="E557" s="17"/>
      <c r="F557" s="41">
        <f t="shared" si="109"/>
        <v>1.3352608354138498</v>
      </c>
      <c r="G557" s="44"/>
      <c r="H557" s="16"/>
      <c r="I557" s="18"/>
      <c r="J557" s="18"/>
      <c r="K557" s="18"/>
      <c r="L557" s="19"/>
      <c r="M557" s="9"/>
      <c r="N557" s="9"/>
    </row>
    <row r="558" spans="1:14">
      <c r="A558" s="15" t="str">
        <f>'[18]2. BM Database'!B413</f>
        <v>KINGSTON HYDRO CORPORATION</v>
      </c>
      <c r="B558" s="15">
        <v>3031</v>
      </c>
      <c r="C558" s="43">
        <f>'[18]2. BM Database'!C413</f>
        <v>2005</v>
      </c>
      <c r="D558" s="15">
        <v>3</v>
      </c>
      <c r="E558" s="17">
        <f>'[18]2. BM Database'!F413/1000</f>
        <v>5008.9539999999997</v>
      </c>
      <c r="F558" s="41">
        <f t="shared" ref="F558:F572" si="112">F543</f>
        <v>1</v>
      </c>
      <c r="G558" s="44">
        <f>'[18]2. BM Database'!P413/1000</f>
        <v>143.124</v>
      </c>
      <c r="H558" s="16">
        <f>G558</f>
        <v>143.124</v>
      </c>
      <c r="I558" s="18">
        <f>'[18]2. BM Database'!L413</f>
        <v>26265</v>
      </c>
      <c r="J558" s="18">
        <f>'[18]2. BM Database'!R413</f>
        <v>348</v>
      </c>
      <c r="K558" s="18">
        <f t="shared" ref="K558:K569" si="113">J558*L558</f>
        <v>106</v>
      </c>
      <c r="L558" s="19">
        <f>'[18]2. BM Database'!T413</f>
        <v>0.3045977011494253</v>
      </c>
      <c r="M558" s="9"/>
      <c r="N558" s="9"/>
    </row>
    <row r="559" spans="1:14">
      <c r="A559" s="15" t="str">
        <f>'[18]2. BM Database'!B414</f>
        <v>KINGSTON HYDRO CORPORATION</v>
      </c>
      <c r="B559" s="15">
        <v>3031</v>
      </c>
      <c r="C559" s="43">
        <f>'[18]2. BM Database'!C414</f>
        <v>2006</v>
      </c>
      <c r="D559" s="15">
        <v>3</v>
      </c>
      <c r="E559" s="17">
        <f>'[18]2. BM Database'!F414/1000</f>
        <v>4321.5940000000001</v>
      </c>
      <c r="F559" s="41">
        <f t="shared" si="112"/>
        <v>1.0181607380073696</v>
      </c>
      <c r="G559" s="44">
        <f>'[18]2. BM Database'!P414/1000</f>
        <v>125.8</v>
      </c>
      <c r="H559" s="16">
        <f>MAX(G559,H558)</f>
        <v>143.124</v>
      </c>
      <c r="I559" s="18">
        <f>'[18]2. BM Database'!L414</f>
        <v>26525</v>
      </c>
      <c r="J559" s="18">
        <f>'[18]2. BM Database'!R414</f>
        <v>348</v>
      </c>
      <c r="K559" s="18">
        <f t="shared" si="113"/>
        <v>106</v>
      </c>
      <c r="L559" s="19">
        <f>'[18]2. BM Database'!T414</f>
        <v>0.3045977011494253</v>
      </c>
      <c r="M559" s="9"/>
      <c r="N559" s="9"/>
    </row>
    <row r="560" spans="1:14">
      <c r="A560" s="15" t="str">
        <f>'[18]2. BM Database'!B415</f>
        <v>KINGSTON HYDRO CORPORATION</v>
      </c>
      <c r="B560" s="15">
        <v>3031</v>
      </c>
      <c r="C560" s="43">
        <f>'[18]2. BM Database'!C415</f>
        <v>2007</v>
      </c>
      <c r="D560" s="15">
        <v>3</v>
      </c>
      <c r="E560" s="17">
        <f>'[18]2. BM Database'!F415/1000</f>
        <v>4432.6481900000008</v>
      </c>
      <c r="F560" s="41">
        <f t="shared" si="112"/>
        <v>1.0531931014872313</v>
      </c>
      <c r="G560" s="44">
        <f>'[18]2. BM Database'!P415/1000</f>
        <v>132.34299999999999</v>
      </c>
      <c r="H560" s="16">
        <f t="shared" ref="H560:H572" si="114">MAX(G560,H559)</f>
        <v>143.124</v>
      </c>
      <c r="I560" s="18">
        <f>'[18]2. BM Database'!L415</f>
        <v>26632</v>
      </c>
      <c r="J560" s="18">
        <f>'[18]2. BM Database'!R415</f>
        <v>348</v>
      </c>
      <c r="K560" s="18">
        <f t="shared" si="113"/>
        <v>106</v>
      </c>
      <c r="L560" s="19">
        <f>'[18]2. BM Database'!T415</f>
        <v>0.3045977011494253</v>
      </c>
      <c r="M560" s="9"/>
      <c r="N560" s="9"/>
    </row>
    <row r="561" spans="1:14">
      <c r="A561" s="15" t="str">
        <f>'[18]2. BM Database'!B416</f>
        <v>KINGSTON HYDRO CORPORATION</v>
      </c>
      <c r="B561" s="15">
        <v>3031</v>
      </c>
      <c r="C561" s="43">
        <f>'[18]2. BM Database'!C416</f>
        <v>2008</v>
      </c>
      <c r="D561" s="15">
        <v>3</v>
      </c>
      <c r="E561" s="17">
        <f>'[18]2. BM Database'!F416/1000</f>
        <v>4990.5206600000001</v>
      </c>
      <c r="F561" s="41">
        <f t="shared" si="112"/>
        <v>1.078564603993923</v>
      </c>
      <c r="G561" s="44">
        <f>'[18]2. BM Database'!P416/1000</f>
        <v>126.17400000000001</v>
      </c>
      <c r="H561" s="16">
        <f t="shared" si="114"/>
        <v>143.124</v>
      </c>
      <c r="I561" s="18">
        <f>'[18]2. BM Database'!L416</f>
        <v>26940</v>
      </c>
      <c r="J561" s="18">
        <f>'[18]2. BM Database'!R416</f>
        <v>386</v>
      </c>
      <c r="K561" s="18">
        <f t="shared" si="113"/>
        <v>134</v>
      </c>
      <c r="L561" s="19">
        <f>'[18]2. BM Database'!T416</f>
        <v>0.34715025906735753</v>
      </c>
      <c r="M561" s="9"/>
      <c r="N561" s="9"/>
    </row>
    <row r="562" spans="1:14">
      <c r="A562" s="15" t="str">
        <f>'[18]2. BM Database'!B417</f>
        <v>KINGSTON HYDRO CORPORATION</v>
      </c>
      <c r="B562" s="15">
        <v>3031</v>
      </c>
      <c r="C562" s="43">
        <f>'[18]2. BM Database'!C417</f>
        <v>2009</v>
      </c>
      <c r="D562" s="15">
        <v>3</v>
      </c>
      <c r="E562" s="17">
        <f>'[18]2. BM Database'!F417/1000</f>
        <v>5311.35</v>
      </c>
      <c r="F562" s="41">
        <f t="shared" si="112"/>
        <v>1.0915070880241431</v>
      </c>
      <c r="G562" s="44">
        <f>'[18]2. BM Database'!P417/1000</f>
        <v>134.41200000000001</v>
      </c>
      <c r="H562" s="16">
        <f t="shared" si="114"/>
        <v>143.124</v>
      </c>
      <c r="I562" s="18">
        <f>'[18]2. BM Database'!L417</f>
        <v>26832</v>
      </c>
      <c r="J562" s="18">
        <f>'[18]2. BM Database'!R417</f>
        <v>357</v>
      </c>
      <c r="K562" s="18">
        <f t="shared" si="113"/>
        <v>124</v>
      </c>
      <c r="L562" s="19">
        <f>'[18]2. BM Database'!T417</f>
        <v>0.34733893557422968</v>
      </c>
      <c r="M562" s="9"/>
      <c r="N562" s="9"/>
    </row>
    <row r="563" spans="1:14">
      <c r="A563" s="15" t="str">
        <f>'[18]2. BM Database'!B418</f>
        <v>KINGSTON HYDRO CORPORATION</v>
      </c>
      <c r="B563" s="15">
        <v>3031</v>
      </c>
      <c r="C563" s="43">
        <f>'[18]2. BM Database'!C418</f>
        <v>2010</v>
      </c>
      <c r="D563" s="15">
        <v>3</v>
      </c>
      <c r="E563" s="17">
        <f>'[18]2. BM Database'!F418/1000</f>
        <v>5645.4269999999997</v>
      </c>
      <c r="F563" s="41">
        <f t="shared" si="112"/>
        <v>1.1243125351578573</v>
      </c>
      <c r="G563" s="44">
        <f>'[18]2. BM Database'!P418/1000</f>
        <v>125.098</v>
      </c>
      <c r="H563" s="16">
        <f t="shared" si="114"/>
        <v>143.124</v>
      </c>
      <c r="I563" s="18">
        <f>'[18]2. BM Database'!L418</f>
        <v>26944</v>
      </c>
      <c r="J563" s="18">
        <f>'[18]2. BM Database'!R418</f>
        <v>361</v>
      </c>
      <c r="K563" s="18">
        <f t="shared" si="113"/>
        <v>128</v>
      </c>
      <c r="L563" s="19">
        <f>'[18]2. BM Database'!T418</f>
        <v>0.35457063711911357</v>
      </c>
      <c r="M563" s="9"/>
      <c r="N563" s="9"/>
    </row>
    <row r="564" spans="1:14">
      <c r="A564" s="15" t="str">
        <f>'[18]2. BM Database'!B419</f>
        <v>KINGSTON HYDRO CORPORATION</v>
      </c>
      <c r="B564" s="15">
        <v>3031</v>
      </c>
      <c r="C564" s="43">
        <f>'[18]2. BM Database'!C419</f>
        <v>2011</v>
      </c>
      <c r="D564" s="15">
        <v>3</v>
      </c>
      <c r="E564" s="17">
        <f>'[18]2. BM Database'!F419/1000</f>
        <v>5768.5810000000001</v>
      </c>
      <c r="F564" s="41">
        <f t="shared" si="112"/>
        <v>1.1430978626415853</v>
      </c>
      <c r="G564" s="44">
        <f>'[18]2. BM Database'!P419/1000</f>
        <v>136.59700000000001</v>
      </c>
      <c r="H564" s="16">
        <f t="shared" si="114"/>
        <v>143.124</v>
      </c>
      <c r="I564" s="18">
        <f>'[18]2. BM Database'!L419</f>
        <v>26844</v>
      </c>
      <c r="J564" s="18">
        <f>'[18]2. BM Database'!R419</f>
        <v>362</v>
      </c>
      <c r="K564" s="18">
        <f t="shared" si="113"/>
        <v>129</v>
      </c>
      <c r="L564" s="19">
        <f>'[18]2. BM Database'!T419</f>
        <v>0.35635359116022097</v>
      </c>
      <c r="M564" s="9"/>
      <c r="N564" s="9"/>
    </row>
    <row r="565" spans="1:14">
      <c r="A565" s="15" t="str">
        <f>'[18]2. BM Database'!B420</f>
        <v>KINGSTON HYDRO CORPORATION</v>
      </c>
      <c r="B565" s="15">
        <v>3031</v>
      </c>
      <c r="C565" s="43">
        <f>'[18]2. BM Database'!C420</f>
        <v>2012</v>
      </c>
      <c r="D565" s="15">
        <v>3</v>
      </c>
      <c r="E565" s="17">
        <f>'[18]2. BM Database'!F420/1000</f>
        <v>5873.2030000000004</v>
      </c>
      <c r="F565" s="41">
        <f t="shared" si="112"/>
        <v>1.160126854517312</v>
      </c>
      <c r="G565" s="44">
        <f>'[18]2. BM Database'!P420/1000</f>
        <v>122.717</v>
      </c>
      <c r="H565" s="16">
        <f t="shared" si="114"/>
        <v>143.124</v>
      </c>
      <c r="I565" s="18">
        <f>'[18]2. BM Database'!L420</f>
        <v>26775</v>
      </c>
      <c r="J565" s="18">
        <f>'[18]2. BM Database'!R420</f>
        <v>361</v>
      </c>
      <c r="K565" s="18">
        <f t="shared" si="113"/>
        <v>129</v>
      </c>
      <c r="L565" s="19">
        <f>'[18]2. BM Database'!T420</f>
        <v>0.35734072022160662</v>
      </c>
      <c r="M565" s="9"/>
      <c r="N565" s="9"/>
    </row>
    <row r="566" spans="1:14" s="15" customFormat="1">
      <c r="A566" s="15" t="s">
        <v>58</v>
      </c>
      <c r="B566" s="15">
        <v>3031</v>
      </c>
      <c r="C566" s="43">
        <v>2013</v>
      </c>
      <c r="D566" s="15">
        <v>3</v>
      </c>
      <c r="E566" s="17">
        <f>HLOOKUP(A566,'[19]2013 Benchmarking Calculations'!$I$3:$CC$76,6,FALSE)/1000</f>
        <v>6643.2690000000002</v>
      </c>
      <c r="F566" s="41">
        <f t="shared" si="112"/>
        <v>1.178602141578931</v>
      </c>
      <c r="G566" s="44">
        <f>HLOOKUP(A566,'[19]2013 Benchmarking Calculations'!$I$3:$CC$76,57,FALSE)/1000</f>
        <v>133.035</v>
      </c>
      <c r="H566" s="16">
        <f t="shared" si="114"/>
        <v>143.124</v>
      </c>
      <c r="I566" s="18">
        <f>HLOOKUP(A566,'[19]2013 Benchmarking Calculations'!$I$3:$CC$76,53,FALSE)</f>
        <v>27098</v>
      </c>
      <c r="J566" s="18">
        <f>HLOOKUP(A566,'[19]2013 Benchmarking Calculations'!$I$3:$CC$76,71,FALSE)</f>
        <v>362</v>
      </c>
      <c r="K566" s="18">
        <f t="shared" si="113"/>
        <v>129</v>
      </c>
      <c r="L566" s="19">
        <f>HLOOKUP(A566,'[19]2013 PBR data '!B$42:BV$68,15,FALSE)/HLOOKUP(A566,'[19]2013 PBR data '!B$42:BV$68,13,FALSE)</f>
        <v>0.35635359116022097</v>
      </c>
      <c r="M566" s="9"/>
      <c r="N566" s="9"/>
    </row>
    <row r="567" spans="1:14" s="15" customFormat="1">
      <c r="A567" s="15" t="s">
        <v>58</v>
      </c>
      <c r="B567" s="15">
        <v>3031</v>
      </c>
      <c r="C567" s="43">
        <v>2014</v>
      </c>
      <c r="D567" s="15">
        <v>3</v>
      </c>
      <c r="E567" s="17">
        <f>VLOOKUP(A567,[20]Result!$B$12:$D$84,2,FALSE)/10^3</f>
        <v>6133.8320000000003</v>
      </c>
      <c r="F567" s="41">
        <f t="shared" si="112"/>
        <v>1.2030671041042156</v>
      </c>
      <c r="G567" s="44">
        <f>VLOOKUP(A567,'[21]General transpose'!$A$1:$AF$73,26,FALSE)/10^3</f>
        <v>134.47300000000001</v>
      </c>
      <c r="H567" s="16">
        <f t="shared" si="114"/>
        <v>143.124</v>
      </c>
      <c r="I567" s="18">
        <f>VLOOKUP(A567,'[21]General transpose'!$A$1:$AF$73,8,FALSE)</f>
        <v>27356</v>
      </c>
      <c r="J567" s="18">
        <f>VLOOKUP(A567,'[21]General transpose'!$A$1:$AF$73,16,FALSE)</f>
        <v>357</v>
      </c>
      <c r="K567" s="18">
        <f t="shared" si="113"/>
        <v>127</v>
      </c>
      <c r="L567" s="19">
        <f>VLOOKUP(A567,'[21]General transpose'!$A$1:$AF$73,17,FALSE)</f>
        <v>0.35574229691876752</v>
      </c>
      <c r="M567" s="9"/>
      <c r="N567" s="9"/>
    </row>
    <row r="568" spans="1:14" s="15" customFormat="1">
      <c r="A568" s="15" t="s">
        <v>58</v>
      </c>
      <c r="B568" s="15">
        <v>3031</v>
      </c>
      <c r="C568" s="43">
        <v>2015</v>
      </c>
      <c r="D568" s="15">
        <v>3</v>
      </c>
      <c r="E568" s="17">
        <f>VLOOKUP(A567,[20]Result!$B$12:$D$84,3,FALSE)/10^3</f>
        <v>6534.223</v>
      </c>
      <c r="F568" s="41">
        <f t="shared" si="112"/>
        <v>1.2312762402864634</v>
      </c>
      <c r="G568" s="44">
        <f>VLOOKUP(A567,'[22]General transpose'!$A$1:$AF$73,26,FALSE)/10^3</f>
        <v>130.791</v>
      </c>
      <c r="H568" s="16">
        <f t="shared" si="114"/>
        <v>143.124</v>
      </c>
      <c r="I568" s="18">
        <f>VLOOKUP(A567,'[22]General transpose'!$A$1:$AF$73,8,FALSE)</f>
        <v>27467</v>
      </c>
      <c r="J568" s="18">
        <f>VLOOKUP(A567,'[22]General transpose'!$A$1:$AF$73,16,FALSE)</f>
        <v>356</v>
      </c>
      <c r="K568" s="18">
        <f t="shared" si="113"/>
        <v>125.00000000000001</v>
      </c>
      <c r="L568" s="19">
        <f>VLOOKUP(A567,'[22]General transpose'!$A$1:$AF$73,17,FALSE)</f>
        <v>0.351123595505618</v>
      </c>
      <c r="M568" s="9"/>
      <c r="N568" s="9"/>
    </row>
    <row r="569" spans="1:14" s="15" customFormat="1">
      <c r="A569" s="15" t="s">
        <v>58</v>
      </c>
      <c r="B569" s="15">
        <v>3031</v>
      </c>
      <c r="C569" s="43">
        <v>2016</v>
      </c>
      <c r="D569" s="15">
        <v>3</v>
      </c>
      <c r="E569" s="17">
        <f>'[14]2016 Benchmarking Calculations'!$AR$8/1000</f>
        <v>6596.7889999999998</v>
      </c>
      <c r="F569" s="41">
        <f t="shared" si="112"/>
        <v>1.2455044937824149</v>
      </c>
      <c r="G569" s="44">
        <f>HLOOKUP(A569,[23]General!$A$1:$BQ$23,22,FALSE)/10^3</f>
        <v>122.976</v>
      </c>
      <c r="H569" s="16">
        <f t="shared" si="114"/>
        <v>143.124</v>
      </c>
      <c r="I569" s="18">
        <f>HLOOKUP(A569,[23]General!$A$1:$BQ$23,9,FALSE)</f>
        <v>27541</v>
      </c>
      <c r="J569" s="18">
        <f>HLOOKUP(A569,[23]General!$A$1:$BQ$23,17,FALSE)</f>
        <v>336</v>
      </c>
      <c r="K569" s="18">
        <f t="shared" si="113"/>
        <v>110</v>
      </c>
      <c r="L569" s="19">
        <f>HLOOKUP(A569,[23]General!$A$1:$BQ$23,18,FALSE)</f>
        <v>0.32738095238095238</v>
      </c>
      <c r="M569" s="9"/>
      <c r="N569" s="9"/>
    </row>
    <row r="570" spans="1:14" s="15" customFormat="1">
      <c r="A570" s="15" t="s">
        <v>58</v>
      </c>
      <c r="B570" s="15">
        <v>3031</v>
      </c>
      <c r="C570" s="43">
        <v>2017</v>
      </c>
      <c r="D570" s="15">
        <v>3</v>
      </c>
      <c r="E570" s="17">
        <f>'[14]2017 Benchmarking Calculations'!$AT$9/1000</f>
        <v>6668.21</v>
      </c>
      <c r="F570" s="41">
        <f t="shared" si="112"/>
        <v>1.2674505553724562</v>
      </c>
      <c r="G570" s="44">
        <f>[15]General!$AG$19/1000</f>
        <v>117.931</v>
      </c>
      <c r="H570" s="16">
        <f t="shared" si="114"/>
        <v>143.124</v>
      </c>
      <c r="I570" s="18">
        <f>[15]General!$AG$9</f>
        <v>27582</v>
      </c>
      <c r="J570" s="18">
        <f>[15]General!$AG$17</f>
        <v>334</v>
      </c>
      <c r="K570" s="18">
        <f>J570*L570</f>
        <v>108</v>
      </c>
      <c r="L570" s="19">
        <f>[15]General!$AG$16/[15]General!$AG$17</f>
        <v>0.32335329341317365</v>
      </c>
      <c r="M570" s="9"/>
      <c r="N570" s="9"/>
    </row>
    <row r="571" spans="1:14" s="15" customFormat="1">
      <c r="A571" s="15" t="s">
        <v>58</v>
      </c>
      <c r="B571" s="15">
        <v>3031</v>
      </c>
      <c r="C571" s="43">
        <v>2018</v>
      </c>
      <c r="D571" s="15">
        <v>3</v>
      </c>
      <c r="E571" s="17">
        <f>'[16]2018 Benchmarking Calculations'!$AT$10/1000</f>
        <v>7381.1549999999997</v>
      </c>
      <c r="F571" s="41">
        <f t="shared" si="112"/>
        <v>1.2994718602728874</v>
      </c>
      <c r="G571" s="44">
        <f>'[16]2018 Benchmarking Calculations'!$AT$61/1000</f>
        <v>126.565</v>
      </c>
      <c r="H571" s="16">
        <f t="shared" si="114"/>
        <v>143.124</v>
      </c>
      <c r="I571" s="18">
        <f>'[16]2018 Benchmarking Calculations'!$AT$57</f>
        <v>27658</v>
      </c>
      <c r="J571" s="18">
        <f>'[16]2018 Utility Characteristics'!$AN$103</f>
        <v>334</v>
      </c>
      <c r="K571" s="18">
        <f>'[16]2018 Utility Characteristics'!$AN$105</f>
        <v>108</v>
      </c>
      <c r="L571" s="19">
        <f>K571/J571</f>
        <v>0.32335329341317365</v>
      </c>
      <c r="M571" s="9"/>
      <c r="N571" s="9"/>
    </row>
    <row r="572" spans="1:14" s="15" customFormat="1">
      <c r="A572" s="15" t="s">
        <v>58</v>
      </c>
      <c r="B572" s="15">
        <v>3031</v>
      </c>
      <c r="C572" s="43">
        <v>2019</v>
      </c>
      <c r="D572" s="15">
        <v>3</v>
      </c>
      <c r="E572" s="17">
        <f>'[17]2019 Benchmarking Calculations'!$AT$10/1000</f>
        <v>6960.4893200000006</v>
      </c>
      <c r="F572" s="41">
        <f t="shared" si="112"/>
        <v>1.3352608354138498</v>
      </c>
      <c r="G572" s="44">
        <f>'[17]2019 Benchmarking Calculations'!$AT$61/1000</f>
        <v>126.161</v>
      </c>
      <c r="H572" s="16">
        <f t="shared" si="114"/>
        <v>143.124</v>
      </c>
      <c r="I572" s="18">
        <f>'[17]2019 Benchmarking Calculations'!$AT$57</f>
        <v>27778</v>
      </c>
      <c r="J572" s="18">
        <f>'[17]2019 Utility Characteristics'!$AN$13</f>
        <v>335</v>
      </c>
      <c r="K572" s="18">
        <f>'[17]2019 Utility Characteristics'!$AN$18</f>
        <v>108</v>
      </c>
      <c r="L572" s="19">
        <f>K572/J572</f>
        <v>0.32238805970149254</v>
      </c>
      <c r="M572" s="9"/>
      <c r="N572" s="9"/>
    </row>
    <row r="573" spans="1:14">
      <c r="A573" s="15" t="str">
        <f>'[18]2. BM Database'!B424</f>
        <v>KITCHENER-WILMOT HYDRO INC.</v>
      </c>
      <c r="B573" s="15">
        <v>3010</v>
      </c>
      <c r="C573" s="43">
        <f>'[18]2. BM Database'!C424</f>
        <v>2005</v>
      </c>
      <c r="D573" s="15">
        <v>3</v>
      </c>
      <c r="E573" s="17">
        <f>'[18]2. BM Database'!F424/1000</f>
        <v>8926.8230400000011</v>
      </c>
      <c r="F573" s="41">
        <f t="shared" ref="F573:F587" si="115">F558</f>
        <v>1</v>
      </c>
      <c r="G573" s="44">
        <f>'[18]2. BM Database'!P424/1000</f>
        <v>386.56799999999998</v>
      </c>
      <c r="H573" s="16">
        <f>G573</f>
        <v>386.56799999999998</v>
      </c>
      <c r="I573" s="18">
        <f>'[18]2. BM Database'!L424</f>
        <v>79487</v>
      </c>
      <c r="J573" s="18">
        <f>'[18]2. BM Database'!R424</f>
        <v>1706</v>
      </c>
      <c r="K573" s="18">
        <f t="shared" ref="K573:K584" si="116">J573*L573</f>
        <v>684</v>
      </c>
      <c r="L573" s="19">
        <f>'[18]2. BM Database'!T424</f>
        <v>0.40093786635404455</v>
      </c>
      <c r="M573" s="9"/>
      <c r="N573" s="9"/>
    </row>
    <row r="574" spans="1:14">
      <c r="A574" s="15" t="str">
        <f>'[18]2. BM Database'!B425</f>
        <v>KITCHENER-WILMOT HYDRO INC.</v>
      </c>
      <c r="B574" s="15">
        <v>3010</v>
      </c>
      <c r="C574" s="43">
        <f>'[18]2. BM Database'!C425</f>
        <v>2006</v>
      </c>
      <c r="D574" s="15">
        <v>3</v>
      </c>
      <c r="E574" s="17">
        <f>'[18]2. BM Database'!F425/1000</f>
        <v>10110.65676</v>
      </c>
      <c r="F574" s="41">
        <f t="shared" si="115"/>
        <v>1.0181607380073696</v>
      </c>
      <c r="G574" s="44">
        <f>'[18]2. BM Database'!P425/1000</f>
        <v>379.97199999999998</v>
      </c>
      <c r="H574" s="16">
        <f>MAX(G574,H573)</f>
        <v>386.56799999999998</v>
      </c>
      <c r="I574" s="18">
        <f>'[18]2. BM Database'!L425</f>
        <v>80940</v>
      </c>
      <c r="J574" s="18">
        <f>'[18]2. BM Database'!R425</f>
        <v>1787</v>
      </c>
      <c r="K574" s="18">
        <f t="shared" si="116"/>
        <v>751</v>
      </c>
      <c r="L574" s="19">
        <f>'[18]2. BM Database'!T425</f>
        <v>0.42025741466144378</v>
      </c>
      <c r="M574" s="9"/>
      <c r="N574" s="9"/>
    </row>
    <row r="575" spans="1:14">
      <c r="A575" s="15" t="str">
        <f>'[18]2. BM Database'!B426</f>
        <v>KITCHENER-WILMOT HYDRO INC.</v>
      </c>
      <c r="B575" s="15">
        <v>3010</v>
      </c>
      <c r="C575" s="43">
        <f>'[18]2. BM Database'!C426</f>
        <v>2007</v>
      </c>
      <c r="D575" s="15">
        <v>3</v>
      </c>
      <c r="E575" s="17">
        <f>'[18]2. BM Database'!F426/1000</f>
        <v>10554.747509999999</v>
      </c>
      <c r="F575" s="41">
        <f t="shared" si="115"/>
        <v>1.0531931014872313</v>
      </c>
      <c r="G575" s="44">
        <f>'[18]2. BM Database'!P426/1000</f>
        <v>370.93400000000003</v>
      </c>
      <c r="H575" s="16">
        <f t="shared" ref="H575:H587" si="117">MAX(G575,H574)</f>
        <v>386.56799999999998</v>
      </c>
      <c r="I575" s="18">
        <f>'[18]2. BM Database'!L426</f>
        <v>82599</v>
      </c>
      <c r="J575" s="18">
        <f>'[18]2. BM Database'!R426</f>
        <v>1840</v>
      </c>
      <c r="K575" s="18">
        <f t="shared" si="116"/>
        <v>797</v>
      </c>
      <c r="L575" s="19">
        <f>'[18]2. BM Database'!T426</f>
        <v>0.4331521739130435</v>
      </c>
      <c r="M575" s="9"/>
      <c r="N575" s="9"/>
    </row>
    <row r="576" spans="1:14">
      <c r="A576" s="15" t="str">
        <f>'[18]2. BM Database'!B427</f>
        <v>KITCHENER-WILMOT HYDRO INC.</v>
      </c>
      <c r="B576" s="15">
        <v>3010</v>
      </c>
      <c r="C576" s="43">
        <f>'[18]2. BM Database'!C427</f>
        <v>2008</v>
      </c>
      <c r="D576" s="15">
        <v>3</v>
      </c>
      <c r="E576" s="17">
        <f>'[18]2. BM Database'!F427/1000</f>
        <v>11184.20451</v>
      </c>
      <c r="F576" s="41">
        <f t="shared" si="115"/>
        <v>1.078564603993923</v>
      </c>
      <c r="G576" s="44">
        <f>'[18]2. BM Database'!P427/1000</f>
        <v>350.93</v>
      </c>
      <c r="H576" s="16">
        <f t="shared" si="117"/>
        <v>386.56799999999998</v>
      </c>
      <c r="I576" s="18">
        <f>'[18]2. BM Database'!L427</f>
        <v>84195</v>
      </c>
      <c r="J576" s="18">
        <f>'[18]2. BM Database'!R427</f>
        <v>1872</v>
      </c>
      <c r="K576" s="18">
        <f t="shared" si="116"/>
        <v>828</v>
      </c>
      <c r="L576" s="19">
        <f>'[18]2. BM Database'!T427</f>
        <v>0.44230769230769229</v>
      </c>
      <c r="M576" s="9"/>
      <c r="N576" s="9"/>
    </row>
    <row r="577" spans="1:14">
      <c r="A577" s="15" t="str">
        <f>'[18]2. BM Database'!B428</f>
        <v>KITCHENER-WILMOT HYDRO INC.</v>
      </c>
      <c r="B577" s="15">
        <v>3010</v>
      </c>
      <c r="C577" s="43">
        <f>'[18]2. BM Database'!C428</f>
        <v>2009</v>
      </c>
      <c r="D577" s="15">
        <v>3</v>
      </c>
      <c r="E577" s="17">
        <f>'[18]2. BM Database'!F428/1000</f>
        <v>11204.17886</v>
      </c>
      <c r="F577" s="41">
        <f t="shared" si="115"/>
        <v>1.0915070880241431</v>
      </c>
      <c r="G577" s="44">
        <f>'[18]2. BM Database'!P428/1000</f>
        <v>339.97300000000001</v>
      </c>
      <c r="H577" s="16">
        <f t="shared" si="117"/>
        <v>386.56799999999998</v>
      </c>
      <c r="I577" s="18">
        <f>'[18]2. BM Database'!L428</f>
        <v>85174</v>
      </c>
      <c r="J577" s="18">
        <f>'[18]2. BM Database'!R428</f>
        <v>1854</v>
      </c>
      <c r="K577" s="18">
        <f t="shared" si="116"/>
        <v>819</v>
      </c>
      <c r="L577" s="19">
        <f>'[18]2. BM Database'!T428</f>
        <v>0.44174757281553401</v>
      </c>
      <c r="M577" s="9"/>
      <c r="N577" s="9"/>
    </row>
    <row r="578" spans="1:14">
      <c r="A578" s="15" t="str">
        <f>'[18]2. BM Database'!B429</f>
        <v>KITCHENER-WILMOT HYDRO INC.</v>
      </c>
      <c r="B578" s="15">
        <v>3010</v>
      </c>
      <c r="C578" s="43">
        <f>'[18]2. BM Database'!C429</f>
        <v>2010</v>
      </c>
      <c r="D578" s="15">
        <v>3</v>
      </c>
      <c r="E578" s="17">
        <f>'[18]2. BM Database'!F429/1000</f>
        <v>11318.641240000003</v>
      </c>
      <c r="F578" s="41">
        <f t="shared" si="115"/>
        <v>1.1243125351578573</v>
      </c>
      <c r="G578" s="44">
        <f>'[18]2. BM Database'!P429/1000</f>
        <v>367.988</v>
      </c>
      <c r="H578" s="16">
        <f t="shared" si="117"/>
        <v>386.56799999999998</v>
      </c>
      <c r="I578" s="18">
        <f>'[18]2. BM Database'!L429</f>
        <v>86611</v>
      </c>
      <c r="J578" s="18">
        <f>'[18]2. BM Database'!R429</f>
        <v>1866</v>
      </c>
      <c r="K578" s="18">
        <f t="shared" si="116"/>
        <v>824</v>
      </c>
      <c r="L578" s="19">
        <f>'[18]2. BM Database'!T429</f>
        <v>0.44158628081457663</v>
      </c>
      <c r="M578" s="9"/>
      <c r="N578" s="9"/>
    </row>
    <row r="579" spans="1:14">
      <c r="A579" s="15" t="str">
        <f>'[18]2. BM Database'!B430</f>
        <v>KITCHENER-WILMOT HYDRO INC.</v>
      </c>
      <c r="B579" s="15">
        <v>3010</v>
      </c>
      <c r="C579" s="43">
        <f>'[18]2. BM Database'!C430</f>
        <v>2011</v>
      </c>
      <c r="D579" s="15">
        <v>3</v>
      </c>
      <c r="E579" s="17">
        <f>'[18]2. BM Database'!F430/1000</f>
        <v>12675.77918</v>
      </c>
      <c r="F579" s="41">
        <f t="shared" si="115"/>
        <v>1.1430978626415853</v>
      </c>
      <c r="G579" s="44">
        <f>'[18]2. BM Database'!P430/1000</f>
        <v>377.02</v>
      </c>
      <c r="H579" s="16">
        <f t="shared" si="117"/>
        <v>386.56799999999998</v>
      </c>
      <c r="I579" s="18">
        <f>'[18]2. BM Database'!L430</f>
        <v>87965</v>
      </c>
      <c r="J579" s="18">
        <f>'[18]2. BM Database'!R430</f>
        <v>1878</v>
      </c>
      <c r="K579" s="18">
        <f t="shared" si="116"/>
        <v>832</v>
      </c>
      <c r="L579" s="19">
        <f>'[18]2. BM Database'!T430</f>
        <v>0.44302449414270501</v>
      </c>
      <c r="M579" s="9"/>
      <c r="N579" s="9"/>
    </row>
    <row r="580" spans="1:14">
      <c r="A580" s="15" t="str">
        <f>'[18]2. BM Database'!B431</f>
        <v>KITCHENER-WILMOT HYDRO INC.</v>
      </c>
      <c r="B580" s="15">
        <v>3010</v>
      </c>
      <c r="C580" s="43">
        <f>'[18]2. BM Database'!C431</f>
        <v>2012</v>
      </c>
      <c r="D580" s="15">
        <v>3</v>
      </c>
      <c r="E580" s="17">
        <f>'[18]2. BM Database'!F431/1000</f>
        <v>13712.945107607373</v>
      </c>
      <c r="F580" s="41">
        <f t="shared" si="115"/>
        <v>1.160126854517312</v>
      </c>
      <c r="G580" s="44">
        <f>'[18]2. BM Database'!P431/1000</f>
        <v>378.97699999999998</v>
      </c>
      <c r="H580" s="16">
        <f t="shared" si="117"/>
        <v>386.56799999999998</v>
      </c>
      <c r="I580" s="18">
        <f>'[18]2. BM Database'!L431</f>
        <v>89026</v>
      </c>
      <c r="J580" s="18">
        <f>'[18]2. BM Database'!R431</f>
        <v>1887</v>
      </c>
      <c r="K580" s="18">
        <f t="shared" si="116"/>
        <v>854</v>
      </c>
      <c r="L580" s="19">
        <f>'[18]2. BM Database'!T431</f>
        <v>0.45257021727609964</v>
      </c>
      <c r="M580" s="9"/>
      <c r="N580" s="9"/>
    </row>
    <row r="581" spans="1:14" s="15" customFormat="1">
      <c r="A581" s="15" t="s">
        <v>59</v>
      </c>
      <c r="B581" s="15">
        <v>3010</v>
      </c>
      <c r="C581" s="43">
        <v>2013</v>
      </c>
      <c r="D581" s="15">
        <v>3</v>
      </c>
      <c r="E581" s="17">
        <f>HLOOKUP(A581,'[19]2013 Benchmarking Calculations'!$I$3:$CC$76,6,FALSE)/1000</f>
        <v>15004.497589999999</v>
      </c>
      <c r="F581" s="41">
        <f t="shared" si="115"/>
        <v>1.178602141578931</v>
      </c>
      <c r="G581" s="44">
        <f>HLOOKUP(A581,'[19]2013 Benchmarking Calculations'!$I$3:$CC$76,57,FALSE)/1000</f>
        <v>379.77699999999999</v>
      </c>
      <c r="H581" s="16">
        <f t="shared" si="117"/>
        <v>386.56799999999998</v>
      </c>
      <c r="I581" s="18">
        <f>HLOOKUP(A581,'[19]2013 Benchmarking Calculations'!$I$3:$CC$76,53,FALSE)</f>
        <v>90019</v>
      </c>
      <c r="J581" s="18">
        <f>HLOOKUP(A581,'[19]2013 Benchmarking Calculations'!$I$3:$CC$76,71,FALSE)</f>
        <v>1901</v>
      </c>
      <c r="K581" s="18">
        <f t="shared" si="116"/>
        <v>872</v>
      </c>
      <c r="L581" s="19">
        <f>HLOOKUP(A581,'[19]2013 PBR data '!B$42:BV$68,15,FALSE)/HLOOKUP(A581,'[19]2013 PBR data '!B$42:BV$68,13,FALSE)</f>
        <v>0.45870594423987376</v>
      </c>
      <c r="M581" s="9"/>
      <c r="N581" s="9"/>
    </row>
    <row r="582" spans="1:14" s="15" customFormat="1">
      <c r="A582" s="15" t="s">
        <v>59</v>
      </c>
      <c r="B582" s="15">
        <v>3010</v>
      </c>
      <c r="C582" s="43">
        <v>2014</v>
      </c>
      <c r="D582" s="15">
        <v>3</v>
      </c>
      <c r="E582" s="17">
        <f>VLOOKUP(A582,[20]Result!$B$12:$D$84,2,FALSE)/10^3</f>
        <v>14798.493</v>
      </c>
      <c r="F582" s="41">
        <f t="shared" si="115"/>
        <v>1.2030671041042156</v>
      </c>
      <c r="G582" s="44">
        <f>VLOOKUP(A582,'[21]General transpose'!$A$1:$AF$73,26,FALSE)/10^3</f>
        <v>322.99</v>
      </c>
      <c r="H582" s="16">
        <f t="shared" si="117"/>
        <v>386.56799999999998</v>
      </c>
      <c r="I582" s="18">
        <f>'[14]2014 Benchmarking Calculations'!$AS$55</f>
        <v>91144</v>
      </c>
      <c r="J582" s="18">
        <f>VLOOKUP(A582,'[21]General transpose'!$A$1:$AF$73,16,FALSE)</f>
        <v>1904</v>
      </c>
      <c r="K582" s="18">
        <f t="shared" si="116"/>
        <v>875</v>
      </c>
      <c r="L582" s="19">
        <f>VLOOKUP(A582,'[21]General transpose'!$A$1:$AF$73,17,FALSE)</f>
        <v>0.45955882352941174</v>
      </c>
      <c r="M582" s="9"/>
      <c r="N582" s="9"/>
    </row>
    <row r="583" spans="1:14" s="15" customFormat="1">
      <c r="A583" s="15" t="s">
        <v>59</v>
      </c>
      <c r="B583" s="15">
        <v>3010</v>
      </c>
      <c r="C583" s="43">
        <v>2015</v>
      </c>
      <c r="D583" s="15">
        <v>3</v>
      </c>
      <c r="E583" s="17">
        <f>VLOOKUP(A582,[20]Result!$B$12:$D$84,3,FALSE)/10^3</f>
        <v>14237.678</v>
      </c>
      <c r="F583" s="41">
        <f t="shared" si="115"/>
        <v>1.2312762402864634</v>
      </c>
      <c r="G583" s="44">
        <f>VLOOKUP(A582,'[22]General transpose'!$A$1:$AF$73,26,FALSE)/10^3</f>
        <v>328.00700000000001</v>
      </c>
      <c r="H583" s="16">
        <f t="shared" si="117"/>
        <v>386.56799999999998</v>
      </c>
      <c r="I583" s="18">
        <f>'[14]2015 Benchmarking Calculations'!$AS$55</f>
        <v>92405</v>
      </c>
      <c r="J583" s="18">
        <f>VLOOKUP(A582,'[22]General transpose'!$A$1:$AF$73,16,FALSE)</f>
        <v>1918</v>
      </c>
      <c r="K583" s="18">
        <f t="shared" si="116"/>
        <v>906</v>
      </c>
      <c r="L583" s="19">
        <f>VLOOKUP(A582,'[22]General transpose'!$A$1:$AF$73,17,FALSE)</f>
        <v>0.47236704900938475</v>
      </c>
      <c r="M583" s="9"/>
      <c r="N583" s="9"/>
    </row>
    <row r="584" spans="1:14" s="15" customFormat="1">
      <c r="A584" s="15" t="s">
        <v>59</v>
      </c>
      <c r="B584" s="15">
        <v>3010</v>
      </c>
      <c r="C584" s="43">
        <v>2016</v>
      </c>
      <c r="D584" s="15">
        <v>3</v>
      </c>
      <c r="E584" s="17">
        <f>'[14]2016 Benchmarking Calculations'!$AS$8/1000</f>
        <v>15268.93172</v>
      </c>
      <c r="F584" s="41">
        <f t="shared" si="115"/>
        <v>1.2455044937824149</v>
      </c>
      <c r="G584" s="44">
        <f>HLOOKUP(A584,[23]General!$A$1:$BQ$23,22,FALSE)/10^3</f>
        <v>360.767</v>
      </c>
      <c r="H584" s="16">
        <f t="shared" si="117"/>
        <v>386.56799999999998</v>
      </c>
      <c r="I584" s="18">
        <f>'[14]2016 Benchmarking Calculations'!$AS$55</f>
        <v>94059</v>
      </c>
      <c r="J584" s="18">
        <f>HLOOKUP(A584,[23]General!$A$1:$BQ$23,17,FALSE)</f>
        <v>1948</v>
      </c>
      <c r="K584" s="18">
        <f t="shared" si="116"/>
        <v>931</v>
      </c>
      <c r="L584" s="19">
        <f>HLOOKUP(A584,[23]General!$A$1:$BQ$23,18,FALSE)</f>
        <v>0.47792607802874743</v>
      </c>
      <c r="M584" s="9"/>
      <c r="N584" s="9"/>
    </row>
    <row r="585" spans="1:14" s="15" customFormat="1">
      <c r="A585" s="15" t="s">
        <v>59</v>
      </c>
      <c r="B585" s="15">
        <v>3010</v>
      </c>
      <c r="C585" s="43">
        <v>2017</v>
      </c>
      <c r="D585" s="15">
        <v>3</v>
      </c>
      <c r="E585" s="17">
        <f>'[14]2017 Benchmarking Calculations'!$AU$9/1000</f>
        <v>16163.456330000001</v>
      </c>
      <c r="F585" s="41">
        <f t="shared" si="115"/>
        <v>1.2674505553724562</v>
      </c>
      <c r="G585" s="44">
        <f>'[14]2017 Benchmarking Calculations'!$AU$60/1000</f>
        <v>325.69099999999997</v>
      </c>
      <c r="H585" s="16">
        <f t="shared" si="117"/>
        <v>386.56799999999998</v>
      </c>
      <c r="I585" s="18">
        <f>'[14]2017 Benchmarking Calculations'!$AU$56</f>
        <v>95758</v>
      </c>
      <c r="J585" s="18">
        <f>[15]General!$AH$17</f>
        <v>1968</v>
      </c>
      <c r="K585" s="18">
        <f>J585*L585</f>
        <v>950</v>
      </c>
      <c r="L585" s="19">
        <f>[15]General!$AH$16/[15]General!$AH$17</f>
        <v>0.48272357723577236</v>
      </c>
      <c r="M585" s="9"/>
      <c r="N585" s="9"/>
    </row>
    <row r="586" spans="1:14" s="15" customFormat="1">
      <c r="A586" s="15" t="s">
        <v>59</v>
      </c>
      <c r="B586" s="15">
        <v>3010</v>
      </c>
      <c r="C586" s="43">
        <v>2018</v>
      </c>
      <c r="D586" s="15">
        <v>3</v>
      </c>
      <c r="E586" s="17">
        <f>'[16]2018 Benchmarking Calculations'!$AU$10/1000</f>
        <v>17517.34132</v>
      </c>
      <c r="F586" s="41">
        <f t="shared" si="115"/>
        <v>1.2994718602728874</v>
      </c>
      <c r="G586" s="44">
        <f>'[16]2018 Benchmarking Calculations'!$AU$61/1000</f>
        <v>370.68799999999999</v>
      </c>
      <c r="H586" s="16">
        <f t="shared" si="117"/>
        <v>386.56799999999998</v>
      </c>
      <c r="I586" s="18">
        <f>'[16]2018 Benchmarking Calculations'!$AU$57</f>
        <v>96828</v>
      </c>
      <c r="J586" s="18">
        <f>'[16]2018 Utility Characteristics'!$AO$103</f>
        <v>1974</v>
      </c>
      <c r="K586" s="18">
        <f>'[16]2018 Utility Characteristics'!$AO$105</f>
        <v>961</v>
      </c>
      <c r="L586" s="19">
        <f>K586/J586</f>
        <v>0.4868287740628166</v>
      </c>
      <c r="M586" s="9"/>
      <c r="N586" s="9"/>
    </row>
    <row r="587" spans="1:14" s="15" customFormat="1">
      <c r="A587" s="15" t="s">
        <v>59</v>
      </c>
      <c r="B587" s="15">
        <v>3010</v>
      </c>
      <c r="C587" s="43">
        <v>2019</v>
      </c>
      <c r="D587" s="15">
        <v>3</v>
      </c>
      <c r="E587" s="17">
        <f>'[17]2019 Benchmarking Calculations'!$AU$10/1000</f>
        <v>17521.849060000004</v>
      </c>
      <c r="F587" s="41">
        <f t="shared" si="115"/>
        <v>1.3352608354138498</v>
      </c>
      <c r="G587" s="44">
        <f>'[17]2019 Benchmarking Calculations'!$AU$61/1000</f>
        <v>342.58800000000002</v>
      </c>
      <c r="H587" s="16">
        <f t="shared" si="117"/>
        <v>386.56799999999998</v>
      </c>
      <c r="I587" s="18">
        <f>'[17]2019 Benchmarking Calculations'!$AU$57</f>
        <v>97696</v>
      </c>
      <c r="J587" s="18">
        <f>'[17]2019 Utility Characteristics'!$AO$13</f>
        <v>1980</v>
      </c>
      <c r="K587" s="18">
        <f>'[17]2019 Utility Characteristics'!$AO$18</f>
        <v>970</v>
      </c>
      <c r="L587" s="19">
        <f>K587/J587</f>
        <v>0.48989898989898989</v>
      </c>
      <c r="M587" s="9"/>
      <c r="N587" s="9"/>
    </row>
    <row r="588" spans="1:14">
      <c r="A588" s="15" t="str">
        <f>'[18]2. BM Database'!B435</f>
        <v>LAKEFRONT UTILITIES INC.</v>
      </c>
      <c r="B588" s="15">
        <v>3052</v>
      </c>
      <c r="C588" s="43">
        <f>'[18]2. BM Database'!C435</f>
        <v>2005</v>
      </c>
      <c r="D588" s="15">
        <v>3</v>
      </c>
      <c r="E588" s="17">
        <f>'[18]2. BM Database'!F435/1000</f>
        <v>1527.4058699999998</v>
      </c>
      <c r="F588" s="41">
        <f t="shared" ref="F588:F602" si="118">F573</f>
        <v>1</v>
      </c>
      <c r="G588" s="44">
        <f>'[18]2. BM Database'!P435/1000</f>
        <v>48.706000000000003</v>
      </c>
      <c r="H588" s="16">
        <f>G588</f>
        <v>48.706000000000003</v>
      </c>
      <c r="I588" s="18">
        <f>'[18]2. BM Database'!L435</f>
        <v>8551</v>
      </c>
      <c r="J588" s="18">
        <f>'[18]2. BM Database'!R435</f>
        <v>100</v>
      </c>
      <c r="K588" s="18">
        <f t="shared" ref="K588:K599" si="119">J588*L588</f>
        <v>7.0000000000000009</v>
      </c>
      <c r="L588" s="19">
        <f>'[18]2. BM Database'!T435</f>
        <v>7.0000000000000007E-2</v>
      </c>
      <c r="M588" s="9"/>
      <c r="N588" s="9"/>
    </row>
    <row r="589" spans="1:14">
      <c r="A589" s="15" t="str">
        <f>'[18]2. BM Database'!B436</f>
        <v>LAKEFRONT UTILITIES INC.</v>
      </c>
      <c r="B589" s="15">
        <v>3052</v>
      </c>
      <c r="C589" s="43">
        <f>'[18]2. BM Database'!C436</f>
        <v>2006</v>
      </c>
      <c r="D589" s="15">
        <v>3</v>
      </c>
      <c r="E589" s="17">
        <f>'[18]2. BM Database'!F436/1000</f>
        <v>1733.3253399999999</v>
      </c>
      <c r="F589" s="41">
        <f t="shared" si="118"/>
        <v>1.0181607380073696</v>
      </c>
      <c r="G589" s="44">
        <f>'[18]2. BM Database'!P436/1000</f>
        <v>47.536999999999999</v>
      </c>
      <c r="H589" s="16">
        <f>MAX(G589,H588)</f>
        <v>48.706000000000003</v>
      </c>
      <c r="I589" s="18">
        <f>'[18]2. BM Database'!L436</f>
        <v>9048</v>
      </c>
      <c r="J589" s="18">
        <f>'[18]2. BM Database'!R436</f>
        <v>114</v>
      </c>
      <c r="K589" s="18">
        <f t="shared" si="119"/>
        <v>19</v>
      </c>
      <c r="L589" s="19">
        <f>'[18]2. BM Database'!T436</f>
        <v>0.16666666666666666</v>
      </c>
      <c r="M589" s="9"/>
      <c r="N589" s="9"/>
    </row>
    <row r="590" spans="1:14">
      <c r="A590" s="15" t="str">
        <f>'[18]2. BM Database'!B437</f>
        <v>LAKEFRONT UTILITIES INC.</v>
      </c>
      <c r="B590" s="15">
        <v>3052</v>
      </c>
      <c r="C590" s="43">
        <f>'[18]2. BM Database'!C437</f>
        <v>2007</v>
      </c>
      <c r="D590" s="15">
        <v>3</v>
      </c>
      <c r="E590" s="17">
        <f>'[18]2. BM Database'!F437/1000</f>
        <v>1857.9354500000002</v>
      </c>
      <c r="F590" s="41">
        <f t="shared" si="118"/>
        <v>1.0531931014872313</v>
      </c>
      <c r="G590" s="44">
        <f>'[18]2. BM Database'!P437/1000</f>
        <v>49.23</v>
      </c>
      <c r="H590" s="16">
        <f t="shared" ref="H590:H602" si="120">MAX(G590,H589)</f>
        <v>49.23</v>
      </c>
      <c r="I590" s="18">
        <f>'[18]2. BM Database'!L437</f>
        <v>9057</v>
      </c>
      <c r="J590" s="18">
        <f>'[18]2. BM Database'!R437</f>
        <v>114</v>
      </c>
      <c r="K590" s="18">
        <f t="shared" si="119"/>
        <v>19</v>
      </c>
      <c r="L590" s="19">
        <f>'[18]2. BM Database'!T437</f>
        <v>0.16666666666666666</v>
      </c>
      <c r="M590" s="9"/>
      <c r="N590" s="9"/>
    </row>
    <row r="591" spans="1:14">
      <c r="A591" s="15" t="str">
        <f>'[18]2. BM Database'!B438</f>
        <v>LAKEFRONT UTILITIES INC.</v>
      </c>
      <c r="B591" s="15">
        <v>3052</v>
      </c>
      <c r="C591" s="43">
        <f>'[18]2. BM Database'!C438</f>
        <v>2008</v>
      </c>
      <c r="D591" s="15">
        <v>3</v>
      </c>
      <c r="E591" s="17">
        <f>'[18]2. BM Database'!F438/1000</f>
        <v>1854.9282899999998</v>
      </c>
      <c r="F591" s="41">
        <f t="shared" si="118"/>
        <v>1.078564603993923</v>
      </c>
      <c r="G591" s="44">
        <f>'[18]2. BM Database'!P438/1000</f>
        <v>46.944000000000003</v>
      </c>
      <c r="H591" s="16">
        <f t="shared" si="120"/>
        <v>49.23</v>
      </c>
      <c r="I591" s="18">
        <f>'[18]2. BM Database'!L438</f>
        <v>9215</v>
      </c>
      <c r="J591" s="18">
        <f>'[18]2. BM Database'!R438</f>
        <v>114</v>
      </c>
      <c r="K591" s="18">
        <f t="shared" si="119"/>
        <v>19</v>
      </c>
      <c r="L591" s="19">
        <f>'[18]2. BM Database'!T438</f>
        <v>0.16666666666666666</v>
      </c>
      <c r="M591" s="9"/>
      <c r="N591" s="9"/>
    </row>
    <row r="592" spans="1:14">
      <c r="A592" s="15" t="str">
        <f>'[18]2. BM Database'!B439</f>
        <v>LAKEFRONT UTILITIES INC.</v>
      </c>
      <c r="B592" s="15">
        <v>3052</v>
      </c>
      <c r="C592" s="43">
        <f>'[18]2. BM Database'!C439</f>
        <v>2009</v>
      </c>
      <c r="D592" s="15">
        <v>3</v>
      </c>
      <c r="E592" s="17">
        <f>'[18]2. BM Database'!F439/1000</f>
        <v>1863.8470400000001</v>
      </c>
      <c r="F592" s="41">
        <f t="shared" si="118"/>
        <v>1.0915070880241431</v>
      </c>
      <c r="G592" s="44">
        <f>'[18]2. BM Database'!P439/1000</f>
        <v>44.542000000000002</v>
      </c>
      <c r="H592" s="16">
        <f t="shared" si="120"/>
        <v>49.23</v>
      </c>
      <c r="I592" s="18">
        <f>'[18]2. BM Database'!L439</f>
        <v>9440</v>
      </c>
      <c r="J592" s="18">
        <f>'[18]2. BM Database'!R439</f>
        <v>115</v>
      </c>
      <c r="K592" s="18">
        <f t="shared" si="119"/>
        <v>20</v>
      </c>
      <c r="L592" s="19">
        <f>'[18]2. BM Database'!T439</f>
        <v>0.17391304347826086</v>
      </c>
      <c r="M592" s="9"/>
      <c r="N592" s="9"/>
    </row>
    <row r="593" spans="1:14">
      <c r="A593" s="15" t="str">
        <f>'[18]2. BM Database'!B440</f>
        <v>LAKEFRONT UTILITIES INC.</v>
      </c>
      <c r="B593" s="15">
        <v>3052</v>
      </c>
      <c r="C593" s="43">
        <f>'[18]2. BM Database'!C440</f>
        <v>2010</v>
      </c>
      <c r="D593" s="15">
        <v>3</v>
      </c>
      <c r="E593" s="17">
        <f>'[18]2. BM Database'!F440/1000</f>
        <v>2024.63471</v>
      </c>
      <c r="F593" s="41">
        <f t="shared" si="118"/>
        <v>1.1243125351578573</v>
      </c>
      <c r="G593" s="44">
        <f>'[18]2. BM Database'!P440/1000</f>
        <v>45.14</v>
      </c>
      <c r="H593" s="16">
        <f t="shared" si="120"/>
        <v>49.23</v>
      </c>
      <c r="I593" s="18">
        <f>'[18]2. BM Database'!L440</f>
        <v>9571</v>
      </c>
      <c r="J593" s="18">
        <f>'[18]2. BM Database'!R440</f>
        <v>115</v>
      </c>
      <c r="K593" s="18">
        <f t="shared" si="119"/>
        <v>20</v>
      </c>
      <c r="L593" s="19">
        <f>'[18]2. BM Database'!T440</f>
        <v>0.17391304347826086</v>
      </c>
      <c r="M593" s="9"/>
      <c r="N593" s="9"/>
    </row>
    <row r="594" spans="1:14">
      <c r="A594" s="15" t="str">
        <f>'[18]2. BM Database'!B441</f>
        <v>LAKEFRONT UTILITIES INC.</v>
      </c>
      <c r="B594" s="15">
        <v>3052</v>
      </c>
      <c r="C594" s="43">
        <f>'[18]2. BM Database'!C441</f>
        <v>2011</v>
      </c>
      <c r="D594" s="15">
        <v>3</v>
      </c>
      <c r="E594" s="17">
        <f>'[18]2. BM Database'!F441/1000</f>
        <v>2217.9973800000002</v>
      </c>
      <c r="F594" s="41">
        <f t="shared" si="118"/>
        <v>1.1430978626415853</v>
      </c>
      <c r="G594" s="44">
        <f>'[18]2. BM Database'!P441/1000</f>
        <v>44.451999999999998</v>
      </c>
      <c r="H594" s="16">
        <f t="shared" si="120"/>
        <v>49.23</v>
      </c>
      <c r="I594" s="18">
        <f>'[18]2. BM Database'!L441</f>
        <v>9976</v>
      </c>
      <c r="J594" s="18">
        <f>'[18]2. BM Database'!R441</f>
        <v>115</v>
      </c>
      <c r="K594" s="18">
        <f t="shared" si="119"/>
        <v>20</v>
      </c>
      <c r="L594" s="19">
        <f>'[18]2. BM Database'!T441</f>
        <v>0.17391304347826086</v>
      </c>
      <c r="M594" s="9"/>
      <c r="N594" s="9"/>
    </row>
    <row r="595" spans="1:14">
      <c r="A595" s="15" t="str">
        <f>'[18]2. BM Database'!B442</f>
        <v>LAKEFRONT UTILITIES INC.</v>
      </c>
      <c r="B595" s="15">
        <v>3052</v>
      </c>
      <c r="C595" s="43">
        <f>'[18]2. BM Database'!C442</f>
        <v>2012</v>
      </c>
      <c r="D595" s="15">
        <v>3</v>
      </c>
      <c r="E595" s="17">
        <f>'[18]2. BM Database'!F442/1000</f>
        <v>2112.4255151000002</v>
      </c>
      <c r="F595" s="41">
        <f t="shared" si="118"/>
        <v>1.160126854517312</v>
      </c>
      <c r="G595" s="44">
        <f>'[18]2. BM Database'!P442/1000</f>
        <v>45.252000000000002</v>
      </c>
      <c r="H595" s="16">
        <f t="shared" si="120"/>
        <v>49.23</v>
      </c>
      <c r="I595" s="18">
        <f>'[18]2. BM Database'!L442</f>
        <v>9773</v>
      </c>
      <c r="J595" s="18">
        <f>'[18]2. BM Database'!R442</f>
        <v>115</v>
      </c>
      <c r="K595" s="18">
        <f t="shared" si="119"/>
        <v>20</v>
      </c>
      <c r="L595" s="19">
        <f>'[18]2. BM Database'!T442</f>
        <v>0.17391304347826086</v>
      </c>
      <c r="M595" s="9"/>
      <c r="N595" s="9"/>
    </row>
    <row r="596" spans="1:14" s="15" customFormat="1">
      <c r="A596" s="15" t="s">
        <v>60</v>
      </c>
      <c r="B596" s="15">
        <v>3052</v>
      </c>
      <c r="C596" s="43">
        <v>2013</v>
      </c>
      <c r="D596" s="15">
        <v>3</v>
      </c>
      <c r="E596" s="17">
        <f>HLOOKUP(A596,'[19]2013 Benchmarking Calculations'!$I$3:$CC$76,6,FALSE)/1000</f>
        <v>2511.6558099999997</v>
      </c>
      <c r="F596" s="41">
        <f t="shared" si="118"/>
        <v>1.178602141578931</v>
      </c>
      <c r="G596" s="44">
        <f>HLOOKUP(A596,'[19]2013 Benchmarking Calculations'!$I$3:$CC$76,57,FALSE)/1000</f>
        <v>45.201999999999998</v>
      </c>
      <c r="H596" s="16">
        <f t="shared" si="120"/>
        <v>49.23</v>
      </c>
      <c r="I596" s="18">
        <f>HLOOKUP(A596,'[19]2013 Benchmarking Calculations'!$I$3:$CC$76,53,FALSE)</f>
        <v>9846</v>
      </c>
      <c r="J596" s="18">
        <f>HLOOKUP(A596,'[19]2013 Benchmarking Calculations'!$I$3:$CC$76,71,FALSE)</f>
        <v>115</v>
      </c>
      <c r="K596" s="18">
        <f t="shared" si="119"/>
        <v>20</v>
      </c>
      <c r="L596" s="19">
        <f>HLOOKUP(A596,'[19]2013 PBR data '!B$42:BV$68,15,FALSE)/HLOOKUP(A596,'[19]2013 PBR data '!B$42:BV$68,13,FALSE)</f>
        <v>0.17391304347826086</v>
      </c>
      <c r="M596" s="9"/>
      <c r="N596" s="9"/>
    </row>
    <row r="597" spans="1:14" s="15" customFormat="1">
      <c r="A597" s="15" t="s">
        <v>60</v>
      </c>
      <c r="B597" s="15">
        <v>3052</v>
      </c>
      <c r="C597" s="43">
        <v>2014</v>
      </c>
      <c r="D597" s="15">
        <v>3</v>
      </c>
      <c r="E597" s="17">
        <f>VLOOKUP(A597,[20]Result!$B$12:$D$84,2,FALSE)/10^3</f>
        <v>2306.6559999999999</v>
      </c>
      <c r="F597" s="41">
        <f t="shared" si="118"/>
        <v>1.2030671041042156</v>
      </c>
      <c r="G597" s="44">
        <f>VLOOKUP(A597,'[21]General transpose'!$A$1:$AF$73,26,FALSE)/10^3</f>
        <v>44.14</v>
      </c>
      <c r="H597" s="16">
        <f t="shared" si="120"/>
        <v>49.23</v>
      </c>
      <c r="I597" s="18">
        <f>VLOOKUP(A597,'[21]General transpose'!$A$1:$AF$73,8,FALSE)</f>
        <v>9996</v>
      </c>
      <c r="J597" s="18">
        <f>VLOOKUP(A597,'[21]General transpose'!$A$1:$AF$73,16,FALSE)</f>
        <v>191</v>
      </c>
      <c r="K597" s="18">
        <f t="shared" si="119"/>
        <v>50</v>
      </c>
      <c r="L597" s="19">
        <f>VLOOKUP(A597,'[21]General transpose'!$A$1:$AF$73,17,FALSE)</f>
        <v>0.26178010471204188</v>
      </c>
      <c r="M597" s="9"/>
      <c r="N597" s="9"/>
    </row>
    <row r="598" spans="1:14" s="15" customFormat="1">
      <c r="A598" s="15" t="s">
        <v>60</v>
      </c>
      <c r="B598" s="15">
        <v>3052</v>
      </c>
      <c r="C598" s="43">
        <v>2015</v>
      </c>
      <c r="D598" s="15">
        <v>3</v>
      </c>
      <c r="E598" s="17">
        <f>VLOOKUP(A597,[20]Result!$B$12:$D$84,3,FALSE)/10^3</f>
        <v>2180.7979999999998</v>
      </c>
      <c r="F598" s="41">
        <f t="shared" si="118"/>
        <v>1.2312762402864634</v>
      </c>
      <c r="G598" s="44">
        <f>VLOOKUP(A597,'[22]General transpose'!$A$1:$AF$73,26,FALSE)/10^3</f>
        <v>42.548000000000002</v>
      </c>
      <c r="H598" s="16">
        <f t="shared" si="120"/>
        <v>49.23</v>
      </c>
      <c r="I598" s="18">
        <f>VLOOKUP(A597,'[22]General transpose'!$A$1:$AF$73,8,FALSE)</f>
        <v>10125</v>
      </c>
      <c r="J598" s="18">
        <f>VLOOKUP(A597,'[22]General transpose'!$A$1:$AF$73,16,FALSE)</f>
        <v>192</v>
      </c>
      <c r="K598" s="18">
        <f t="shared" si="119"/>
        <v>50</v>
      </c>
      <c r="L598" s="19">
        <f>VLOOKUP(A597,'[22]General transpose'!$A$1:$AF$73,17,FALSE)</f>
        <v>0.26041666666666669</v>
      </c>
      <c r="M598" s="9"/>
      <c r="N598" s="9"/>
    </row>
    <row r="599" spans="1:14" s="15" customFormat="1">
      <c r="A599" s="15" t="s">
        <v>60</v>
      </c>
      <c r="B599" s="15">
        <v>3052</v>
      </c>
      <c r="C599" s="43">
        <v>2016</v>
      </c>
      <c r="D599" s="15">
        <v>3</v>
      </c>
      <c r="E599" s="17">
        <f>'[14]2016 Benchmarking Calculations'!$AT$8/1000</f>
        <v>2257.8722900000002</v>
      </c>
      <c r="F599" s="41">
        <f t="shared" si="118"/>
        <v>1.2455044937824149</v>
      </c>
      <c r="G599" s="44">
        <f>HLOOKUP(A599,[23]General!$A$1:$BQ$23,22,FALSE)/10^3</f>
        <v>43.462000000000003</v>
      </c>
      <c r="H599" s="16">
        <f t="shared" si="120"/>
        <v>49.23</v>
      </c>
      <c r="I599" s="18">
        <f>HLOOKUP(A599,[23]General!$A$1:$BQ$23,9,FALSE)</f>
        <v>10214</v>
      </c>
      <c r="J599" s="18">
        <f>HLOOKUP(A599,[23]General!$A$1:$BQ$23,17,FALSE)</f>
        <v>192</v>
      </c>
      <c r="K599" s="18">
        <f t="shared" si="119"/>
        <v>50</v>
      </c>
      <c r="L599" s="19">
        <f>HLOOKUP(A599,[23]General!$A$1:$BQ$23,18,FALSE)</f>
        <v>0.26041666666666669</v>
      </c>
      <c r="M599" s="9"/>
      <c r="N599" s="9"/>
    </row>
    <row r="600" spans="1:14" s="15" customFormat="1">
      <c r="A600" s="15" t="s">
        <v>60</v>
      </c>
      <c r="B600" s="15">
        <v>3052</v>
      </c>
      <c r="C600" s="43">
        <v>2017</v>
      </c>
      <c r="D600" s="15">
        <v>3</v>
      </c>
      <c r="E600" s="17">
        <f>'[14]2017 Benchmarking Calculations'!$AV$9/1000</f>
        <v>2292.3350399999999</v>
      </c>
      <c r="F600" s="41">
        <f t="shared" si="118"/>
        <v>1.2674505553724562</v>
      </c>
      <c r="G600" s="44">
        <f>'[14]2017 Benchmarking Calculations'!$AV$60/1000</f>
        <v>40.515999999999998</v>
      </c>
      <c r="H600" s="16">
        <f t="shared" si="120"/>
        <v>49.23</v>
      </c>
      <c r="I600" s="18">
        <f>'[14]2017 Benchmarking Calculations'!$AV$56</f>
        <v>10349</v>
      </c>
      <c r="J600" s="18">
        <f>'[14]2017 Utility Characteristics'!$AM$79</f>
        <v>219</v>
      </c>
      <c r="K600" s="15">
        <f>'[14]2017 Utility Characteristics'!$AM$81</f>
        <v>63</v>
      </c>
      <c r="L600" s="19">
        <f>K600/J600</f>
        <v>0.28767123287671231</v>
      </c>
      <c r="M600" s="9"/>
      <c r="N600" s="9"/>
    </row>
    <row r="601" spans="1:14" s="15" customFormat="1">
      <c r="A601" s="15" t="s">
        <v>60</v>
      </c>
      <c r="B601" s="15">
        <v>3052</v>
      </c>
      <c r="C601" s="43">
        <v>2018</v>
      </c>
      <c r="D601" s="15">
        <v>3</v>
      </c>
      <c r="E601" s="17">
        <f>'[16]2018 Benchmarking Calculations'!$AV$10/1000</f>
        <v>2607.8819899999999</v>
      </c>
      <c r="F601" s="41">
        <f t="shared" si="118"/>
        <v>1.2994718602728874</v>
      </c>
      <c r="G601" s="44">
        <f>'[16]2018 Benchmarking Calculations'!$AV$61/1000</f>
        <v>45.323999999999998</v>
      </c>
      <c r="H601" s="16">
        <f t="shared" si="120"/>
        <v>49.23</v>
      </c>
      <c r="I601" s="18">
        <f>'[16]2018 Benchmarking Calculations'!$AV$57</f>
        <v>10450</v>
      </c>
      <c r="J601" s="18">
        <f>'[16]2018 Utility Characteristics'!$AP$103</f>
        <v>216</v>
      </c>
      <c r="K601" s="18">
        <f>'[16]2018 Utility Characteristics'!$AP$105</f>
        <v>60</v>
      </c>
      <c r="L601" s="19">
        <f>K601/J601</f>
        <v>0.27777777777777779</v>
      </c>
      <c r="M601" s="9"/>
      <c r="N601" s="9"/>
    </row>
    <row r="602" spans="1:14" s="15" customFormat="1">
      <c r="A602" s="15" t="s">
        <v>60</v>
      </c>
      <c r="B602" s="15">
        <v>3052</v>
      </c>
      <c r="C602" s="43">
        <v>2019</v>
      </c>
      <c r="D602" s="15">
        <v>3</v>
      </c>
      <c r="E602" s="17">
        <f>'[17]2019 Benchmarking Calculations'!$AV$10/1000</f>
        <v>2618.2961099999998</v>
      </c>
      <c r="F602" s="41">
        <f t="shared" si="118"/>
        <v>1.3352608354138498</v>
      </c>
      <c r="G602" s="44">
        <f>'[17]2019 Benchmarking Calculations'!$AV$61/1000</f>
        <v>43.615000000000002</v>
      </c>
      <c r="H602" s="16">
        <f t="shared" si="120"/>
        <v>49.23</v>
      </c>
      <c r="I602" s="18">
        <f>'[17]2019 Benchmarking Calculations'!$AV$57</f>
        <v>10546</v>
      </c>
      <c r="J602" s="18">
        <f>'[17]2019 Utility Characteristics'!$AP$13</f>
        <v>221</v>
      </c>
      <c r="K602" s="18">
        <f>'[17]2019 Utility Characteristics'!$AP$18</f>
        <v>65</v>
      </c>
      <c r="L602" s="19">
        <f>K602/J602</f>
        <v>0.29411764705882354</v>
      </c>
      <c r="M602" s="9"/>
      <c r="N602" s="9"/>
    </row>
    <row r="603" spans="1:14">
      <c r="A603" s="15" t="str">
        <f>'[18]2. BM Database'!B446</f>
        <v>LAKELAND POWER DISTRIBUTION LTD.</v>
      </c>
      <c r="B603" s="15">
        <v>3053</v>
      </c>
      <c r="C603" s="43">
        <f>'[18]2. BM Database'!C446</f>
        <v>2005</v>
      </c>
      <c r="D603" s="15">
        <v>3</v>
      </c>
      <c r="E603" s="17">
        <f>'[18]2. BM Database'!F446/1000</f>
        <v>1925.3576799999998</v>
      </c>
      <c r="F603" s="41">
        <f t="shared" ref="F603:F617" si="121">F588</f>
        <v>1</v>
      </c>
      <c r="G603" s="44">
        <f>'[18]2. BM Database'!P446/1000</f>
        <v>44.197000000000003</v>
      </c>
      <c r="H603" s="16">
        <f>G603</f>
        <v>44.197000000000003</v>
      </c>
      <c r="I603" s="18">
        <f>'[18]2. BM Database'!L446</f>
        <v>8995</v>
      </c>
      <c r="J603" s="18">
        <f>'[18]2. BM Database'!R446</f>
        <v>659</v>
      </c>
      <c r="K603" s="18">
        <f t="shared" ref="K603:K611" si="122">J603*L603</f>
        <v>79</v>
      </c>
      <c r="L603" s="19">
        <f>'[18]2. BM Database'!T446</f>
        <v>0.11987860394537178</v>
      </c>
      <c r="M603" s="9"/>
      <c r="N603" s="9"/>
    </row>
    <row r="604" spans="1:14">
      <c r="A604" s="15" t="str">
        <f>'[18]2. BM Database'!B447</f>
        <v>LAKELAND POWER DISTRIBUTION LTD.</v>
      </c>
      <c r="B604" s="15">
        <v>3053</v>
      </c>
      <c r="C604" s="43">
        <f>'[18]2. BM Database'!C447</f>
        <v>2006</v>
      </c>
      <c r="D604" s="15">
        <v>3</v>
      </c>
      <c r="E604" s="17">
        <f>'[18]2. BM Database'!F447/1000</f>
        <v>2393.9519000000005</v>
      </c>
      <c r="F604" s="41">
        <f t="shared" si="121"/>
        <v>1.0181607380073696</v>
      </c>
      <c r="G604" s="44">
        <f>'[18]2. BM Database'!P447/1000</f>
        <v>40.914999999999999</v>
      </c>
      <c r="H604" s="16">
        <f>MAX(G604,H603)</f>
        <v>44.197000000000003</v>
      </c>
      <c r="I604" s="18">
        <f>'[18]2. BM Database'!L447</f>
        <v>9050</v>
      </c>
      <c r="J604" s="18">
        <f>'[18]2. BM Database'!R447</f>
        <v>338</v>
      </c>
      <c r="K604" s="18">
        <f t="shared" si="122"/>
        <v>57.999999999999993</v>
      </c>
      <c r="L604" s="19">
        <f>'[18]2. BM Database'!T447</f>
        <v>0.17159763313609466</v>
      </c>
      <c r="M604" s="9"/>
      <c r="N604" s="9"/>
    </row>
    <row r="605" spans="1:14">
      <c r="A605" s="15" t="str">
        <f>'[18]2. BM Database'!B448</f>
        <v>LAKELAND POWER DISTRIBUTION LTD.</v>
      </c>
      <c r="B605" s="15">
        <v>3053</v>
      </c>
      <c r="C605" s="43">
        <f>'[18]2. BM Database'!C448</f>
        <v>2007</v>
      </c>
      <c r="D605" s="15">
        <v>3</v>
      </c>
      <c r="E605" s="17">
        <f>'[18]2. BM Database'!F448/1000</f>
        <v>2392.2121799999995</v>
      </c>
      <c r="F605" s="41">
        <f t="shared" si="121"/>
        <v>1.0531931014872313</v>
      </c>
      <c r="G605" s="44">
        <f>'[18]2. BM Database'!P448/1000</f>
        <v>42.284999999999997</v>
      </c>
      <c r="H605" s="16">
        <f t="shared" ref="H605:H617" si="123">MAX(G605,H604)</f>
        <v>44.197000000000003</v>
      </c>
      <c r="I605" s="18">
        <f>'[18]2. BM Database'!L448</f>
        <v>9135</v>
      </c>
      <c r="J605" s="18">
        <f>'[18]2. BM Database'!R448</f>
        <v>355</v>
      </c>
      <c r="K605" s="18">
        <f t="shared" si="122"/>
        <v>70</v>
      </c>
      <c r="L605" s="19">
        <f>'[18]2. BM Database'!T448</f>
        <v>0.19718309859154928</v>
      </c>
      <c r="M605" s="9"/>
      <c r="N605" s="9"/>
    </row>
    <row r="606" spans="1:14">
      <c r="A606" s="15" t="str">
        <f>'[18]2. BM Database'!B449</f>
        <v>LAKELAND POWER DISTRIBUTION LTD.</v>
      </c>
      <c r="B606" s="15">
        <v>3053</v>
      </c>
      <c r="C606" s="43">
        <f>'[18]2. BM Database'!C449</f>
        <v>2008</v>
      </c>
      <c r="D606" s="15">
        <v>3</v>
      </c>
      <c r="E606" s="17">
        <f>'[18]2. BM Database'!F449/1000</f>
        <v>3016.0051700000004</v>
      </c>
      <c r="F606" s="41">
        <f t="shared" si="121"/>
        <v>1.078564603993923</v>
      </c>
      <c r="G606" s="44">
        <f>'[18]2. BM Database'!P449/1000</f>
        <v>49.384</v>
      </c>
      <c r="H606" s="16">
        <f t="shared" si="123"/>
        <v>49.384</v>
      </c>
      <c r="I606" s="18">
        <f>'[18]2. BM Database'!L449</f>
        <v>9295</v>
      </c>
      <c r="J606" s="18">
        <f>'[18]2. BM Database'!R449</f>
        <v>355</v>
      </c>
      <c r="K606" s="18">
        <f t="shared" si="122"/>
        <v>71</v>
      </c>
      <c r="L606" s="19">
        <f>'[18]2. BM Database'!T449</f>
        <v>0.2</v>
      </c>
      <c r="M606" s="9"/>
      <c r="N606" s="9"/>
    </row>
    <row r="607" spans="1:14">
      <c r="A607" s="15" t="str">
        <f>'[18]2. BM Database'!B450</f>
        <v>LAKELAND POWER DISTRIBUTION LTD.</v>
      </c>
      <c r="B607" s="15">
        <v>3053</v>
      </c>
      <c r="C607" s="43">
        <f>'[18]2. BM Database'!C450</f>
        <v>2009</v>
      </c>
      <c r="D607" s="15">
        <v>3</v>
      </c>
      <c r="E607" s="17">
        <f>'[18]2. BM Database'!F450/1000</f>
        <v>3105.5190699999998</v>
      </c>
      <c r="F607" s="41">
        <f t="shared" si="121"/>
        <v>1.0915070880241431</v>
      </c>
      <c r="G607" s="44">
        <f>'[18]2. BM Database'!P450/1000</f>
        <v>44.128</v>
      </c>
      <c r="H607" s="16">
        <f t="shared" si="123"/>
        <v>49.384</v>
      </c>
      <c r="I607" s="18">
        <f>'[18]2. BM Database'!L450</f>
        <v>9344</v>
      </c>
      <c r="J607" s="18">
        <f>'[18]2. BM Database'!R450</f>
        <v>350</v>
      </c>
      <c r="K607" s="18">
        <f t="shared" si="122"/>
        <v>65</v>
      </c>
      <c r="L607" s="19">
        <f>'[18]2. BM Database'!T450</f>
        <v>0.18571428571428572</v>
      </c>
      <c r="M607" s="9"/>
      <c r="N607" s="9"/>
    </row>
    <row r="608" spans="1:14">
      <c r="A608" s="15" t="str">
        <f>'[18]2. BM Database'!B451</f>
        <v>LAKELAND POWER DISTRIBUTION LTD.</v>
      </c>
      <c r="B608" s="15">
        <v>3053</v>
      </c>
      <c r="C608" s="43">
        <f>'[18]2. BM Database'!C451</f>
        <v>2010</v>
      </c>
      <c r="D608" s="15">
        <v>3</v>
      </c>
      <c r="E608" s="17">
        <f>'[18]2. BM Database'!F451/1000</f>
        <v>3295.7238700000003</v>
      </c>
      <c r="F608" s="41">
        <f t="shared" si="121"/>
        <v>1.1243125351578573</v>
      </c>
      <c r="G608" s="44">
        <f>'[18]2. BM Database'!P451/1000</f>
        <v>39.61</v>
      </c>
      <c r="H608" s="16">
        <f t="shared" si="123"/>
        <v>49.384</v>
      </c>
      <c r="I608" s="18">
        <f>'[18]2. BM Database'!L451</f>
        <v>9439</v>
      </c>
      <c r="J608" s="18">
        <f>'[18]2. BM Database'!R451</f>
        <v>355</v>
      </c>
      <c r="K608" s="18">
        <f t="shared" si="122"/>
        <v>67</v>
      </c>
      <c r="L608" s="19">
        <f>'[18]2. BM Database'!T451</f>
        <v>0.18873239436619718</v>
      </c>
      <c r="M608" s="9"/>
      <c r="N608" s="9"/>
    </row>
    <row r="609" spans="1:14">
      <c r="A609" s="15" t="str">
        <f>'[18]2. BM Database'!B452</f>
        <v>LAKELAND POWER DISTRIBUTION LTD.</v>
      </c>
      <c r="B609" s="15">
        <v>3053</v>
      </c>
      <c r="C609" s="43">
        <f>'[18]2. BM Database'!C452</f>
        <v>2011</v>
      </c>
      <c r="D609" s="15">
        <v>3</v>
      </c>
      <c r="E609" s="17">
        <f>'[18]2. BM Database'!F452/1000</f>
        <v>3178.1672400000007</v>
      </c>
      <c r="F609" s="41">
        <f t="shared" si="121"/>
        <v>1.1430978626415853</v>
      </c>
      <c r="G609" s="44">
        <f>'[18]2. BM Database'!P452/1000</f>
        <v>41.418999999999997</v>
      </c>
      <c r="H609" s="16">
        <f t="shared" si="123"/>
        <v>49.384</v>
      </c>
      <c r="I609" s="18">
        <f>'[18]2. BM Database'!L452</f>
        <v>9598</v>
      </c>
      <c r="J609" s="18">
        <f>'[18]2. BM Database'!R452</f>
        <v>333</v>
      </c>
      <c r="K609" s="18">
        <f t="shared" si="122"/>
        <v>76</v>
      </c>
      <c r="L609" s="19">
        <f>'[18]2. BM Database'!T452</f>
        <v>0.22822822822822822</v>
      </c>
      <c r="M609" s="9"/>
      <c r="N609" s="9"/>
    </row>
    <row r="610" spans="1:14">
      <c r="A610" s="15" t="str">
        <f>'[18]2. BM Database'!B453</f>
        <v>LAKELAND POWER DISTRIBUTION LTD.</v>
      </c>
      <c r="B610" s="15">
        <v>3053</v>
      </c>
      <c r="C610" s="43">
        <f>'[18]2. BM Database'!C453</f>
        <v>2012</v>
      </c>
      <c r="D610" s="15">
        <v>3</v>
      </c>
      <c r="E610" s="17">
        <f>'[18]2. BM Database'!F453/1000</f>
        <v>3094.8022394999998</v>
      </c>
      <c r="F610" s="41">
        <f t="shared" si="121"/>
        <v>1.160126854517312</v>
      </c>
      <c r="G610" s="44">
        <f>'[18]2. BM Database'!P453/1000</f>
        <v>38.731000000000002</v>
      </c>
      <c r="H610" s="16">
        <f t="shared" si="123"/>
        <v>49.384</v>
      </c>
      <c r="I610" s="18">
        <f>'[18]2. BM Database'!L453</f>
        <v>9685</v>
      </c>
      <c r="J610" s="18">
        <f>'[18]2. BM Database'!R453</f>
        <v>300</v>
      </c>
      <c r="K610" s="18">
        <f t="shared" si="122"/>
        <v>77</v>
      </c>
      <c r="L610" s="19">
        <f>'[18]2. BM Database'!T453</f>
        <v>0.25666666666666665</v>
      </c>
      <c r="M610" s="9"/>
      <c r="N610" s="9"/>
    </row>
    <row r="611" spans="1:14" s="15" customFormat="1">
      <c r="A611" s="15" t="s">
        <v>61</v>
      </c>
      <c r="B611" s="15">
        <v>3053</v>
      </c>
      <c r="C611" s="43">
        <v>2013</v>
      </c>
      <c r="D611" s="15">
        <v>3</v>
      </c>
      <c r="E611" s="17">
        <f>HLOOKUP(A611,'[19]2013 Benchmarking Calculations'!$I$3:$CC$76,6,FALSE)/1000</f>
        <v>3727.1370099999995</v>
      </c>
      <c r="F611" s="41">
        <f t="shared" si="121"/>
        <v>1.178602141578931</v>
      </c>
      <c r="G611" s="44">
        <f>HLOOKUP(A611,'[19]2013 Benchmarking Calculations'!$I$3:$CC$76,57,FALSE)/1000</f>
        <v>42.957999999999998</v>
      </c>
      <c r="H611" s="16">
        <f t="shared" si="123"/>
        <v>49.384</v>
      </c>
      <c r="I611" s="18">
        <f>HLOOKUP(A611,'[19]2013 Benchmarking Calculations'!$I$3:$CC$76,53,FALSE)</f>
        <v>9765</v>
      </c>
      <c r="J611" s="18">
        <f>HLOOKUP(A611,'[19]2013 Benchmarking Calculations'!$I$3:$CC$76,71,FALSE)</f>
        <v>299</v>
      </c>
      <c r="K611" s="18">
        <f t="shared" si="122"/>
        <v>78</v>
      </c>
      <c r="L611" s="19">
        <f>HLOOKUP(A611,'[19]2013 PBR data '!B$42:BV$68,15,FALSE)/HLOOKUP(A611,'[19]2013 PBR data '!B$42:BV$68,13,FALSE)</f>
        <v>0.2608695652173913</v>
      </c>
      <c r="M611" s="9"/>
      <c r="N611" s="9"/>
    </row>
    <row r="612" spans="1:14" s="15" customFormat="1">
      <c r="A612" s="15" t="s">
        <v>61</v>
      </c>
      <c r="B612" s="15">
        <v>3053</v>
      </c>
      <c r="C612" s="43">
        <v>2014</v>
      </c>
      <c r="D612" s="15">
        <v>3</v>
      </c>
      <c r="E612" s="17">
        <f>'[14]2014 Benchmarking Calculations'!$AU$8/1000</f>
        <v>5334.4649300000001</v>
      </c>
      <c r="F612" s="41">
        <f t="shared" si="121"/>
        <v>1.2030671041042156</v>
      </c>
      <c r="G612" s="44">
        <f>'[14]2014 Benchmarking Calculations'!$AU$59/1000</f>
        <v>62.606000000000002</v>
      </c>
      <c r="H612" s="16">
        <f t="shared" si="123"/>
        <v>62.606000000000002</v>
      </c>
      <c r="I612" s="18">
        <f>'[14]2014 Benchmarking Calculations'!$AU$55</f>
        <v>13264</v>
      </c>
      <c r="J612" s="18">
        <f>'[14]2014 Benchmarking Calculations'!$AU$73</f>
        <v>375</v>
      </c>
      <c r="K612" s="15">
        <f>'[14]2014 PBR Data'!$AN$44</f>
        <v>88</v>
      </c>
      <c r="L612" s="19">
        <f>K612/J612</f>
        <v>0.23466666666666666</v>
      </c>
      <c r="M612" s="9"/>
      <c r="N612" s="9"/>
    </row>
    <row r="613" spans="1:14" s="15" customFormat="1">
      <c r="A613" s="15" t="s">
        <v>61</v>
      </c>
      <c r="B613" s="15">
        <v>3053</v>
      </c>
      <c r="C613" s="43">
        <v>2015</v>
      </c>
      <c r="D613" s="15">
        <v>3</v>
      </c>
      <c r="E613" s="17">
        <f>'[14]2015 Benchmarking Calculations'!$AU$8/1000</f>
        <v>5369.2532799999999</v>
      </c>
      <c r="F613" s="41">
        <f t="shared" si="121"/>
        <v>1.2312762402864634</v>
      </c>
      <c r="G613" s="44">
        <f>VLOOKUP(A612,'[22]General transpose'!$A$1:$AF$73,26,FALSE)/10^3</f>
        <v>57.404000000000003</v>
      </c>
      <c r="H613" s="16">
        <f t="shared" si="123"/>
        <v>62.606000000000002</v>
      </c>
      <c r="I613" s="18">
        <f>VLOOKUP(A612,'[22]General transpose'!$A$1:$AF$73,8,FALSE)</f>
        <v>13345</v>
      </c>
      <c r="J613" s="18">
        <f>VLOOKUP(A612,'[22]General transpose'!$A$1:$AF$73,16,FALSE)</f>
        <v>367</v>
      </c>
      <c r="K613" s="18">
        <f t="shared" ref="K613:K614" si="124">J613*L613</f>
        <v>90</v>
      </c>
      <c r="L613" s="19">
        <f>VLOOKUP(A612,'[22]General transpose'!$A$1:$AF$73,17,FALSE)</f>
        <v>0.24523160762942781</v>
      </c>
      <c r="M613" s="9"/>
      <c r="N613" s="9"/>
    </row>
    <row r="614" spans="1:14" s="15" customFormat="1">
      <c r="A614" s="15" t="s">
        <v>61</v>
      </c>
      <c r="B614" s="15">
        <v>3053</v>
      </c>
      <c r="C614" s="43">
        <v>2016</v>
      </c>
      <c r="D614" s="15">
        <v>3</v>
      </c>
      <c r="E614" s="17">
        <f>'[14]2016 Benchmarking Calculations'!$AU$8/1000</f>
        <v>5084.7031100000004</v>
      </c>
      <c r="F614" s="41">
        <f t="shared" si="121"/>
        <v>1.2455044937824149</v>
      </c>
      <c r="G614" s="44">
        <f>HLOOKUP(A614,[23]General!$A$1:$BQ$23,22,FALSE)/10^3</f>
        <v>48.039000000000001</v>
      </c>
      <c r="H614" s="16">
        <f t="shared" si="123"/>
        <v>62.606000000000002</v>
      </c>
      <c r="I614" s="18">
        <f>HLOOKUP(A614,[23]General!$A$1:$BQ$23,9,FALSE)</f>
        <v>13406</v>
      </c>
      <c r="J614" s="18">
        <f>HLOOKUP(A614,[23]General!$A$1:$BQ$23,17,FALSE)</f>
        <v>357</v>
      </c>
      <c r="K614" s="18">
        <f t="shared" si="124"/>
        <v>86</v>
      </c>
      <c r="L614" s="19">
        <f>HLOOKUP(A614,[23]General!$A$1:$BQ$23,18,FALSE)</f>
        <v>0.24089635854341737</v>
      </c>
      <c r="M614" s="9"/>
      <c r="N614" s="9"/>
    </row>
    <row r="615" spans="1:14" s="15" customFormat="1">
      <c r="A615" s="15" t="s">
        <v>61</v>
      </c>
      <c r="B615" s="15">
        <v>3053</v>
      </c>
      <c r="C615" s="43">
        <v>2017</v>
      </c>
      <c r="D615" s="15">
        <v>3</v>
      </c>
      <c r="E615" s="17">
        <f>'[14]2017 Benchmarking Calculations'!$AW$9/1000</f>
        <v>4833.1586600000001</v>
      </c>
      <c r="F615" s="41">
        <f t="shared" si="121"/>
        <v>1.2674505553724562</v>
      </c>
      <c r="G615" s="44">
        <f>'[14]2017 Benchmarking Calculations'!$AW$60/1000</f>
        <v>50.947000000000003</v>
      </c>
      <c r="H615" s="16">
        <f t="shared" si="123"/>
        <v>62.606000000000002</v>
      </c>
      <c r="I615" s="18">
        <f>'[14]2017 Benchmarking Calculations'!$AW$56</f>
        <v>13491</v>
      </c>
      <c r="J615" s="18">
        <f>'[14]2017 Utility Characteristics'!$AN$79</f>
        <v>358</v>
      </c>
      <c r="K615" s="15">
        <f>'[14]2017 Utility Characteristics'!$AN$81</f>
        <v>87</v>
      </c>
      <c r="L615" s="19">
        <f>K615/J615</f>
        <v>0.24301675977653631</v>
      </c>
      <c r="M615" s="9"/>
      <c r="N615" s="9"/>
    </row>
    <row r="616" spans="1:14" s="15" customFormat="1">
      <c r="A616" s="15" t="s">
        <v>61</v>
      </c>
      <c r="B616" s="15">
        <v>3053</v>
      </c>
      <c r="C616" s="43">
        <v>2018</v>
      </c>
      <c r="D616" s="15">
        <v>3</v>
      </c>
      <c r="E616" s="17">
        <f>'[16]2018 Benchmarking Calculations'!$AW$10/1000</f>
        <v>5311.1373700000013</v>
      </c>
      <c r="F616" s="41">
        <f t="shared" si="121"/>
        <v>1.2994718602728874</v>
      </c>
      <c r="G616" s="44">
        <f>'[16]2018 Benchmarking Calculations'!$AW$61/1000</f>
        <v>55.713000000000001</v>
      </c>
      <c r="H616" s="16">
        <f t="shared" si="123"/>
        <v>62.606000000000002</v>
      </c>
      <c r="I616" s="18">
        <f>'[16]2018 Benchmarking Calculations'!$AW$57</f>
        <v>13644</v>
      </c>
      <c r="J616" s="18">
        <f>'[16]2018 Utility Characteristics'!$AQ$103</f>
        <v>354</v>
      </c>
      <c r="K616" s="15">
        <f>'[16]2018 Utility Characteristics'!$AQ$105</f>
        <v>88</v>
      </c>
      <c r="L616" s="19">
        <f>K616/J616</f>
        <v>0.24858757062146894</v>
      </c>
      <c r="M616" s="9"/>
      <c r="N616" s="9"/>
    </row>
    <row r="617" spans="1:14" s="15" customFormat="1">
      <c r="A617" s="15" t="s">
        <v>61</v>
      </c>
      <c r="B617" s="15">
        <v>3053</v>
      </c>
      <c r="C617" s="43">
        <v>2019</v>
      </c>
      <c r="D617" s="15">
        <v>3</v>
      </c>
      <c r="E617" s="17">
        <f>'[17]2019 Benchmarking Calculations'!$AW$10/1000</f>
        <v>4991.8201799999997</v>
      </c>
      <c r="F617" s="41">
        <f t="shared" si="121"/>
        <v>1.3352608354138498</v>
      </c>
      <c r="G617" s="44">
        <f>'[17]2019 Benchmarking Calculations'!$AW$61/1000</f>
        <v>50.162999999999997</v>
      </c>
      <c r="H617" s="16">
        <f t="shared" si="123"/>
        <v>62.606000000000002</v>
      </c>
      <c r="I617" s="18">
        <f>'[17]2019 Benchmarking Calculations'!$AW$57</f>
        <v>13762</v>
      </c>
      <c r="J617" s="18">
        <f>'[17]2019 Utility Characteristics'!$AQ$13</f>
        <v>358</v>
      </c>
      <c r="K617" s="15">
        <f>'[17]2019 Utility Characteristics'!$AQ$18</f>
        <v>95</v>
      </c>
      <c r="L617" s="19">
        <f>K617/J617</f>
        <v>0.26536312849162014</v>
      </c>
      <c r="M617" s="9"/>
      <c r="N617" s="9"/>
    </row>
    <row r="618" spans="1:14">
      <c r="A618" s="15" t="str">
        <f>'[18]2. BM Database'!B457</f>
        <v>LONDON HYDRO INC.</v>
      </c>
      <c r="B618" s="15">
        <v>3007</v>
      </c>
      <c r="C618" s="43">
        <f>'[18]2. BM Database'!C457</f>
        <v>2005</v>
      </c>
      <c r="D618" s="15">
        <v>3</v>
      </c>
      <c r="E618" s="17">
        <f>'[18]2. BM Database'!F457/1000</f>
        <v>21011.03585</v>
      </c>
      <c r="F618" s="41">
        <f t="shared" ref="F618:F632" si="125">F603</f>
        <v>1</v>
      </c>
      <c r="G618" s="44">
        <f>'[18]2. BM Database'!P457/1000</f>
        <v>708.06299999999999</v>
      </c>
      <c r="H618" s="16">
        <f>G618</f>
        <v>708.06299999999999</v>
      </c>
      <c r="I618" s="18">
        <f>'[18]2. BM Database'!L457</f>
        <v>138046</v>
      </c>
      <c r="J618" s="18">
        <f>'[18]2. BM Database'!R457</f>
        <v>2536</v>
      </c>
      <c r="K618" s="18">
        <f t="shared" ref="K618:K629" si="126">J618*L618</f>
        <v>1280</v>
      </c>
      <c r="L618" s="19">
        <f>'[18]2. BM Database'!T457</f>
        <v>0.50473186119873814</v>
      </c>
      <c r="M618" s="9"/>
      <c r="N618" s="9"/>
    </row>
    <row r="619" spans="1:14">
      <c r="A619" s="15" t="str">
        <f>'[18]2. BM Database'!B458</f>
        <v>LONDON HYDRO INC.</v>
      </c>
      <c r="B619" s="15">
        <v>3007</v>
      </c>
      <c r="C619" s="43">
        <f>'[18]2. BM Database'!C458</f>
        <v>2006</v>
      </c>
      <c r="D619" s="15">
        <v>3</v>
      </c>
      <c r="E619" s="17">
        <f>'[18]2. BM Database'!F458/1000</f>
        <v>23004.940010000002</v>
      </c>
      <c r="F619" s="41">
        <f t="shared" si="125"/>
        <v>1.0181607380073696</v>
      </c>
      <c r="G619" s="44">
        <f>'[18]2. BM Database'!P458/1000</f>
        <v>719.375</v>
      </c>
      <c r="H619" s="16">
        <f>MAX(G619,H618)</f>
        <v>719.375</v>
      </c>
      <c r="I619" s="18">
        <f>'[18]2. BM Database'!L458</f>
        <v>140007</v>
      </c>
      <c r="J619" s="18">
        <f>'[18]2. BM Database'!R458</f>
        <v>2568</v>
      </c>
      <c r="K619" s="18">
        <f t="shared" si="126"/>
        <v>1309</v>
      </c>
      <c r="L619" s="19">
        <f>'[18]2. BM Database'!T458</f>
        <v>0.50973520249221183</v>
      </c>
      <c r="M619" s="9"/>
      <c r="N619" s="9"/>
    </row>
    <row r="620" spans="1:14">
      <c r="A620" s="15" t="str">
        <f>'[18]2. BM Database'!B459</f>
        <v>LONDON HYDRO INC.</v>
      </c>
      <c r="B620" s="15">
        <v>3007</v>
      </c>
      <c r="C620" s="43">
        <f>'[18]2. BM Database'!C459</f>
        <v>2007</v>
      </c>
      <c r="D620" s="15">
        <v>3</v>
      </c>
      <c r="E620" s="17">
        <f>'[18]2. BM Database'!F459/1000</f>
        <v>24376.047779999997</v>
      </c>
      <c r="F620" s="41">
        <f t="shared" si="125"/>
        <v>1.0531931014872313</v>
      </c>
      <c r="G620" s="44">
        <f>'[18]2. BM Database'!P459/1000</f>
        <v>681.82500000000005</v>
      </c>
      <c r="H620" s="16">
        <f t="shared" ref="H620:H632" si="127">MAX(G620,H619)</f>
        <v>719.375</v>
      </c>
      <c r="I620" s="18">
        <f>'[18]2. BM Database'!L459</f>
        <v>142105</v>
      </c>
      <c r="J620" s="18">
        <f>'[18]2. BM Database'!R459</f>
        <v>2609</v>
      </c>
      <c r="K620" s="18">
        <f t="shared" si="126"/>
        <v>1335</v>
      </c>
      <c r="L620" s="19">
        <f>'[18]2. BM Database'!T459</f>
        <v>0.51169030279800687</v>
      </c>
      <c r="M620" s="9"/>
      <c r="N620" s="9"/>
    </row>
    <row r="621" spans="1:14">
      <c r="A621" s="15" t="str">
        <f>'[18]2. BM Database'!B460</f>
        <v>LONDON HYDRO INC.</v>
      </c>
      <c r="B621" s="15">
        <v>3007</v>
      </c>
      <c r="C621" s="43">
        <f>'[18]2. BM Database'!C460</f>
        <v>2008</v>
      </c>
      <c r="D621" s="15">
        <v>3</v>
      </c>
      <c r="E621" s="17">
        <f>'[18]2. BM Database'!F460/1000</f>
        <v>26118.82013</v>
      </c>
      <c r="F621" s="41">
        <f t="shared" si="125"/>
        <v>1.078564603993923</v>
      </c>
      <c r="G621" s="44">
        <f>'[18]2. BM Database'!P460/1000</f>
        <v>659.56399999999996</v>
      </c>
      <c r="H621" s="16">
        <f t="shared" si="127"/>
        <v>719.375</v>
      </c>
      <c r="I621" s="18">
        <f>'[18]2. BM Database'!L460</f>
        <v>143797</v>
      </c>
      <c r="J621" s="18">
        <f>'[18]2. BM Database'!R460</f>
        <v>2781</v>
      </c>
      <c r="K621" s="18">
        <f t="shared" si="126"/>
        <v>1411.9999999999998</v>
      </c>
      <c r="L621" s="19">
        <f>'[18]2. BM Database'!T460</f>
        <v>0.50773103200287661</v>
      </c>
      <c r="M621" s="9"/>
      <c r="N621" s="9"/>
    </row>
    <row r="622" spans="1:14">
      <c r="A622" s="15" t="str">
        <f>'[18]2. BM Database'!B461</f>
        <v>LONDON HYDRO INC.</v>
      </c>
      <c r="B622" s="15">
        <v>3007</v>
      </c>
      <c r="C622" s="43">
        <f>'[18]2. BM Database'!C461</f>
        <v>2009</v>
      </c>
      <c r="D622" s="15">
        <v>3</v>
      </c>
      <c r="E622" s="17">
        <f>'[18]2. BM Database'!F461/1000</f>
        <v>26547.183299999997</v>
      </c>
      <c r="F622" s="41">
        <f t="shared" si="125"/>
        <v>1.0915070880241431</v>
      </c>
      <c r="G622" s="44">
        <f>'[18]2. BM Database'!P461/1000</f>
        <v>662.41800000000001</v>
      </c>
      <c r="H622" s="16">
        <f t="shared" si="127"/>
        <v>719.375</v>
      </c>
      <c r="I622" s="18">
        <f>'[18]2. BM Database'!L461</f>
        <v>145298</v>
      </c>
      <c r="J622" s="18">
        <f>'[18]2. BM Database'!R461</f>
        <v>2705</v>
      </c>
      <c r="K622" s="18">
        <f t="shared" si="126"/>
        <v>1382</v>
      </c>
      <c r="L622" s="19">
        <f>'[18]2. BM Database'!T461</f>
        <v>0.51090573012939</v>
      </c>
      <c r="M622" s="9"/>
      <c r="N622" s="9"/>
    </row>
    <row r="623" spans="1:14">
      <c r="A623" s="15" t="str">
        <f>'[18]2. BM Database'!B462</f>
        <v>LONDON HYDRO INC.</v>
      </c>
      <c r="B623" s="15">
        <v>3007</v>
      </c>
      <c r="C623" s="43">
        <f>'[18]2. BM Database'!C462</f>
        <v>2010</v>
      </c>
      <c r="D623" s="15">
        <v>3</v>
      </c>
      <c r="E623" s="17">
        <f>'[18]2. BM Database'!F462/1000</f>
        <v>28760.403079999996</v>
      </c>
      <c r="F623" s="41">
        <f t="shared" si="125"/>
        <v>1.1243125351578573</v>
      </c>
      <c r="G623" s="44">
        <f>'[18]2. BM Database'!P462/1000</f>
        <v>687.625</v>
      </c>
      <c r="H623" s="16">
        <f t="shared" si="127"/>
        <v>719.375</v>
      </c>
      <c r="I623" s="18">
        <f>'[18]2. BM Database'!L462</f>
        <v>146974</v>
      </c>
      <c r="J623" s="18">
        <f>'[18]2. BM Database'!R462</f>
        <v>2774</v>
      </c>
      <c r="K623" s="18">
        <f t="shared" si="126"/>
        <v>1410</v>
      </c>
      <c r="L623" s="19">
        <f>'[18]2. BM Database'!T462</f>
        <v>0.50829127613554437</v>
      </c>
      <c r="M623" s="9"/>
      <c r="N623" s="9"/>
    </row>
    <row r="624" spans="1:14">
      <c r="A624" s="15" t="str">
        <f>'[18]2. BM Database'!B463</f>
        <v>LONDON HYDRO INC.</v>
      </c>
      <c r="B624" s="15">
        <v>3007</v>
      </c>
      <c r="C624" s="43">
        <f>'[18]2. BM Database'!C463</f>
        <v>2011</v>
      </c>
      <c r="D624" s="15">
        <v>3</v>
      </c>
      <c r="E624" s="17">
        <f>'[18]2. BM Database'!F463/1000</f>
        <v>30095.686240000003</v>
      </c>
      <c r="F624" s="41">
        <f t="shared" si="125"/>
        <v>1.1430978626415853</v>
      </c>
      <c r="G624" s="44">
        <f>'[18]2. BM Database'!P463/1000</f>
        <v>717.15499999999997</v>
      </c>
      <c r="H624" s="16">
        <f t="shared" si="127"/>
        <v>719.375</v>
      </c>
      <c r="I624" s="18">
        <f>'[18]2. BM Database'!L463</f>
        <v>148331</v>
      </c>
      <c r="J624" s="18">
        <f>'[18]2. BM Database'!R463</f>
        <v>2820</v>
      </c>
      <c r="K624" s="18">
        <f t="shared" si="126"/>
        <v>1457.0000000000002</v>
      </c>
      <c r="L624" s="19">
        <f>'[18]2. BM Database'!T463</f>
        <v>0.51666666666666672</v>
      </c>
      <c r="M624" s="9"/>
      <c r="N624" s="9"/>
    </row>
    <row r="625" spans="1:14">
      <c r="A625" s="15" t="str">
        <f>'[18]2. BM Database'!B464</f>
        <v>LONDON HYDRO INC.</v>
      </c>
      <c r="B625" s="15">
        <v>3007</v>
      </c>
      <c r="C625" s="43">
        <f>'[18]2. BM Database'!C464</f>
        <v>2012</v>
      </c>
      <c r="D625" s="15">
        <v>3</v>
      </c>
      <c r="E625" s="17">
        <f>'[18]2. BM Database'!F464/1000</f>
        <v>29512.195462994259</v>
      </c>
      <c r="F625" s="41">
        <f t="shared" si="125"/>
        <v>1.160126854517312</v>
      </c>
      <c r="G625" s="44">
        <f>'[18]2. BM Database'!P464/1000</f>
        <v>693.26800000000003</v>
      </c>
      <c r="H625" s="16">
        <f t="shared" si="127"/>
        <v>719.375</v>
      </c>
      <c r="I625" s="18">
        <f>'[18]2. BM Database'!L464</f>
        <v>149742</v>
      </c>
      <c r="J625" s="18">
        <f>'[18]2. BM Database'!R464</f>
        <v>2842</v>
      </c>
      <c r="K625" s="18">
        <f t="shared" si="126"/>
        <v>1480.0000000000002</v>
      </c>
      <c r="L625" s="19">
        <f>'[18]2. BM Database'!T464</f>
        <v>0.52076002814919076</v>
      </c>
      <c r="M625" s="9"/>
      <c r="N625" s="9"/>
    </row>
    <row r="626" spans="1:14" s="15" customFormat="1">
      <c r="A626" s="15" t="s">
        <v>62</v>
      </c>
      <c r="B626" s="15">
        <v>3007</v>
      </c>
      <c r="C626" s="43">
        <v>2013</v>
      </c>
      <c r="D626" s="15">
        <v>3</v>
      </c>
      <c r="E626" s="17">
        <f>HLOOKUP(A626,'[19]2013 Benchmarking Calculations'!$I$3:$CC$76,6,FALSE)/1000</f>
        <v>30754.942089999997</v>
      </c>
      <c r="F626" s="41">
        <f t="shared" si="125"/>
        <v>1.178602141578931</v>
      </c>
      <c r="G626" s="44">
        <f>HLOOKUP(A626,'[19]2013 Benchmarking Calculations'!$I$3:$CC$76,57,FALSE)/1000</f>
        <v>713.07299999999998</v>
      </c>
      <c r="H626" s="16">
        <f t="shared" si="127"/>
        <v>719.375</v>
      </c>
      <c r="I626" s="18">
        <f>HLOOKUP(A626,'[19]2013 Benchmarking Calculations'!$I$3:$CC$76,53,FALSE)</f>
        <v>150917</v>
      </c>
      <c r="J626" s="18">
        <f>HLOOKUP(A626,'[19]2013 Benchmarking Calculations'!$I$3:$CC$76,71,FALSE)</f>
        <v>2881</v>
      </c>
      <c r="K626" s="18">
        <f t="shared" si="126"/>
        <v>1507.0000000000002</v>
      </c>
      <c r="L626" s="19">
        <f>HLOOKUP(A626,'[19]2013 PBR data '!B$42:BV$68,15,FALSE)/HLOOKUP(A626,'[19]2013 PBR data '!B$42:BV$68,13,FALSE)</f>
        <v>0.52308226310308925</v>
      </c>
      <c r="M626" s="9"/>
      <c r="N626" s="9"/>
    </row>
    <row r="627" spans="1:14" s="15" customFormat="1">
      <c r="A627" s="15" t="s">
        <v>62</v>
      </c>
      <c r="B627" s="15">
        <v>3007</v>
      </c>
      <c r="C627" s="43">
        <v>2014</v>
      </c>
      <c r="D627" s="15">
        <v>3</v>
      </c>
      <c r="E627" s="17">
        <f>VLOOKUP(A627,[20]Result!$B$12:$D$84,2,FALSE)/10^3</f>
        <v>31012.257000000001</v>
      </c>
      <c r="F627" s="41">
        <f t="shared" si="125"/>
        <v>1.2030671041042156</v>
      </c>
      <c r="G627" s="44">
        <f>VLOOKUP(A627,'[21]General transpose'!$A$1:$AF$73,26,FALSE)/10^3</f>
        <v>646.07500000000005</v>
      </c>
      <c r="H627" s="16">
        <f t="shared" si="127"/>
        <v>719.375</v>
      </c>
      <c r="I627" s="18">
        <f>VLOOKUP(A627,'[21]General transpose'!$A$1:$AF$73,8,FALSE)</f>
        <v>152544</v>
      </c>
      <c r="J627" s="18">
        <f>VLOOKUP(A627,'[21]General transpose'!$A$1:$AF$73,16,FALSE)</f>
        <v>2916</v>
      </c>
      <c r="K627" s="18">
        <f t="shared" si="126"/>
        <v>1537</v>
      </c>
      <c r="L627" s="19">
        <f>VLOOKUP(A627,'[21]General transpose'!$A$1:$AF$73,17,FALSE)</f>
        <v>0.52709190672153639</v>
      </c>
      <c r="M627" s="9"/>
      <c r="N627" s="9"/>
    </row>
    <row r="628" spans="1:14" s="15" customFormat="1">
      <c r="A628" s="15" t="s">
        <v>62</v>
      </c>
      <c r="B628" s="15">
        <v>3007</v>
      </c>
      <c r="C628" s="43">
        <v>2015</v>
      </c>
      <c r="D628" s="15">
        <v>3</v>
      </c>
      <c r="E628" s="17">
        <f>VLOOKUP(A627,[20]Result!$B$12:$D$84,3,FALSE)/10^3</f>
        <v>33285.766000000003</v>
      </c>
      <c r="F628" s="41">
        <f t="shared" si="125"/>
        <v>1.2312762402864634</v>
      </c>
      <c r="G628" s="44">
        <f>VLOOKUP(A627,'[22]General transpose'!$A$1:$AF$73,26,FALSE)/10^3</f>
        <v>638.01700000000005</v>
      </c>
      <c r="H628" s="16">
        <f t="shared" si="127"/>
        <v>719.375</v>
      </c>
      <c r="I628" s="18">
        <f>VLOOKUP(A627,'[22]General transpose'!$A$1:$AF$73,8,FALSE)</f>
        <v>153947</v>
      </c>
      <c r="J628" s="18">
        <f>VLOOKUP(A627,'[22]General transpose'!$A$1:$AF$73,16,FALSE)</f>
        <v>2866</v>
      </c>
      <c r="K628" s="18">
        <f t="shared" si="126"/>
        <v>1498.9999999999998</v>
      </c>
      <c r="L628" s="19">
        <f>VLOOKUP(A627,'[22]General transpose'!$A$1:$AF$73,17,FALSE)</f>
        <v>0.52302861130495459</v>
      </c>
      <c r="M628" s="9"/>
      <c r="N628" s="9"/>
    </row>
    <row r="629" spans="1:14" s="15" customFormat="1">
      <c r="A629" s="15" t="s">
        <v>62</v>
      </c>
      <c r="B629" s="15">
        <v>3007</v>
      </c>
      <c r="C629" s="43">
        <v>2016</v>
      </c>
      <c r="D629" s="15">
        <v>3</v>
      </c>
      <c r="E629" s="17">
        <f>'[14]2016 Benchmarking Calculations'!$AV$8/1000</f>
        <v>34906.074070000002</v>
      </c>
      <c r="F629" s="41">
        <f t="shared" si="125"/>
        <v>1.2455044937824149</v>
      </c>
      <c r="G629" s="44">
        <f>HLOOKUP(A629,[23]General!$A$1:$BQ$23,22,FALSE)/10^3</f>
        <v>683.79</v>
      </c>
      <c r="H629" s="16">
        <f t="shared" si="127"/>
        <v>719.375</v>
      </c>
      <c r="I629" s="18">
        <f>HLOOKUP(A629,[23]General!$A$1:$BQ$23,9,FALSE)</f>
        <v>155496</v>
      </c>
      <c r="J629" s="18">
        <f>HLOOKUP(A629,[23]General!$A$1:$BQ$23,17,FALSE)</f>
        <v>2864</v>
      </c>
      <c r="K629" s="18">
        <f t="shared" si="126"/>
        <v>1492</v>
      </c>
      <c r="L629" s="19">
        <f>HLOOKUP(A629,[23]General!$A$1:$BQ$23,18,FALSE)</f>
        <v>0.52094972067039103</v>
      </c>
      <c r="M629" s="9"/>
      <c r="N629" s="9"/>
    </row>
    <row r="630" spans="1:14" s="15" customFormat="1">
      <c r="A630" s="15" t="s">
        <v>62</v>
      </c>
      <c r="B630" s="15">
        <v>3007</v>
      </c>
      <c r="C630" s="43">
        <v>2017</v>
      </c>
      <c r="D630" s="15">
        <v>3</v>
      </c>
      <c r="E630" s="17">
        <f>'[14]2017 Benchmarking Calculations'!$AX$9/1000</f>
        <v>35729.769309999996</v>
      </c>
      <c r="F630" s="41">
        <f t="shared" si="125"/>
        <v>1.2674505553724562</v>
      </c>
      <c r="G630" s="44">
        <f>[15]General!$AK$20/1000</f>
        <v>633.60400000000004</v>
      </c>
      <c r="H630" s="16">
        <f t="shared" si="127"/>
        <v>719.375</v>
      </c>
      <c r="I630" s="18">
        <f>[15]General!$AK$9</f>
        <v>157188</v>
      </c>
      <c r="J630" s="18">
        <f>[15]General!$AK$17</f>
        <v>2884</v>
      </c>
      <c r="K630" s="18">
        <f>J630*L630</f>
        <v>1518</v>
      </c>
      <c r="L630" s="19">
        <f>[15]General!$AK$16/[15]General!$AK$17</f>
        <v>0.52635228848821081</v>
      </c>
      <c r="M630" s="9"/>
      <c r="N630" s="9"/>
    </row>
    <row r="631" spans="1:14" s="15" customFormat="1">
      <c r="A631" s="15" t="s">
        <v>62</v>
      </c>
      <c r="B631" s="15">
        <v>3007</v>
      </c>
      <c r="C631" s="43">
        <v>2018</v>
      </c>
      <c r="D631" s="15">
        <v>3</v>
      </c>
      <c r="E631" s="17">
        <f>'[16]2018 Benchmarking Calculations'!$AX$10/1000</f>
        <v>37400.593800000002</v>
      </c>
      <c r="F631" s="41">
        <f t="shared" si="125"/>
        <v>1.2994718602728874</v>
      </c>
      <c r="G631" s="44">
        <f>'[16]2018 Benchmarking Calculations'!$AX$61/1000</f>
        <v>689.99300000000005</v>
      </c>
      <c r="H631" s="16">
        <f t="shared" si="127"/>
        <v>719.375</v>
      </c>
      <c r="I631" s="18">
        <f>'[16]2018 Benchmarking Calculations'!$AX$57</f>
        <v>159039</v>
      </c>
      <c r="J631" s="18">
        <f>'[16]2018 Utility Characteristics'!$AR$103</f>
        <v>3034</v>
      </c>
      <c r="K631" s="18">
        <f>'[16]2018 Utility Characteristics'!$AR$105</f>
        <v>1651</v>
      </c>
      <c r="L631" s="19">
        <f>K631/J631</f>
        <v>0.54416611733684905</v>
      </c>
      <c r="M631" s="9"/>
      <c r="N631" s="9"/>
    </row>
    <row r="632" spans="1:14" s="15" customFormat="1">
      <c r="A632" s="15" t="s">
        <v>62</v>
      </c>
      <c r="B632" s="15">
        <v>3007</v>
      </c>
      <c r="C632" s="43">
        <v>2018</v>
      </c>
      <c r="D632" s="15">
        <v>3</v>
      </c>
      <c r="E632" s="17">
        <f>'[17]2019 Benchmarking Calculations'!$AX$10/1000</f>
        <v>37864.464180000003</v>
      </c>
      <c r="F632" s="41">
        <f t="shared" si="125"/>
        <v>1.3352608354138498</v>
      </c>
      <c r="G632" s="44">
        <f>'[17]2019 Benchmarking Calculations'!$AX$61/1000</f>
        <v>647.50599999999997</v>
      </c>
      <c r="H632" s="16">
        <f t="shared" si="127"/>
        <v>719.375</v>
      </c>
      <c r="I632" s="18">
        <f>'[17]2019 Benchmarking Calculations'!$AX$57</f>
        <v>160598</v>
      </c>
      <c r="J632" s="18">
        <f>'[17]2019 Utility Characteristics'!$AR$13</f>
        <v>3060</v>
      </c>
      <c r="K632" s="18">
        <f>'[17]2019 Utility Characteristics'!$AR$18</f>
        <v>1667</v>
      </c>
      <c r="L632" s="19">
        <f>K632/J632</f>
        <v>0.54477124183006531</v>
      </c>
      <c r="M632" s="9"/>
      <c r="N632" s="9"/>
    </row>
    <row r="633" spans="1:14">
      <c r="A633" s="15" t="str">
        <f>'[18]2. BM Database'!B468</f>
        <v>MIDLAND POWER UTILITY CORPORATION</v>
      </c>
      <c r="B633" s="15">
        <v>3055</v>
      </c>
      <c r="C633" s="43">
        <f>'[18]2. BM Database'!C468</f>
        <v>2005</v>
      </c>
      <c r="D633" s="15">
        <v>3</v>
      </c>
      <c r="E633" s="17">
        <f>'[18]2. BM Database'!F468/1000</f>
        <v>1520.85079</v>
      </c>
      <c r="F633" s="41">
        <f t="shared" ref="F633:F645" si="128">F618</f>
        <v>1</v>
      </c>
      <c r="G633" s="44">
        <f>'[18]2. BM Database'!P468/1000</f>
        <v>39.722000000000001</v>
      </c>
      <c r="H633" s="16">
        <f>G633</f>
        <v>39.722000000000001</v>
      </c>
      <c r="I633" s="18">
        <f>'[18]2. BM Database'!L468</f>
        <v>6516</v>
      </c>
      <c r="J633" s="18">
        <f>'[18]2. BM Database'!R468</f>
        <v>115</v>
      </c>
      <c r="K633" s="18">
        <f t="shared" ref="K633:K644" si="129">J633*L633</f>
        <v>36</v>
      </c>
      <c r="L633" s="19">
        <f>'[18]2. BM Database'!T468</f>
        <v>0.31304347826086959</v>
      </c>
      <c r="M633" s="9"/>
      <c r="N633" s="9"/>
    </row>
    <row r="634" spans="1:14">
      <c r="A634" s="15" t="str">
        <f>'[18]2. BM Database'!B469</f>
        <v>MIDLAND POWER UTILITY CORPORATION</v>
      </c>
      <c r="B634" s="15">
        <v>3055</v>
      </c>
      <c r="C634" s="43">
        <f>'[18]2. BM Database'!C469</f>
        <v>2006</v>
      </c>
      <c r="D634" s="15">
        <v>3</v>
      </c>
      <c r="E634" s="17">
        <f>'[18]2. BM Database'!F469/1000</f>
        <v>1711.07501</v>
      </c>
      <c r="F634" s="41">
        <f t="shared" si="128"/>
        <v>1.0181607380073696</v>
      </c>
      <c r="G634" s="44">
        <f>'[18]2. BM Database'!P469/1000</f>
        <v>39.188000000000002</v>
      </c>
      <c r="H634" s="16">
        <f>MAX(G634,H633)</f>
        <v>39.722000000000001</v>
      </c>
      <c r="I634" s="18">
        <f>'[18]2. BM Database'!L469</f>
        <v>6634</v>
      </c>
      <c r="J634" s="18">
        <f>'[18]2. BM Database'!R469</f>
        <v>115</v>
      </c>
      <c r="K634" s="18">
        <f t="shared" si="129"/>
        <v>36</v>
      </c>
      <c r="L634" s="19">
        <f>'[18]2. BM Database'!T469</f>
        <v>0.31304347826086959</v>
      </c>
      <c r="M634" s="9"/>
      <c r="N634" s="9"/>
    </row>
    <row r="635" spans="1:14">
      <c r="A635" s="15" t="str">
        <f>'[18]2. BM Database'!B470</f>
        <v>MIDLAND POWER UTILITY CORPORATION</v>
      </c>
      <c r="B635" s="15">
        <v>3055</v>
      </c>
      <c r="C635" s="43">
        <f>'[18]2. BM Database'!C470</f>
        <v>2007</v>
      </c>
      <c r="D635" s="15">
        <v>3</v>
      </c>
      <c r="E635" s="17">
        <f>'[18]2. BM Database'!F470/1000</f>
        <v>1669.4551899999999</v>
      </c>
      <c r="F635" s="41">
        <f t="shared" si="128"/>
        <v>1.0531931014872313</v>
      </c>
      <c r="G635" s="44">
        <f>'[18]2. BM Database'!P470/1000</f>
        <v>40.128</v>
      </c>
      <c r="H635" s="16">
        <f t="shared" ref="H635:H645" si="130">MAX(G635,H634)</f>
        <v>40.128</v>
      </c>
      <c r="I635" s="18">
        <f>'[18]2. BM Database'!L470</f>
        <v>6709</v>
      </c>
      <c r="J635" s="18">
        <f>'[18]2. BM Database'!R470</f>
        <v>115</v>
      </c>
      <c r="K635" s="18">
        <f t="shared" si="129"/>
        <v>36</v>
      </c>
      <c r="L635" s="19">
        <f>'[18]2. BM Database'!T470</f>
        <v>0.31304347826086959</v>
      </c>
      <c r="M635" s="9"/>
      <c r="N635" s="9"/>
    </row>
    <row r="636" spans="1:14">
      <c r="A636" s="15" t="str">
        <f>'[18]2. BM Database'!B471</f>
        <v>MIDLAND POWER UTILITY CORPORATION</v>
      </c>
      <c r="B636" s="15">
        <v>3055</v>
      </c>
      <c r="C636" s="43">
        <f>'[18]2. BM Database'!C471</f>
        <v>2008</v>
      </c>
      <c r="D636" s="15">
        <v>3</v>
      </c>
      <c r="E636" s="17">
        <f>'[18]2. BM Database'!F471/1000</f>
        <v>1776.80197</v>
      </c>
      <c r="F636" s="41">
        <f t="shared" si="128"/>
        <v>1.078564603993923</v>
      </c>
      <c r="G636" s="44">
        <f>'[18]2. BM Database'!P471/1000</f>
        <v>38.488</v>
      </c>
      <c r="H636" s="16">
        <f t="shared" si="130"/>
        <v>40.128</v>
      </c>
      <c r="I636" s="18">
        <f>'[18]2. BM Database'!L471</f>
        <v>6773</v>
      </c>
      <c r="J636" s="18">
        <f>'[18]2. BM Database'!R471</f>
        <v>115</v>
      </c>
      <c r="K636" s="18">
        <f t="shared" si="129"/>
        <v>36</v>
      </c>
      <c r="L636" s="19">
        <f>'[18]2. BM Database'!T471</f>
        <v>0.31304347826086959</v>
      </c>
      <c r="M636" s="9"/>
      <c r="N636" s="9"/>
    </row>
    <row r="637" spans="1:14">
      <c r="A637" s="15" t="str">
        <f>'[18]2. BM Database'!B472</f>
        <v>MIDLAND POWER UTILITY CORPORATION</v>
      </c>
      <c r="B637" s="15">
        <v>3055</v>
      </c>
      <c r="C637" s="43">
        <f>'[18]2. BM Database'!C472</f>
        <v>2009</v>
      </c>
      <c r="D637" s="15">
        <v>3</v>
      </c>
      <c r="E637" s="17">
        <f>'[18]2. BM Database'!F472/1000</f>
        <v>1733.0893500000002</v>
      </c>
      <c r="F637" s="41">
        <f t="shared" si="128"/>
        <v>1.0915070880241431</v>
      </c>
      <c r="G637" s="44">
        <f>'[18]2. BM Database'!P472/1000</f>
        <v>37.116</v>
      </c>
      <c r="H637" s="16">
        <f t="shared" si="130"/>
        <v>40.128</v>
      </c>
      <c r="I637" s="18">
        <f>'[18]2. BM Database'!L472</f>
        <v>6893</v>
      </c>
      <c r="J637" s="18">
        <f>'[18]2. BM Database'!R472</f>
        <v>115</v>
      </c>
      <c r="K637" s="18">
        <f t="shared" si="129"/>
        <v>36</v>
      </c>
      <c r="L637" s="19">
        <f>'[18]2. BM Database'!T472</f>
        <v>0.31304347826086959</v>
      </c>
      <c r="M637" s="9"/>
      <c r="N637" s="9"/>
    </row>
    <row r="638" spans="1:14">
      <c r="A638" s="15" t="str">
        <f>'[18]2. BM Database'!B473</f>
        <v>MIDLAND POWER UTILITY CORPORATION</v>
      </c>
      <c r="B638" s="15">
        <v>3055</v>
      </c>
      <c r="C638" s="43">
        <f>'[18]2. BM Database'!C473</f>
        <v>2010</v>
      </c>
      <c r="D638" s="15">
        <v>3</v>
      </c>
      <c r="E638" s="17">
        <f>'[18]2. BM Database'!F473/1000</f>
        <v>1800.5905700000001</v>
      </c>
      <c r="F638" s="41">
        <f t="shared" si="128"/>
        <v>1.1243125351578573</v>
      </c>
      <c r="G638" s="44">
        <f>'[18]2. BM Database'!P473/1000</f>
        <v>40.302</v>
      </c>
      <c r="H638" s="16">
        <f t="shared" si="130"/>
        <v>40.302</v>
      </c>
      <c r="I638" s="18">
        <f>'[18]2. BM Database'!L473</f>
        <v>6914</v>
      </c>
      <c r="J638" s="18">
        <f>'[18]2. BM Database'!R473</f>
        <v>149</v>
      </c>
      <c r="K638" s="18">
        <f t="shared" si="129"/>
        <v>38</v>
      </c>
      <c r="L638" s="19">
        <f>'[18]2. BM Database'!T473</f>
        <v>0.25503355704697989</v>
      </c>
      <c r="M638" s="9"/>
      <c r="N638" s="9"/>
    </row>
    <row r="639" spans="1:14">
      <c r="A639" s="15" t="str">
        <f>'[18]2. BM Database'!B474</f>
        <v>MIDLAND POWER UTILITY CORPORATION</v>
      </c>
      <c r="B639" s="15">
        <v>3055</v>
      </c>
      <c r="C639" s="43">
        <f>'[18]2. BM Database'!C474</f>
        <v>2011</v>
      </c>
      <c r="D639" s="15">
        <v>3</v>
      </c>
      <c r="E639" s="17">
        <f>'[18]2. BM Database'!F474/1000</f>
        <v>1928.2849900000003</v>
      </c>
      <c r="F639" s="41">
        <f t="shared" si="128"/>
        <v>1.1430978626415853</v>
      </c>
      <c r="G639" s="44">
        <f>'[18]2. BM Database'!P474/1000</f>
        <v>37.872999999999998</v>
      </c>
      <c r="H639" s="16">
        <f t="shared" si="130"/>
        <v>40.302</v>
      </c>
      <c r="I639" s="18">
        <f>'[18]2. BM Database'!L474</f>
        <v>6951</v>
      </c>
      <c r="J639" s="18">
        <f>'[18]2. BM Database'!R474</f>
        <v>265</v>
      </c>
      <c r="K639" s="18">
        <f t="shared" si="129"/>
        <v>67</v>
      </c>
      <c r="L639" s="19">
        <f>'[18]2. BM Database'!T474</f>
        <v>0.25283018867924528</v>
      </c>
      <c r="M639" s="9"/>
      <c r="N639" s="9"/>
    </row>
    <row r="640" spans="1:14">
      <c r="A640" s="15" t="str">
        <f>'[18]2. BM Database'!B475</f>
        <v>MIDLAND POWER UTILITY CORPORATION</v>
      </c>
      <c r="B640" s="15">
        <v>3055</v>
      </c>
      <c r="C640" s="43">
        <f>'[18]2. BM Database'!C475</f>
        <v>2012</v>
      </c>
      <c r="D640" s="15">
        <v>3</v>
      </c>
      <c r="E640" s="17">
        <f>'[18]2. BM Database'!F475/1000</f>
        <v>2282.4989338999999</v>
      </c>
      <c r="F640" s="41">
        <f t="shared" si="128"/>
        <v>1.160126854517312</v>
      </c>
      <c r="G640" s="44">
        <f>'[18]2. BM Database'!P475/1000</f>
        <v>38.53</v>
      </c>
      <c r="H640" s="16">
        <f t="shared" si="130"/>
        <v>40.302</v>
      </c>
      <c r="I640" s="18">
        <f>'[18]2. BM Database'!L475</f>
        <v>6975</v>
      </c>
      <c r="J640" s="18">
        <f>'[18]2. BM Database'!R475</f>
        <v>132</v>
      </c>
      <c r="K640" s="18">
        <f t="shared" si="129"/>
        <v>49</v>
      </c>
      <c r="L640" s="19">
        <f>'[18]2. BM Database'!T475</f>
        <v>0.37121212121212122</v>
      </c>
      <c r="M640" s="9"/>
      <c r="N640" s="9"/>
    </row>
    <row r="641" spans="1:14" s="15" customFormat="1">
      <c r="A641" s="15" t="s">
        <v>63</v>
      </c>
      <c r="B641" s="15">
        <v>3055</v>
      </c>
      <c r="C641" s="43">
        <v>2013</v>
      </c>
      <c r="D641" s="15">
        <v>3</v>
      </c>
      <c r="E641" s="17">
        <f>HLOOKUP(A641,'[19]2013 Benchmarking Calculations'!$I$3:$CC$76,6,FALSE)/1000</f>
        <v>2235.31194</v>
      </c>
      <c r="F641" s="41">
        <f t="shared" si="128"/>
        <v>1.178602141578931</v>
      </c>
      <c r="G641" s="44">
        <f>HLOOKUP(A641,'[19]2013 Benchmarking Calculations'!$I$3:$CC$76,57,FALSE)/1000</f>
        <v>36.226999999999997</v>
      </c>
      <c r="H641" s="16">
        <f t="shared" si="130"/>
        <v>40.302</v>
      </c>
      <c r="I641" s="18">
        <f>HLOOKUP(A641,'[19]2013 Benchmarking Calculations'!$I$3:$CC$76,53,FALSE)</f>
        <v>7013</v>
      </c>
      <c r="J641" s="18">
        <f>HLOOKUP(A641,'[19]2013 Benchmarking Calculations'!$I$3:$CC$76,71,FALSE)</f>
        <v>135</v>
      </c>
      <c r="K641" s="18">
        <f t="shared" si="129"/>
        <v>52</v>
      </c>
      <c r="L641" s="19">
        <f>HLOOKUP(A641,'[19]2013 PBR data '!B$42:BV$68,15,FALSE)/HLOOKUP(A641,'[19]2013 PBR data '!B$42:BV$68,13,FALSE)</f>
        <v>0.38518518518518519</v>
      </c>
      <c r="M641" s="9"/>
      <c r="N641" s="9"/>
    </row>
    <row r="642" spans="1:14" s="15" customFormat="1">
      <c r="A642" s="15" t="s">
        <v>63</v>
      </c>
      <c r="B642" s="15">
        <v>3055</v>
      </c>
      <c r="C642" s="43">
        <v>2014</v>
      </c>
      <c r="D642" s="15">
        <v>3</v>
      </c>
      <c r="E642" s="17">
        <f>VLOOKUP(A642,[20]Result!$B$12:$D$84,2,FALSE)/10^3</f>
        <v>2328.114</v>
      </c>
      <c r="F642" s="41">
        <f t="shared" si="128"/>
        <v>1.2030671041042156</v>
      </c>
      <c r="G642" s="44">
        <f>VLOOKUP(A642,'[21]General transpose'!$A$1:$AF$73,26,FALSE)/10^3</f>
        <v>34.241</v>
      </c>
      <c r="H642" s="16">
        <f t="shared" si="130"/>
        <v>40.302</v>
      </c>
      <c r="I642" s="18">
        <f>VLOOKUP(A642,'[21]General transpose'!$A$1:$AF$73,8,FALSE)</f>
        <v>7035</v>
      </c>
      <c r="J642" s="18">
        <f>VLOOKUP(A642,'[21]General transpose'!$A$1:$AF$73,16,FALSE)</f>
        <v>129</v>
      </c>
      <c r="K642" s="18">
        <f t="shared" si="129"/>
        <v>45</v>
      </c>
      <c r="L642" s="19">
        <f>VLOOKUP(A642,'[21]General transpose'!$A$1:$AF$73,17,FALSE)</f>
        <v>0.34883720930232559</v>
      </c>
      <c r="M642" s="9"/>
      <c r="N642" s="9"/>
    </row>
    <row r="643" spans="1:14" s="15" customFormat="1">
      <c r="A643" s="15" t="s">
        <v>63</v>
      </c>
      <c r="B643" s="15">
        <v>3055</v>
      </c>
      <c r="C643" s="43">
        <v>2015</v>
      </c>
      <c r="D643" s="15">
        <v>3</v>
      </c>
      <c r="E643" s="17">
        <f>VLOOKUP(A642,[20]Result!$B$12:$D$84,3,FALSE)/10^3</f>
        <v>2390.7220000000002</v>
      </c>
      <c r="F643" s="41">
        <f t="shared" si="128"/>
        <v>1.2312762402864634</v>
      </c>
      <c r="G643" s="44">
        <f>VLOOKUP(A642,'[22]General transpose'!$A$1:$AF$73,26,FALSE)/10^3</f>
        <v>34.137999999999998</v>
      </c>
      <c r="H643" s="16">
        <f t="shared" si="130"/>
        <v>40.302</v>
      </c>
      <c r="I643" s="18">
        <f>VLOOKUP(A642,'[22]General transpose'!$A$1:$AF$73,8,FALSE)</f>
        <v>7096</v>
      </c>
      <c r="J643" s="18">
        <f>VLOOKUP(A642,'[22]General transpose'!$A$1:$AF$73,16,FALSE)</f>
        <v>129</v>
      </c>
      <c r="K643" s="18">
        <f t="shared" si="129"/>
        <v>45</v>
      </c>
      <c r="L643" s="19">
        <f>VLOOKUP(A642,'[22]General transpose'!$A$1:$AF$73,17,FALSE)</f>
        <v>0.34883720930232559</v>
      </c>
      <c r="M643" s="9"/>
      <c r="N643" s="9"/>
    </row>
    <row r="644" spans="1:14" s="15" customFormat="1">
      <c r="A644" s="15" t="s">
        <v>63</v>
      </c>
      <c r="B644" s="15">
        <v>3055</v>
      </c>
      <c r="C644" s="43">
        <v>2016</v>
      </c>
      <c r="D644" s="15">
        <v>3</v>
      </c>
      <c r="E644" s="17">
        <f>'[14]2016 Benchmarking Calculations'!$AW$8/1000</f>
        <v>2508.9910500000001</v>
      </c>
      <c r="F644" s="41">
        <f t="shared" si="128"/>
        <v>1.2455044937824149</v>
      </c>
      <c r="G644" s="44">
        <f>HLOOKUP(A644,[23]General!$A$1:$BQ$23,22,FALSE)/10^3</f>
        <v>35.418999999999997</v>
      </c>
      <c r="H644" s="16">
        <f t="shared" si="130"/>
        <v>40.302</v>
      </c>
      <c r="I644" s="18">
        <f>HLOOKUP(A644,[23]General!$A$1:$BQ$23,9,FALSE)</f>
        <v>7231</v>
      </c>
      <c r="J644" s="18">
        <f>HLOOKUP(A644,[23]General!$A$1:$BQ$23,17,FALSE)</f>
        <v>134</v>
      </c>
      <c r="K644" s="18">
        <f t="shared" si="129"/>
        <v>48</v>
      </c>
      <c r="L644" s="19">
        <f>HLOOKUP(A644,[23]General!$A$1:$BQ$23,18,FALSE)</f>
        <v>0.35820895522388058</v>
      </c>
      <c r="M644" s="9"/>
      <c r="N644" s="9"/>
    </row>
    <row r="645" spans="1:14" s="15" customFormat="1">
      <c r="A645" s="15" t="s">
        <v>63</v>
      </c>
      <c r="B645" s="15">
        <v>3055</v>
      </c>
      <c r="C645" s="43">
        <v>2017</v>
      </c>
      <c r="D645" s="15">
        <v>3</v>
      </c>
      <c r="E645" s="17">
        <f>'[14]2017 Benchmarking Calculations'!$AY$9/1000</f>
        <v>2588.7867700000006</v>
      </c>
      <c r="F645" s="41">
        <f t="shared" si="128"/>
        <v>1.2674505553724562</v>
      </c>
      <c r="G645" s="44">
        <f>'[14]2017 Benchmarking Calculations'!$AY$60/1000</f>
        <v>33.691000000000003</v>
      </c>
      <c r="H645" s="16">
        <f t="shared" si="130"/>
        <v>40.302</v>
      </c>
      <c r="I645" s="18">
        <f>'[14]2017 Benchmarking Calculations'!$AY$56</f>
        <v>7267</v>
      </c>
      <c r="J645" s="18">
        <f>'[14]2017 Utility Characteristics'!$AP$79</f>
        <v>130</v>
      </c>
      <c r="K645" s="15">
        <f>'[14]2017 Utility Characteristics'!$AP$81</f>
        <v>46</v>
      </c>
      <c r="L645" s="19">
        <f>K645/J645</f>
        <v>0.35384615384615387</v>
      </c>
      <c r="M645" s="9"/>
      <c r="N645" s="9"/>
    </row>
    <row r="646" spans="1:14" s="15" customFormat="1">
      <c r="A646" s="15" t="s">
        <v>63</v>
      </c>
      <c r="B646" s="15">
        <v>3055</v>
      </c>
      <c r="C646" s="43">
        <v>2018</v>
      </c>
      <c r="D646" s="15">
        <v>3</v>
      </c>
      <c r="E646" s="17"/>
      <c r="F646" s="41">
        <f>F631</f>
        <v>1.2994718602728874</v>
      </c>
      <c r="G646" s="44"/>
      <c r="H646" s="16"/>
      <c r="I646" s="18"/>
      <c r="J646" s="18"/>
      <c r="L646" s="19"/>
      <c r="M646" s="9"/>
      <c r="N646" s="9"/>
    </row>
    <row r="647" spans="1:14" s="15" customFormat="1">
      <c r="A647" s="15" t="s">
        <v>63</v>
      </c>
      <c r="B647" s="15">
        <v>3055</v>
      </c>
      <c r="C647" s="43">
        <v>2019</v>
      </c>
      <c r="D647" s="15">
        <v>3</v>
      </c>
      <c r="E647" s="17"/>
      <c r="F647" s="41">
        <f>F632</f>
        <v>1.3352608354138498</v>
      </c>
      <c r="G647" s="44"/>
      <c r="H647" s="16"/>
      <c r="I647" s="18"/>
      <c r="J647" s="18"/>
      <c r="L647" s="19"/>
      <c r="M647" s="9"/>
      <c r="N647" s="9"/>
    </row>
    <row r="648" spans="1:14">
      <c r="A648" s="15" t="str">
        <f>'[18]2. BM Database'!B479</f>
        <v>MILTON HYDRO DISTRIBUTION INC.</v>
      </c>
      <c r="B648" s="15">
        <v>3028</v>
      </c>
      <c r="C648" s="43">
        <f>'[18]2. BM Database'!C479</f>
        <v>2005</v>
      </c>
      <c r="D648" s="15">
        <v>3</v>
      </c>
      <c r="E648" s="17">
        <f>'[18]2. BM Database'!F479/1000</f>
        <v>3997.4092900000001</v>
      </c>
      <c r="F648" s="41">
        <f t="shared" ref="F648:F662" si="131">F633</f>
        <v>1</v>
      </c>
      <c r="G648" s="44">
        <f>'[18]2. BM Database'!P479/1000</f>
        <v>120.578</v>
      </c>
      <c r="H648" s="16">
        <f>G648</f>
        <v>120.578</v>
      </c>
      <c r="I648" s="18">
        <f>'[18]2. BM Database'!L479</f>
        <v>19858</v>
      </c>
      <c r="J648" s="18">
        <f>'[18]2. BM Database'!R479</f>
        <v>788</v>
      </c>
      <c r="K648" s="18">
        <f t="shared" ref="K648:K658" si="132">J648*L648</f>
        <v>241</v>
      </c>
      <c r="L648" s="19">
        <f>'[18]2. BM Database'!T479</f>
        <v>0.30583756345177665</v>
      </c>
      <c r="M648" s="9"/>
      <c r="N648" s="9"/>
    </row>
    <row r="649" spans="1:14">
      <c r="A649" s="15" t="str">
        <f>'[18]2. BM Database'!B480</f>
        <v>MILTON HYDRO DISTRIBUTION INC.</v>
      </c>
      <c r="B649" s="15">
        <v>3028</v>
      </c>
      <c r="C649" s="43">
        <f>'[18]2. BM Database'!C480</f>
        <v>2006</v>
      </c>
      <c r="D649" s="15">
        <v>3</v>
      </c>
      <c r="E649" s="17">
        <f>'[18]2. BM Database'!F480/1000</f>
        <v>4029.1800600000001</v>
      </c>
      <c r="F649" s="41">
        <f t="shared" si="131"/>
        <v>1.0181607380073696</v>
      </c>
      <c r="G649" s="44">
        <f>'[18]2. BM Database'!P480/1000</f>
        <v>126.855</v>
      </c>
      <c r="H649" s="16">
        <f>MAX(G649,H648)</f>
        <v>126.855</v>
      </c>
      <c r="I649" s="18">
        <f>'[18]2. BM Database'!L480</f>
        <v>20975</v>
      </c>
      <c r="J649" s="18">
        <f>'[18]2. BM Database'!R480</f>
        <v>792</v>
      </c>
      <c r="K649" s="18">
        <f t="shared" si="132"/>
        <v>261</v>
      </c>
      <c r="L649" s="19">
        <f>'[18]2. BM Database'!T480</f>
        <v>0.32954545454545453</v>
      </c>
      <c r="M649" s="9"/>
      <c r="N649" s="9"/>
    </row>
    <row r="650" spans="1:14">
      <c r="A650" s="15" t="str">
        <f>'[18]2. BM Database'!B481</f>
        <v>MILTON HYDRO DISTRIBUTION INC.</v>
      </c>
      <c r="B650" s="15">
        <v>3028</v>
      </c>
      <c r="C650" s="43">
        <f>'[18]2. BM Database'!C481</f>
        <v>2007</v>
      </c>
      <c r="D650" s="15">
        <v>3</v>
      </c>
      <c r="E650" s="17">
        <f>'[18]2. BM Database'!F481/1000</f>
        <v>4428.9872300000006</v>
      </c>
      <c r="F650" s="41">
        <f t="shared" si="131"/>
        <v>1.0531931014872313</v>
      </c>
      <c r="G650" s="44">
        <f>'[18]2. BM Database'!P481/1000</f>
        <v>130.375</v>
      </c>
      <c r="H650" s="16">
        <f t="shared" ref="H650:H662" si="133">MAX(G650,H649)</f>
        <v>130.375</v>
      </c>
      <c r="I650" s="18">
        <f>'[18]2. BM Database'!L481</f>
        <v>22811</v>
      </c>
      <c r="J650" s="18">
        <f>'[18]2. BM Database'!R481</f>
        <v>833</v>
      </c>
      <c r="K650" s="18">
        <f t="shared" si="132"/>
        <v>293</v>
      </c>
      <c r="L650" s="19">
        <f>'[18]2. BM Database'!T481</f>
        <v>0.3517406962785114</v>
      </c>
      <c r="M650" s="9"/>
      <c r="N650" s="9"/>
    </row>
    <row r="651" spans="1:14">
      <c r="A651" s="15" t="str">
        <f>'[18]2. BM Database'!B482</f>
        <v>MILTON HYDRO DISTRIBUTION INC.</v>
      </c>
      <c r="B651" s="15">
        <v>3028</v>
      </c>
      <c r="C651" s="43">
        <f>'[18]2. BM Database'!C482</f>
        <v>2008</v>
      </c>
      <c r="D651" s="15">
        <v>3</v>
      </c>
      <c r="E651" s="17">
        <f>'[18]2. BM Database'!F482/1000</f>
        <v>4971.4858500000009</v>
      </c>
      <c r="F651" s="41">
        <f t="shared" si="131"/>
        <v>1.078564603993923</v>
      </c>
      <c r="G651" s="44">
        <f>'[18]2. BM Database'!P482/1000</f>
        <v>125.846</v>
      </c>
      <c r="H651" s="16">
        <f>MAX(G651,H650)</f>
        <v>130.375</v>
      </c>
      <c r="I651" s="18">
        <f>'[18]2. BM Database'!L482</f>
        <v>25373</v>
      </c>
      <c r="J651" s="18">
        <f>'[18]2. BM Database'!R482</f>
        <v>866</v>
      </c>
      <c r="K651" s="18">
        <f t="shared" si="132"/>
        <v>320</v>
      </c>
      <c r="L651" s="19">
        <f>'[18]2. BM Database'!T482</f>
        <v>0.36951501154734412</v>
      </c>
      <c r="M651" s="9"/>
      <c r="N651" s="9"/>
    </row>
    <row r="652" spans="1:14">
      <c r="A652" s="15" t="str">
        <f>'[18]2. BM Database'!B483</f>
        <v>MILTON HYDRO DISTRIBUTION INC.</v>
      </c>
      <c r="B652" s="15">
        <v>3028</v>
      </c>
      <c r="C652" s="43">
        <f>'[18]2. BM Database'!C483</f>
        <v>2009</v>
      </c>
      <c r="D652" s="15">
        <v>3</v>
      </c>
      <c r="E652" s="17">
        <f>'[18]2. BM Database'!F483/1000</f>
        <v>5286.4349499999998</v>
      </c>
      <c r="F652" s="41">
        <f t="shared" si="131"/>
        <v>1.0915070880241431</v>
      </c>
      <c r="G652" s="44">
        <f>'[18]2. BM Database'!P483/1000</f>
        <v>134.672</v>
      </c>
      <c r="H652" s="16">
        <f t="shared" si="133"/>
        <v>134.672</v>
      </c>
      <c r="I652" s="18">
        <f>'[18]2. BM Database'!L483</f>
        <v>27323</v>
      </c>
      <c r="J652" s="18">
        <f>'[18]2. BM Database'!R483</f>
        <v>866</v>
      </c>
      <c r="K652" s="18">
        <f t="shared" si="132"/>
        <v>320</v>
      </c>
      <c r="L652" s="19">
        <f>'[18]2. BM Database'!T483</f>
        <v>0.36951501154734412</v>
      </c>
      <c r="M652" s="9"/>
      <c r="N652" s="9"/>
    </row>
    <row r="653" spans="1:14">
      <c r="A653" s="15" t="str">
        <f>'[18]2. BM Database'!B484</f>
        <v>MILTON HYDRO DISTRIBUTION INC.</v>
      </c>
      <c r="B653" s="15">
        <v>3028</v>
      </c>
      <c r="C653" s="43">
        <f>'[18]2. BM Database'!C484</f>
        <v>2010</v>
      </c>
      <c r="D653" s="15">
        <v>3</v>
      </c>
      <c r="E653" s="17">
        <f>'[18]2. BM Database'!F484/1000</f>
        <v>5445.1430944726535</v>
      </c>
      <c r="F653" s="41">
        <f t="shared" si="131"/>
        <v>1.1243125351578573</v>
      </c>
      <c r="G653" s="44">
        <f>'[18]2. BM Database'!P484/1000</f>
        <v>147.30699999999999</v>
      </c>
      <c r="H653" s="16">
        <f t="shared" si="133"/>
        <v>147.30699999999999</v>
      </c>
      <c r="I653" s="18">
        <f>'[18]2. BM Database'!L484</f>
        <v>29142</v>
      </c>
      <c r="J653" s="18">
        <f>'[18]2. BM Database'!R484</f>
        <v>938</v>
      </c>
      <c r="K653" s="18">
        <f t="shared" si="132"/>
        <v>362</v>
      </c>
      <c r="L653" s="19">
        <f>'[18]2. BM Database'!T484</f>
        <v>0.38592750533049042</v>
      </c>
      <c r="M653" s="9"/>
      <c r="N653" s="9"/>
    </row>
    <row r="654" spans="1:14">
      <c r="A654" s="15" t="str">
        <f>'[18]2. BM Database'!B485</f>
        <v>MILTON HYDRO DISTRIBUTION INC.</v>
      </c>
      <c r="B654" s="15">
        <v>3028</v>
      </c>
      <c r="C654" s="43">
        <f>'[18]2. BM Database'!C485</f>
        <v>2011</v>
      </c>
      <c r="D654" s="15">
        <v>3</v>
      </c>
      <c r="E654" s="17">
        <f>'[18]2. BM Database'!F485/1000</f>
        <v>6368.5330000000004</v>
      </c>
      <c r="F654" s="41">
        <f t="shared" si="131"/>
        <v>1.1430978626415853</v>
      </c>
      <c r="G654" s="44">
        <f>'[18]2. BM Database'!P485/1000</f>
        <v>161.63499999999999</v>
      </c>
      <c r="H654" s="16">
        <f t="shared" si="133"/>
        <v>161.63499999999999</v>
      </c>
      <c r="I654" s="18">
        <f>'[18]2. BM Database'!L485</f>
        <v>30485</v>
      </c>
      <c r="J654" s="18">
        <f>'[18]2. BM Database'!R485</f>
        <v>950</v>
      </c>
      <c r="K654" s="18">
        <f t="shared" si="132"/>
        <v>383</v>
      </c>
      <c r="L654" s="19">
        <f>'[18]2. BM Database'!T485</f>
        <v>0.4031578947368421</v>
      </c>
      <c r="M654" s="9"/>
      <c r="N654" s="9"/>
    </row>
    <row r="655" spans="1:14">
      <c r="A655" s="15" t="str">
        <f>'[18]2. BM Database'!B486</f>
        <v>MILTON HYDRO DISTRIBUTION INC.</v>
      </c>
      <c r="B655" s="15">
        <v>3028</v>
      </c>
      <c r="C655" s="43">
        <f>'[18]2. BM Database'!C486</f>
        <v>2012</v>
      </c>
      <c r="D655" s="15">
        <v>3</v>
      </c>
      <c r="E655" s="17">
        <f>'[18]2. BM Database'!F486/1000</f>
        <v>6718.6369999999997</v>
      </c>
      <c r="F655" s="41">
        <f t="shared" si="131"/>
        <v>1.160126854517312</v>
      </c>
      <c r="G655" s="44">
        <f>'[18]2. BM Database'!P486/1000</f>
        <v>166.57900000000001</v>
      </c>
      <c r="H655" s="16">
        <f t="shared" si="133"/>
        <v>166.57900000000001</v>
      </c>
      <c r="I655" s="18">
        <f>'[18]2. BM Database'!L486</f>
        <v>32324</v>
      </c>
      <c r="J655" s="18">
        <f>'[18]2. BM Database'!R486</f>
        <v>983</v>
      </c>
      <c r="K655" s="18">
        <f t="shared" si="132"/>
        <v>399</v>
      </c>
      <c r="L655" s="19">
        <f>'[18]2. BM Database'!T486</f>
        <v>0.40590030518819942</v>
      </c>
      <c r="M655" s="9"/>
      <c r="N655" s="9"/>
    </row>
    <row r="656" spans="1:14" s="15" customFormat="1">
      <c r="A656" s="15" t="s">
        <v>64</v>
      </c>
      <c r="B656" s="15">
        <v>3028</v>
      </c>
      <c r="C656" s="43">
        <v>2013</v>
      </c>
      <c r="D656" s="15">
        <v>3</v>
      </c>
      <c r="E656" s="17">
        <f>HLOOKUP(A656,'[19]2013 Benchmarking Calculations'!$I$3:$CC$76,6,FALSE)/1000</f>
        <v>8382.1659999999993</v>
      </c>
      <c r="F656" s="41">
        <f t="shared" si="131"/>
        <v>1.178602141578931</v>
      </c>
      <c r="G656" s="44">
        <f>HLOOKUP(A656,'[19]2013 Benchmarking Calculations'!$I$3:$CC$76,57,FALSE)/1000</f>
        <v>173.828</v>
      </c>
      <c r="H656" s="16">
        <f t="shared" si="133"/>
        <v>173.828</v>
      </c>
      <c r="I656" s="18">
        <f>HLOOKUP(A656,'[19]2013 Benchmarking Calculations'!$I$3:$CC$76,53,FALSE)</f>
        <v>34073</v>
      </c>
      <c r="J656" s="18">
        <f>HLOOKUP(A656,'[19]2013 Benchmarking Calculations'!$I$3:$CC$76,71,FALSE)</f>
        <v>994</v>
      </c>
      <c r="K656" s="18">
        <f t="shared" si="132"/>
        <v>412</v>
      </c>
      <c r="L656" s="19">
        <f>HLOOKUP(A656,'[19]2013 PBR data '!B$42:BV$68,15,FALSE)/HLOOKUP(A656,'[19]2013 PBR data '!B$42:BV$68,13,FALSE)</f>
        <v>0.41448692152917505</v>
      </c>
      <c r="M656" s="9"/>
      <c r="N656" s="9"/>
    </row>
    <row r="657" spans="1:14" s="15" customFormat="1">
      <c r="A657" s="15" t="s">
        <v>64</v>
      </c>
      <c r="B657" s="15">
        <v>3028</v>
      </c>
      <c r="C657" s="43">
        <v>2014</v>
      </c>
      <c r="D657" s="15">
        <v>3</v>
      </c>
      <c r="E657" s="17">
        <f>VLOOKUP(A657,[20]Result!$B$12:$D$84,2,FALSE)/10^3</f>
        <v>8489.86</v>
      </c>
      <c r="F657" s="41">
        <f t="shared" si="131"/>
        <v>1.2030671041042156</v>
      </c>
      <c r="G657" s="44">
        <f>VLOOKUP(A657,'[21]General transpose'!$A$1:$AF$73,26,FALSE)/10^3</f>
        <v>157.63399999999999</v>
      </c>
      <c r="H657" s="16">
        <f t="shared" si="133"/>
        <v>173.828</v>
      </c>
      <c r="I657" s="18">
        <f>VLOOKUP(A657,'[21]General transpose'!$A$1:$AF$73,8,FALSE)</f>
        <v>35111</v>
      </c>
      <c r="J657" s="18">
        <f>VLOOKUP(A657,'[21]General transpose'!$A$1:$AF$73,16,FALSE)</f>
        <v>1009</v>
      </c>
      <c r="K657" s="18">
        <f t="shared" si="132"/>
        <v>422</v>
      </c>
      <c r="L657" s="19">
        <f>VLOOKUP(A657,'[21]General transpose'!$A$1:$AF$73,17,FALSE)</f>
        <v>0.41823587710604559</v>
      </c>
      <c r="M657" s="9"/>
      <c r="N657" s="9"/>
    </row>
    <row r="658" spans="1:14" s="15" customFormat="1">
      <c r="A658" s="15" t="s">
        <v>64</v>
      </c>
      <c r="B658" s="15">
        <v>3028</v>
      </c>
      <c r="C658" s="43">
        <v>2015</v>
      </c>
      <c r="D658" s="15">
        <v>3</v>
      </c>
      <c r="E658" s="17">
        <f>VLOOKUP(A657,[20]Result!$B$12:$D$84,3,FALSE)/10^3</f>
        <v>9832.6730000000007</v>
      </c>
      <c r="F658" s="41">
        <f t="shared" si="131"/>
        <v>1.2312762402864634</v>
      </c>
      <c r="G658" s="44">
        <f>VLOOKUP(A657,'[22]General transpose'!$A$1:$AF$73,26,FALSE)/10^3</f>
        <v>166.33099999999999</v>
      </c>
      <c r="H658" s="16">
        <f t="shared" si="133"/>
        <v>173.828</v>
      </c>
      <c r="I658" s="18">
        <f>VLOOKUP(A657,'[22]General transpose'!$A$1:$AF$73,8,FALSE)</f>
        <v>35865</v>
      </c>
      <c r="J658" s="18">
        <f>VLOOKUP(A657,'[22]General transpose'!$A$1:$AF$73,16,FALSE)</f>
        <v>1021</v>
      </c>
      <c r="K658" s="18">
        <f t="shared" si="132"/>
        <v>433</v>
      </c>
      <c r="L658" s="19">
        <f>VLOOKUP(A657,'[22]General transpose'!$A$1:$AF$73,17,FALSE)</f>
        <v>0.42409402546523017</v>
      </c>
      <c r="M658" s="9"/>
      <c r="N658" s="9"/>
    </row>
    <row r="659" spans="1:14" s="15" customFormat="1">
      <c r="A659" s="15" t="s">
        <v>64</v>
      </c>
      <c r="B659" s="15">
        <v>3028</v>
      </c>
      <c r="C659" s="43">
        <v>2016</v>
      </c>
      <c r="D659" s="15">
        <v>3</v>
      </c>
      <c r="E659" s="17">
        <f>'[14]2016 Benchmarking Calculations'!$AX$8/1000</f>
        <v>9598.0869999999995</v>
      </c>
      <c r="F659" s="41">
        <f t="shared" si="131"/>
        <v>1.2455044937824149</v>
      </c>
      <c r="G659" s="44">
        <f>HLOOKUP(A659,[23]General!$A$1:$BQ$23,22,FALSE)/10^3</f>
        <v>178.292</v>
      </c>
      <c r="H659" s="16">
        <f t="shared" si="133"/>
        <v>178.292</v>
      </c>
      <c r="I659" s="18">
        <f>HLOOKUP(A659,[23]General!$A$1:$BQ$23,9,FALSE)</f>
        <v>36818</v>
      </c>
      <c r="J659" s="18">
        <f>'[14]2016 Benchmarking Calculations'!$AX$73</f>
        <v>2559</v>
      </c>
      <c r="K659" s="15">
        <f>'[14]2016 Utility Characteristics'!$AQ$47</f>
        <v>1811</v>
      </c>
      <c r="L659" s="19">
        <f>K659/J659</f>
        <v>0.70769831965611563</v>
      </c>
      <c r="M659" s="9"/>
      <c r="N659" s="9"/>
    </row>
    <row r="660" spans="1:14" s="15" customFormat="1">
      <c r="A660" s="15" t="s">
        <v>64</v>
      </c>
      <c r="B660" s="15">
        <v>3028</v>
      </c>
      <c r="C660" s="43">
        <v>2017</v>
      </c>
      <c r="D660" s="15">
        <v>3</v>
      </c>
      <c r="E660" s="17">
        <f>'[14]2017 Benchmarking Calculations'!$AZ$9/1000</f>
        <v>8862.1859999999997</v>
      </c>
      <c r="F660" s="41">
        <f t="shared" si="131"/>
        <v>1.2674505553724562</v>
      </c>
      <c r="G660" s="44">
        <f>[15]General!$AM$20/1000</f>
        <v>162.86500000000001</v>
      </c>
      <c r="H660" s="16">
        <f t="shared" si="133"/>
        <v>178.292</v>
      </c>
      <c r="I660" s="18">
        <f>[15]General!$AM$9</f>
        <v>37895</v>
      </c>
      <c r="J660" s="18">
        <f>[15]General!$AM$17</f>
        <v>2615</v>
      </c>
      <c r="K660" s="18">
        <f>J660*L660</f>
        <v>1866</v>
      </c>
      <c r="L660" s="19">
        <f>[15]General!$AM$16/[15]General!$AM$17</f>
        <v>0.71357552581261952</v>
      </c>
      <c r="M660" s="9"/>
      <c r="N660" s="9"/>
    </row>
    <row r="661" spans="1:14" s="15" customFormat="1">
      <c r="A661" s="15" t="s">
        <v>64</v>
      </c>
      <c r="B661" s="15">
        <v>3028</v>
      </c>
      <c r="C661" s="43">
        <v>2018</v>
      </c>
      <c r="D661" s="15">
        <v>3</v>
      </c>
      <c r="E661" s="17">
        <f>'[16]2018 Benchmarking Calculations'!$AZ$10/1000</f>
        <v>9389.991</v>
      </c>
      <c r="F661" s="41">
        <f t="shared" si="131"/>
        <v>1.2994718602728874</v>
      </c>
      <c r="G661" s="44">
        <f>'[16]2018 Benchmarking Calculations'!$AZ$61/1000</f>
        <v>180.30500000000001</v>
      </c>
      <c r="H661" s="16">
        <f t="shared" si="133"/>
        <v>180.30500000000001</v>
      </c>
      <c r="I661" s="18">
        <f>'[16]2018 Benchmarking Calculations'!$AZ$57</f>
        <v>39579</v>
      </c>
      <c r="J661" s="18">
        <f>'[16]2018 Utility Characteristics'!$AT$103</f>
        <v>2651</v>
      </c>
      <c r="K661" s="18">
        <f>'[16]2018 Utility Characteristics'!$AT$105</f>
        <v>1915</v>
      </c>
      <c r="L661" s="19">
        <f>K661/J661</f>
        <v>0.72236891738966424</v>
      </c>
      <c r="M661" s="9"/>
      <c r="N661" s="9"/>
    </row>
    <row r="662" spans="1:14" s="15" customFormat="1">
      <c r="A662" s="15" t="s">
        <v>64</v>
      </c>
      <c r="B662" s="15">
        <v>3028</v>
      </c>
      <c r="C662" s="43">
        <v>2019</v>
      </c>
      <c r="D662" s="15">
        <v>3</v>
      </c>
      <c r="E662" s="17">
        <f>'[17]2019 Benchmarking Calculations'!$AZ$10/1000</f>
        <v>9936.4140000000007</v>
      </c>
      <c r="F662" s="41">
        <f t="shared" si="131"/>
        <v>1.3352608354138498</v>
      </c>
      <c r="G662" s="44">
        <f>'[17]2019 Benchmarking Calculations'!$AZ$61/1000</f>
        <v>169.70400000000001</v>
      </c>
      <c r="H662" s="16">
        <f t="shared" si="133"/>
        <v>180.30500000000001</v>
      </c>
      <c r="I662" s="18">
        <f>'[17]2019 Benchmarking Calculations'!$AZ$57</f>
        <v>40388</v>
      </c>
      <c r="J662" s="18">
        <f>'[17]2019 Utility Characteristics'!$AT$13</f>
        <v>2723</v>
      </c>
      <c r="K662" s="18">
        <f>'[17]2019 Utility Characteristics'!$AT$15</f>
        <v>1954</v>
      </c>
      <c r="L662" s="19">
        <f>K662/J662</f>
        <v>0.71759089239809037</v>
      </c>
      <c r="M662" s="9"/>
      <c r="N662" s="9"/>
    </row>
    <row r="663" spans="1:14">
      <c r="A663" s="15" t="str">
        <f>'[18]2. BM Database'!B490</f>
        <v>NEWMARKET-TAY POWER DISTRIBUTION LTD.</v>
      </c>
      <c r="B663" s="15">
        <v>3026</v>
      </c>
      <c r="C663" s="43">
        <f>'[18]2. BM Database'!C490</f>
        <v>2005</v>
      </c>
      <c r="D663" s="15">
        <v>3</v>
      </c>
      <c r="E663" s="17">
        <f>'[18]2. BM Database'!F490/1000</f>
        <v>5554.0928500000009</v>
      </c>
      <c r="F663" s="41">
        <f>F648</f>
        <v>1</v>
      </c>
      <c r="G663" s="44">
        <f>'[18]2. BM Database'!P490/1000</f>
        <v>158.20500000000001</v>
      </c>
      <c r="H663" s="16">
        <f>G663</f>
        <v>158.20500000000001</v>
      </c>
      <c r="I663" s="18">
        <f>'[18]2. BM Database'!L490</f>
        <v>30166</v>
      </c>
      <c r="J663" s="18">
        <f>'[18]2. BM Database'!R490</f>
        <v>1002</v>
      </c>
      <c r="K663" s="18">
        <f t="shared" ref="K663:K674" si="134">J663*L663</f>
        <v>421</v>
      </c>
      <c r="L663" s="19">
        <f>'[18]2. BM Database'!T490</f>
        <v>0.42015968063872255</v>
      </c>
      <c r="M663" s="9"/>
      <c r="N663" s="9"/>
    </row>
    <row r="664" spans="1:14">
      <c r="A664" s="15" t="str">
        <f>'[18]2. BM Database'!B491</f>
        <v>NEWMARKET-TAY POWER DISTRIBUTION LTD.</v>
      </c>
      <c r="B664" s="15">
        <v>3026</v>
      </c>
      <c r="C664" s="43">
        <f>'[18]2. BM Database'!C491</f>
        <v>2006</v>
      </c>
      <c r="D664" s="15">
        <v>3</v>
      </c>
      <c r="E664" s="17">
        <f>'[18]2. BM Database'!F491/1000</f>
        <v>5497.459890000001</v>
      </c>
      <c r="F664" s="41">
        <f>F649</f>
        <v>1.0181607380073696</v>
      </c>
      <c r="G664" s="44">
        <f>'[18]2. BM Database'!P491/1000</f>
        <v>163.93</v>
      </c>
      <c r="H664" s="16">
        <f>MAX(G664,H663)</f>
        <v>163.93</v>
      </c>
      <c r="I664" s="18">
        <f>'[18]2. BM Database'!L491</f>
        <v>30684</v>
      </c>
      <c r="J664" s="18">
        <f>'[18]2. BM Database'!R491</f>
        <v>1012</v>
      </c>
      <c r="K664" s="18">
        <f t="shared" si="134"/>
        <v>430</v>
      </c>
      <c r="L664" s="19">
        <f>'[18]2. BM Database'!T491</f>
        <v>0.42490118577075098</v>
      </c>
      <c r="M664" s="9"/>
      <c r="N664" s="9"/>
    </row>
    <row r="665" spans="1:14">
      <c r="A665" s="15" t="str">
        <f>'[18]2. BM Database'!B492</f>
        <v>NEWMARKET-TAY POWER DISTRIBUTION LTD.</v>
      </c>
      <c r="B665" s="15">
        <v>3026</v>
      </c>
      <c r="C665" s="43">
        <f>'[18]2. BM Database'!C492</f>
        <v>2007</v>
      </c>
      <c r="D665" s="15">
        <v>3</v>
      </c>
      <c r="E665" s="17">
        <f>'[18]2. BM Database'!F492/1000</f>
        <v>5481.2855899999995</v>
      </c>
      <c r="F665" s="41">
        <f>F650</f>
        <v>1.0531931014872313</v>
      </c>
      <c r="G665" s="44">
        <f>'[18]2. BM Database'!P492/1000</f>
        <v>155.19900000000001</v>
      </c>
      <c r="H665" s="16">
        <f t="shared" ref="H665:H677" si="135">MAX(G665,H664)</f>
        <v>163.93</v>
      </c>
      <c r="I665" s="18">
        <f>'[18]2. BM Database'!L492</f>
        <v>31193</v>
      </c>
      <c r="J665" s="18">
        <f>'[18]2. BM Database'!R492</f>
        <v>1034</v>
      </c>
      <c r="K665" s="18">
        <f t="shared" si="134"/>
        <v>454</v>
      </c>
      <c r="L665" s="19">
        <f>'[18]2. BM Database'!T492</f>
        <v>0.43907156673114117</v>
      </c>
      <c r="M665" s="9"/>
      <c r="N665" s="9"/>
    </row>
    <row r="666" spans="1:14">
      <c r="A666" s="15" t="str">
        <f>'[18]2. BM Database'!B493</f>
        <v>NEWMARKET-TAY POWER DISTRIBUTION LTD.</v>
      </c>
      <c r="B666" s="15">
        <v>3026</v>
      </c>
      <c r="C666" s="43">
        <f>'[18]2. BM Database'!C493</f>
        <v>2008</v>
      </c>
      <c r="D666" s="15">
        <v>3</v>
      </c>
      <c r="E666" s="17">
        <f>'[18]2. BM Database'!F493/1000</f>
        <v>6214.5589799999998</v>
      </c>
      <c r="F666" s="41">
        <f t="shared" ref="F666:F677" si="136">F651</f>
        <v>1.078564603993923</v>
      </c>
      <c r="G666" s="44">
        <f>'[18]2. BM Database'!P493/1000</f>
        <v>141.148</v>
      </c>
      <c r="H666" s="16">
        <f t="shared" si="135"/>
        <v>163.93</v>
      </c>
      <c r="I666" s="18">
        <f>'[18]2. BM Database'!L493</f>
        <v>31874</v>
      </c>
      <c r="J666" s="18">
        <f>'[18]2. BM Database'!R493</f>
        <v>1050</v>
      </c>
      <c r="K666" s="18">
        <f t="shared" si="134"/>
        <v>467</v>
      </c>
      <c r="L666" s="19">
        <f>'[18]2. BM Database'!T493</f>
        <v>0.44476190476190475</v>
      </c>
      <c r="M666" s="9"/>
      <c r="N666" s="9"/>
    </row>
    <row r="667" spans="1:14">
      <c r="A667" s="15" t="str">
        <f>'[18]2. BM Database'!B494</f>
        <v>NEWMARKET-TAY POWER DISTRIBUTION LTD.</v>
      </c>
      <c r="B667" s="15">
        <v>3026</v>
      </c>
      <c r="C667" s="43">
        <f>'[18]2. BM Database'!C494</f>
        <v>2009</v>
      </c>
      <c r="D667" s="15">
        <v>3</v>
      </c>
      <c r="E667" s="17">
        <f>'[18]2. BM Database'!F494/1000</f>
        <v>6389.0957399999988</v>
      </c>
      <c r="F667" s="41">
        <f t="shared" si="136"/>
        <v>1.0915070880241431</v>
      </c>
      <c r="G667" s="44">
        <f>'[18]2. BM Database'!P494/1000</f>
        <v>143.35900000000001</v>
      </c>
      <c r="H667" s="16">
        <f t="shared" si="135"/>
        <v>163.93</v>
      </c>
      <c r="I667" s="18">
        <f>'[18]2. BM Database'!L494</f>
        <v>32429</v>
      </c>
      <c r="J667" s="18">
        <f>'[18]2. BM Database'!R494</f>
        <v>1053</v>
      </c>
      <c r="K667" s="18">
        <f t="shared" si="134"/>
        <v>468</v>
      </c>
      <c r="L667" s="19">
        <f>'[18]2. BM Database'!T494</f>
        <v>0.44444444444444442</v>
      </c>
      <c r="M667" s="9"/>
      <c r="N667" s="9"/>
    </row>
    <row r="668" spans="1:14">
      <c r="A668" s="15" t="str">
        <f>'[18]2. BM Database'!B495</f>
        <v>NEWMARKET-TAY POWER DISTRIBUTION LTD.</v>
      </c>
      <c r="B668" s="15">
        <v>3026</v>
      </c>
      <c r="C668" s="43">
        <f>'[18]2. BM Database'!C495</f>
        <v>2010</v>
      </c>
      <c r="D668" s="15">
        <v>3</v>
      </c>
      <c r="E668" s="17">
        <f>'[18]2. BM Database'!F495/1000</f>
        <v>6686.05825</v>
      </c>
      <c r="F668" s="41">
        <f t="shared" si="136"/>
        <v>1.1243125351578573</v>
      </c>
      <c r="G668" s="44">
        <f>'[18]2. BM Database'!P495/1000</f>
        <v>154.38800000000001</v>
      </c>
      <c r="H668" s="16">
        <f t="shared" si="135"/>
        <v>163.93</v>
      </c>
      <c r="I668" s="18">
        <f>'[18]2. BM Database'!L495</f>
        <v>32911</v>
      </c>
      <c r="J668" s="18">
        <f>'[18]2. BM Database'!R495</f>
        <v>1071</v>
      </c>
      <c r="K668" s="18">
        <f t="shared" si="134"/>
        <v>482</v>
      </c>
      <c r="L668" s="19">
        <f>'[18]2. BM Database'!T495</f>
        <v>0.450046685340803</v>
      </c>
      <c r="M668" s="9"/>
      <c r="N668" s="9"/>
    </row>
    <row r="669" spans="1:14">
      <c r="A669" s="15" t="str">
        <f>'[18]2. BM Database'!B496</f>
        <v>NEWMARKET-TAY POWER DISTRIBUTION LTD.</v>
      </c>
      <c r="B669" s="15">
        <v>3026</v>
      </c>
      <c r="C669" s="43">
        <f>'[18]2. BM Database'!C496</f>
        <v>2011</v>
      </c>
      <c r="D669" s="15">
        <v>3</v>
      </c>
      <c r="E669" s="17">
        <f>'[18]2. BM Database'!F496/1000</f>
        <v>6319.1241570364136</v>
      </c>
      <c r="F669" s="41">
        <f t="shared" si="136"/>
        <v>1.1430978626415853</v>
      </c>
      <c r="G669" s="44">
        <f>'[18]2. BM Database'!P496/1000</f>
        <v>156.47900000000001</v>
      </c>
      <c r="H669" s="16">
        <f t="shared" si="135"/>
        <v>163.93</v>
      </c>
      <c r="I669" s="18">
        <f>'[18]2. BM Database'!L496</f>
        <v>33338</v>
      </c>
      <c r="J669" s="18">
        <f>'[18]2. BM Database'!R496</f>
        <v>830</v>
      </c>
      <c r="K669" s="18">
        <f t="shared" si="134"/>
        <v>471</v>
      </c>
      <c r="L669" s="19">
        <f>'[18]2. BM Database'!T496</f>
        <v>0.56746987951807226</v>
      </c>
      <c r="M669" s="9"/>
      <c r="N669" s="9"/>
    </row>
    <row r="670" spans="1:14">
      <c r="A670" s="15" t="str">
        <f>'[18]2. BM Database'!B497</f>
        <v>NEWMARKET-TAY POWER DISTRIBUTION LTD.</v>
      </c>
      <c r="B670" s="15">
        <v>3026</v>
      </c>
      <c r="C670" s="43">
        <f>'[18]2. BM Database'!C497</f>
        <v>2012</v>
      </c>
      <c r="D670" s="15">
        <v>3</v>
      </c>
      <c r="E670" s="17">
        <f>'[18]2. BM Database'!F497/1000</f>
        <v>6631.8880200000003</v>
      </c>
      <c r="F670" s="41">
        <f t="shared" si="136"/>
        <v>1.160126854517312</v>
      </c>
      <c r="G670" s="44">
        <f>'[18]2. BM Database'!P497/1000</f>
        <v>154.73500000000001</v>
      </c>
      <c r="H670" s="16">
        <f t="shared" si="135"/>
        <v>163.93</v>
      </c>
      <c r="I670" s="18">
        <f>'[18]2. BM Database'!L497</f>
        <v>33883</v>
      </c>
      <c r="J670" s="18">
        <f>'[18]2. BM Database'!R497</f>
        <v>832</v>
      </c>
      <c r="K670" s="18">
        <f t="shared" si="134"/>
        <v>460</v>
      </c>
      <c r="L670" s="19">
        <f>'[18]2. BM Database'!T497</f>
        <v>0.55288461538461542</v>
      </c>
      <c r="M670" s="9"/>
      <c r="N670" s="9"/>
    </row>
    <row r="671" spans="1:14" s="15" customFormat="1">
      <c r="A671" s="15" t="s">
        <v>65</v>
      </c>
      <c r="B671" s="15">
        <v>3026</v>
      </c>
      <c r="C671" s="43">
        <v>2013</v>
      </c>
      <c r="D671" s="15">
        <v>3</v>
      </c>
      <c r="E671" s="17">
        <f>HLOOKUP(A671,'[19]2013 Benchmarking Calculations'!$I$3:$CC$76,6,FALSE)/1000</f>
        <v>7255.4123799999998</v>
      </c>
      <c r="F671" s="41">
        <f t="shared" si="136"/>
        <v>1.178602141578931</v>
      </c>
      <c r="G671" s="44">
        <f>HLOOKUP(A671,'[19]2013 Benchmarking Calculations'!$I$3:$CC$76,57,FALSE)/1000</f>
        <v>152.71100000000001</v>
      </c>
      <c r="H671" s="16">
        <f t="shared" si="135"/>
        <v>163.93</v>
      </c>
      <c r="I671" s="18">
        <f>HLOOKUP(A671,'[19]2013 Benchmarking Calculations'!$I$3:$CC$76,53,FALSE)</f>
        <v>34626</v>
      </c>
      <c r="J671" s="18">
        <f>HLOOKUP(A671,'[19]2013 Benchmarking Calculations'!$I$3:$CC$76,71,FALSE)</f>
        <v>844</v>
      </c>
      <c r="K671" s="18">
        <f t="shared" si="134"/>
        <v>484.00000000000006</v>
      </c>
      <c r="L671" s="19">
        <f>HLOOKUP(A671,'[19]2013 PBR data '!B$42:BV$68,15,FALSE)/HLOOKUP(A671,'[19]2013 PBR data '!B$42:BV$68,13,FALSE)</f>
        <v>0.57345971563981046</v>
      </c>
      <c r="M671" s="9"/>
      <c r="N671" s="9"/>
    </row>
    <row r="672" spans="1:14" s="15" customFormat="1">
      <c r="A672" s="15" t="s">
        <v>65</v>
      </c>
      <c r="B672" s="15">
        <v>3026</v>
      </c>
      <c r="C672" s="43">
        <v>2014</v>
      </c>
      <c r="D672" s="15">
        <v>3</v>
      </c>
      <c r="E672" s="17">
        <f>VLOOKUP(A672,[20]Result!$B$12:$D$84,2,FALSE)/10^3</f>
        <v>7826.7529999999997</v>
      </c>
      <c r="F672" s="41">
        <f t="shared" si="136"/>
        <v>1.2030671041042156</v>
      </c>
      <c r="G672" s="44">
        <f>VLOOKUP(A672,'[21]General transpose'!$A$1:$AF$73,26,FALSE)/10^3</f>
        <v>132.94800000000001</v>
      </c>
      <c r="H672" s="16">
        <f t="shared" si="135"/>
        <v>163.93</v>
      </c>
      <c r="I672" s="18">
        <f>VLOOKUP(A672,'[21]General transpose'!$A$1:$AF$73,8,FALSE)</f>
        <v>34871</v>
      </c>
      <c r="J672" s="18">
        <f>VLOOKUP(A672,'[21]General transpose'!$A$1:$AF$73,16,FALSE)</f>
        <v>845</v>
      </c>
      <c r="K672" s="18">
        <f t="shared" si="134"/>
        <v>485.00000000000006</v>
      </c>
      <c r="L672" s="19">
        <f>VLOOKUP(A672,'[21]General transpose'!$A$1:$AF$73,17,FALSE)</f>
        <v>0.57396449704142016</v>
      </c>
      <c r="M672" s="9"/>
      <c r="N672" s="9"/>
    </row>
    <row r="673" spans="1:14" s="15" customFormat="1">
      <c r="A673" s="15" t="s">
        <v>65</v>
      </c>
      <c r="B673" s="15">
        <v>3026</v>
      </c>
      <c r="C673" s="43">
        <v>2015</v>
      </c>
      <c r="D673" s="15">
        <v>3</v>
      </c>
      <c r="E673" s="17">
        <f>VLOOKUP(A672,[20]Result!$B$12:$D$84,3,FALSE)/10^3</f>
        <v>7157.7889999999998</v>
      </c>
      <c r="F673" s="41">
        <f t="shared" si="136"/>
        <v>1.2312762402864634</v>
      </c>
      <c r="G673" s="44">
        <f>VLOOKUP(A672,'[22]General transpose'!$A$1:$AF$73,26,FALSE)/10^3</f>
        <v>139.28</v>
      </c>
      <c r="H673" s="16">
        <f t="shared" si="135"/>
        <v>163.93</v>
      </c>
      <c r="I673" s="18">
        <f>VLOOKUP(A672,'[22]General transpose'!$A$1:$AF$73,8,FALSE)</f>
        <v>35171</v>
      </c>
      <c r="J673" s="18">
        <f>VLOOKUP(A672,'[22]General transpose'!$A$1:$AF$73,16,FALSE)</f>
        <v>855</v>
      </c>
      <c r="K673" s="18">
        <f t="shared" si="134"/>
        <v>492</v>
      </c>
      <c r="L673" s="19">
        <f>VLOOKUP(A672,'[22]General transpose'!$A$1:$AF$73,17,FALSE)</f>
        <v>0.57543859649122808</v>
      </c>
      <c r="M673" s="9"/>
      <c r="N673" s="9"/>
    </row>
    <row r="674" spans="1:14" s="15" customFormat="1">
      <c r="A674" s="15" t="s">
        <v>65</v>
      </c>
      <c r="B674" s="15">
        <v>3026</v>
      </c>
      <c r="C674" s="43">
        <v>2016</v>
      </c>
      <c r="D674" s="15">
        <v>3</v>
      </c>
      <c r="E674" s="17">
        <f>'[14]2016 Benchmarking Calculations'!$AY$8/1000</f>
        <v>7692.1792100000002</v>
      </c>
      <c r="F674" s="41">
        <f t="shared" si="136"/>
        <v>1.2455044937824149</v>
      </c>
      <c r="G674" s="44">
        <f>HLOOKUP(A674,[23]General!$A$1:$BQ$23,22,FALSE)/10^3</f>
        <v>143.58199999999999</v>
      </c>
      <c r="H674" s="16">
        <f t="shared" si="135"/>
        <v>163.93</v>
      </c>
      <c r="I674" s="18">
        <f>HLOOKUP(A674,[23]General!$A$1:$BQ$23,9,FALSE)</f>
        <v>35465</v>
      </c>
      <c r="J674" s="18">
        <f>HLOOKUP(A674,[23]General!$A$1:$BQ$23,17,FALSE)</f>
        <v>855</v>
      </c>
      <c r="K674" s="18">
        <f t="shared" si="134"/>
        <v>493</v>
      </c>
      <c r="L674" s="19">
        <f>HLOOKUP(A674,[23]General!$A$1:$BQ$23,18,FALSE)</f>
        <v>0.5766081871345029</v>
      </c>
      <c r="M674" s="9"/>
      <c r="N674" s="9"/>
    </row>
    <row r="675" spans="1:14" s="15" customFormat="1">
      <c r="A675" s="15" t="s">
        <v>65</v>
      </c>
      <c r="B675" s="15">
        <v>3026</v>
      </c>
      <c r="C675" s="43">
        <v>2017</v>
      </c>
      <c r="D675" s="15">
        <v>3</v>
      </c>
      <c r="E675" s="17">
        <f>'[14]2017 Benchmarking Calculations'!$BA$9/1000</f>
        <v>9160.8754400000016</v>
      </c>
      <c r="F675" s="41">
        <f t="shared" si="136"/>
        <v>1.2674505553724562</v>
      </c>
      <c r="G675" s="44">
        <f>[15]General!$AN$20/1000</f>
        <v>132.749</v>
      </c>
      <c r="H675" s="16">
        <f t="shared" si="135"/>
        <v>163.93</v>
      </c>
      <c r="I675" s="18">
        <f>[15]General!$AN$9</f>
        <v>35712</v>
      </c>
      <c r="J675" s="18">
        <f>[15]General!$AN$17</f>
        <v>855</v>
      </c>
      <c r="K675" s="18">
        <f>J675*L675</f>
        <v>496</v>
      </c>
      <c r="L675" s="19">
        <f>[15]General!$AN$16/[15]General!$AN$17</f>
        <v>0.58011695906432748</v>
      </c>
      <c r="M675" s="9"/>
      <c r="N675" s="9"/>
    </row>
    <row r="676" spans="1:14" s="15" customFormat="1">
      <c r="A676" s="15" t="s">
        <v>65</v>
      </c>
      <c r="B676" s="15">
        <v>3026</v>
      </c>
      <c r="C676" s="43">
        <v>2018</v>
      </c>
      <c r="D676" s="15">
        <v>3</v>
      </c>
      <c r="E676" s="17">
        <f>'[16]2018 Benchmarking Calculations'!$BA$10/1000</f>
        <v>11281.97681</v>
      </c>
      <c r="F676" s="41">
        <f t="shared" si="136"/>
        <v>1.2994718602728874</v>
      </c>
      <c r="G676" s="44">
        <f>'[16]2018 Benchmarking Calculations'!$BA$61/1000</f>
        <v>182.453</v>
      </c>
      <c r="H676" s="16">
        <f t="shared" si="135"/>
        <v>182.453</v>
      </c>
      <c r="I676" s="18">
        <f>'[16]2018 Benchmarking Calculations'!$BA$57</f>
        <v>43524</v>
      </c>
      <c r="J676" s="18">
        <f>'[16]2018 Utility Characteristics'!$AU$103</f>
        <v>1019</v>
      </c>
      <c r="K676" s="18">
        <f>'[16]2018 Utility Characteristics'!$AU$105</f>
        <v>551</v>
      </c>
      <c r="L676" s="19">
        <f>K676/J676</f>
        <v>0.54072620215897937</v>
      </c>
      <c r="M676" s="9"/>
      <c r="N676" s="9"/>
    </row>
    <row r="677" spans="1:14" s="15" customFormat="1">
      <c r="A677" s="15" t="s">
        <v>65</v>
      </c>
      <c r="B677" s="15">
        <v>3026</v>
      </c>
      <c r="C677" s="43">
        <v>2019</v>
      </c>
      <c r="D677" s="15">
        <v>3</v>
      </c>
      <c r="E677" s="17">
        <f>'[17]2019 Benchmarking Calculations'!$BA$10/1000</f>
        <v>12351.094149999999</v>
      </c>
      <c r="F677" s="41">
        <f t="shared" si="136"/>
        <v>1.3352608354138498</v>
      </c>
      <c r="G677" s="44">
        <f>'[17]2019 Benchmarking Calculations'!$BA$61/1000</f>
        <v>166.024</v>
      </c>
      <c r="H677" s="16">
        <f t="shared" si="135"/>
        <v>182.453</v>
      </c>
      <c r="I677" s="18">
        <f>'[17]2019 Benchmarking Calculations'!$BA$57</f>
        <v>43931</v>
      </c>
      <c r="J677" s="18">
        <f>'[17]2019 Utility Characteristics'!$AU$13</f>
        <v>1028</v>
      </c>
      <c r="K677" s="18">
        <f>'[17]2019 Utility Characteristics'!$AU$15</f>
        <v>559</v>
      </c>
      <c r="L677" s="19">
        <f>K677/J677</f>
        <v>0.54377431906614782</v>
      </c>
      <c r="M677" s="9"/>
      <c r="N677" s="9"/>
    </row>
    <row r="678" spans="1:14">
      <c r="A678" s="15" t="str">
        <f>'[18]2. BM Database'!B501</f>
        <v>NIAGARA PENINSULA ENERGY INC.</v>
      </c>
      <c r="B678" s="15">
        <v>3018</v>
      </c>
      <c r="C678" s="43">
        <f>'[18]2. BM Database'!C501</f>
        <v>2005</v>
      </c>
      <c r="D678" s="15">
        <v>3</v>
      </c>
      <c r="E678" s="17">
        <f>'[18]2. BM Database'!F501/1000</f>
        <v>12002.4</v>
      </c>
      <c r="F678" s="41">
        <f t="shared" ref="F678:F692" si="137">F663</f>
        <v>1</v>
      </c>
      <c r="G678" s="44">
        <f>'[18]2. BM Database'!P501/1000</f>
        <v>260.983</v>
      </c>
      <c r="H678" s="16">
        <f>G678</f>
        <v>260.983</v>
      </c>
      <c r="I678" s="18">
        <f>'[18]2. BM Database'!L501</f>
        <v>48671</v>
      </c>
      <c r="J678" s="18">
        <f>'[18]2. BM Database'!R501</f>
        <v>2114</v>
      </c>
      <c r="K678" s="18">
        <f t="shared" ref="K678:K689" si="138">J678*L678</f>
        <v>541</v>
      </c>
      <c r="L678" s="19">
        <f>'[18]2. BM Database'!T501</f>
        <v>0.25591296121097445</v>
      </c>
      <c r="M678" s="9"/>
      <c r="N678" s="9"/>
    </row>
    <row r="679" spans="1:14">
      <c r="A679" s="15" t="str">
        <f>'[18]2. BM Database'!B502</f>
        <v>NIAGARA PENINSULA ENERGY INC.</v>
      </c>
      <c r="B679" s="15">
        <v>3018</v>
      </c>
      <c r="C679" s="43">
        <f>'[18]2. BM Database'!C502</f>
        <v>2006</v>
      </c>
      <c r="D679" s="15">
        <v>3</v>
      </c>
      <c r="E679" s="17">
        <f>'[18]2. BM Database'!F502/1000</f>
        <v>12327.20715</v>
      </c>
      <c r="F679" s="41">
        <f t="shared" si="137"/>
        <v>1.0181607380073696</v>
      </c>
      <c r="G679" s="44">
        <f>'[18]2. BM Database'!P502/1000</f>
        <v>268.95800000000003</v>
      </c>
      <c r="H679" s="16">
        <f>MAX(G679,H678)</f>
        <v>268.95800000000003</v>
      </c>
      <c r="I679" s="18">
        <f>'[18]2. BM Database'!L502</f>
        <v>48493</v>
      </c>
      <c r="J679" s="18">
        <f>'[18]2. BM Database'!R502</f>
        <v>1830</v>
      </c>
      <c r="K679" s="18">
        <f t="shared" si="138"/>
        <v>372</v>
      </c>
      <c r="L679" s="19">
        <f>'[18]2. BM Database'!T502</f>
        <v>0.20327868852459016</v>
      </c>
      <c r="M679" s="9"/>
      <c r="N679" s="9"/>
    </row>
    <row r="680" spans="1:14">
      <c r="A680" s="15" t="str">
        <f>'[18]2. BM Database'!B503</f>
        <v>NIAGARA PENINSULA ENERGY INC.</v>
      </c>
      <c r="B680" s="15">
        <v>3018</v>
      </c>
      <c r="C680" s="43">
        <f>'[18]2. BM Database'!C503</f>
        <v>2007</v>
      </c>
      <c r="D680" s="15">
        <v>3</v>
      </c>
      <c r="E680" s="17">
        <f>'[18]2. BM Database'!F503/1000</f>
        <v>13040.678510000002</v>
      </c>
      <c r="F680" s="41">
        <f t="shared" si="137"/>
        <v>1.0531931014872313</v>
      </c>
      <c r="G680" s="44">
        <f>'[18]2. BM Database'!P503/1000</f>
        <v>254.45699999999999</v>
      </c>
      <c r="H680" s="16">
        <f t="shared" ref="H680:H692" si="139">MAX(G680,H679)</f>
        <v>268.95800000000003</v>
      </c>
      <c r="I680" s="18">
        <f>'[18]2. BM Database'!L503</f>
        <v>50195</v>
      </c>
      <c r="J680" s="18">
        <f>'[25]2. BM Database'!$R$503</f>
        <v>2773</v>
      </c>
      <c r="K680" s="18">
        <f t="shared" si="138"/>
        <v>757.00000000000011</v>
      </c>
      <c r="L680" s="19">
        <f>'[18]2. BM Database'!T503</f>
        <v>0.27298954201226111</v>
      </c>
      <c r="M680" s="9"/>
      <c r="N680" s="9"/>
    </row>
    <row r="681" spans="1:14">
      <c r="A681" s="15" t="str">
        <f>'[18]2. BM Database'!B504</f>
        <v>NIAGARA PENINSULA ENERGY INC.</v>
      </c>
      <c r="B681" s="15">
        <v>3018</v>
      </c>
      <c r="C681" s="43">
        <f>'[18]2. BM Database'!C504</f>
        <v>2008</v>
      </c>
      <c r="D681" s="15">
        <v>3</v>
      </c>
      <c r="E681" s="17">
        <f>'[18]2. BM Database'!F504/1000</f>
        <v>12572.74107</v>
      </c>
      <c r="F681" s="41">
        <f t="shared" si="137"/>
        <v>1.078564603993923</v>
      </c>
      <c r="G681" s="44">
        <f>'[18]2. BM Database'!P504/1000</f>
        <v>249.17500000000001</v>
      </c>
      <c r="H681" s="16">
        <f t="shared" si="139"/>
        <v>268.95800000000003</v>
      </c>
      <c r="I681" s="18">
        <f>'[18]2. BM Database'!L504</f>
        <v>50255</v>
      </c>
      <c r="J681" s="18">
        <f>'[18]2. BM Database'!R504</f>
        <v>1820</v>
      </c>
      <c r="K681" s="18">
        <f t="shared" si="138"/>
        <v>433</v>
      </c>
      <c r="L681" s="19">
        <f>'[18]2. BM Database'!T504</f>
        <v>0.2379120879120879</v>
      </c>
      <c r="M681" s="9"/>
      <c r="N681" s="9"/>
    </row>
    <row r="682" spans="1:14">
      <c r="A682" s="15" t="str">
        <f>'[18]2. BM Database'!B505</f>
        <v>NIAGARA PENINSULA ENERGY INC.</v>
      </c>
      <c r="B682" s="15">
        <v>3018</v>
      </c>
      <c r="C682" s="43">
        <f>'[18]2. BM Database'!C505</f>
        <v>2009</v>
      </c>
      <c r="D682" s="15">
        <v>3</v>
      </c>
      <c r="E682" s="17">
        <f>'[18]2. BM Database'!F505/1000</f>
        <v>12606.613100000002</v>
      </c>
      <c r="F682" s="41">
        <f t="shared" si="137"/>
        <v>1.0915070880241431</v>
      </c>
      <c r="G682" s="44">
        <f>'[18]2. BM Database'!P505/1000</f>
        <v>254.55699999999999</v>
      </c>
      <c r="H682" s="16">
        <f t="shared" si="139"/>
        <v>268.95800000000003</v>
      </c>
      <c r="I682" s="18">
        <f>'[18]2. BM Database'!L505</f>
        <v>50403</v>
      </c>
      <c r="J682" s="18">
        <f>'[18]2. BM Database'!R505</f>
        <v>1944</v>
      </c>
      <c r="K682" s="18">
        <f t="shared" si="138"/>
        <v>469</v>
      </c>
      <c r="L682" s="19">
        <f>'[18]2. BM Database'!T505</f>
        <v>0.24125514403292181</v>
      </c>
      <c r="M682" s="9"/>
      <c r="N682" s="9"/>
    </row>
    <row r="683" spans="1:14">
      <c r="A683" s="15" t="str">
        <f>'[18]2. BM Database'!B506</f>
        <v>NIAGARA PENINSULA ENERGY INC.</v>
      </c>
      <c r="B683" s="15">
        <v>3018</v>
      </c>
      <c r="C683" s="43">
        <f>'[18]2. BM Database'!C506</f>
        <v>2010</v>
      </c>
      <c r="D683" s="15">
        <v>3</v>
      </c>
      <c r="E683" s="17">
        <f>'[18]2. BM Database'!F506/1000</f>
        <v>13264.56335</v>
      </c>
      <c r="F683" s="41">
        <f t="shared" si="137"/>
        <v>1.1243125351578573</v>
      </c>
      <c r="G683" s="44">
        <f>'[18]2. BM Database'!P506/1000</f>
        <v>261.04500000000002</v>
      </c>
      <c r="H683" s="16">
        <f t="shared" si="139"/>
        <v>268.95800000000003</v>
      </c>
      <c r="I683" s="18">
        <f>'[18]2. BM Database'!L506</f>
        <v>51048</v>
      </c>
      <c r="J683" s="18">
        <f>'[18]2. BM Database'!R506</f>
        <v>1950</v>
      </c>
      <c r="K683" s="18">
        <f t="shared" si="138"/>
        <v>479</v>
      </c>
      <c r="L683" s="19">
        <f>'[18]2. BM Database'!T506</f>
        <v>0.24564102564102563</v>
      </c>
      <c r="M683" s="9"/>
      <c r="N683" s="9"/>
    </row>
    <row r="684" spans="1:14">
      <c r="A684" s="15" t="str">
        <f>'[18]2. BM Database'!B507</f>
        <v>NIAGARA PENINSULA ENERGY INC.</v>
      </c>
      <c r="B684" s="15">
        <v>3018</v>
      </c>
      <c r="C684" s="43">
        <f>'[18]2. BM Database'!C507</f>
        <v>2011</v>
      </c>
      <c r="D684" s="15">
        <v>3</v>
      </c>
      <c r="E684" s="17">
        <f>'[18]2. BM Database'!F507/1000</f>
        <v>13737.556289999999</v>
      </c>
      <c r="F684" s="41">
        <f t="shared" si="137"/>
        <v>1.1430978626415853</v>
      </c>
      <c r="G684" s="44">
        <f>'[18]2. BM Database'!P507/1000</f>
        <v>269.26900000000001</v>
      </c>
      <c r="H684" s="16">
        <f t="shared" si="139"/>
        <v>269.26900000000001</v>
      </c>
      <c r="I684" s="18">
        <f>'[18]2. BM Database'!L507</f>
        <v>51162</v>
      </c>
      <c r="J684" s="18">
        <f>'[18]2. BM Database'!R507</f>
        <v>1975</v>
      </c>
      <c r="K684" s="18">
        <f t="shared" si="138"/>
        <v>491</v>
      </c>
      <c r="L684" s="19">
        <f>'[18]2. BM Database'!T507</f>
        <v>0.24860759493670886</v>
      </c>
      <c r="M684" s="9"/>
      <c r="N684" s="9"/>
    </row>
    <row r="685" spans="1:14">
      <c r="A685" s="15" t="str">
        <f>'[18]2. BM Database'!B508</f>
        <v>NIAGARA PENINSULA ENERGY INC.</v>
      </c>
      <c r="B685" s="15">
        <v>3018</v>
      </c>
      <c r="C685" s="43">
        <f>'[18]2. BM Database'!C508</f>
        <v>2012</v>
      </c>
      <c r="D685" s="15">
        <v>3</v>
      </c>
      <c r="E685" s="17">
        <f>'[18]2. BM Database'!F508/1000</f>
        <v>14194.44967</v>
      </c>
      <c r="F685" s="41">
        <f t="shared" si="137"/>
        <v>1.160126854517312</v>
      </c>
      <c r="G685" s="44">
        <f>'[18]2. BM Database'!P508/1000</f>
        <v>262.91699999999997</v>
      </c>
      <c r="H685" s="16">
        <f t="shared" si="139"/>
        <v>269.26900000000001</v>
      </c>
      <c r="I685" s="18">
        <f>'[18]2. BM Database'!L508</f>
        <v>50986</v>
      </c>
      <c r="J685" s="18">
        <f>'[18]2. BM Database'!R508</f>
        <v>1960</v>
      </c>
      <c r="K685" s="18">
        <f t="shared" si="138"/>
        <v>500</v>
      </c>
      <c r="L685" s="19">
        <f>'[18]2. BM Database'!T508</f>
        <v>0.25510204081632654</v>
      </c>
      <c r="M685" s="9"/>
      <c r="N685" s="9"/>
    </row>
    <row r="686" spans="1:14" s="15" customFormat="1">
      <c r="A686" s="15" t="s">
        <v>66</v>
      </c>
      <c r="B686" s="15">
        <v>3018</v>
      </c>
      <c r="C686" s="43">
        <v>2013</v>
      </c>
      <c r="D686" s="15">
        <v>3</v>
      </c>
      <c r="E686" s="17">
        <f>HLOOKUP(A686,'[19]2013 Benchmarking Calculations'!$I$3:$CC$76,6,FALSE)/1000</f>
        <v>13580.948560000001</v>
      </c>
      <c r="F686" s="41">
        <f t="shared" si="137"/>
        <v>1.178602141578931</v>
      </c>
      <c r="G686" s="44">
        <f>HLOOKUP(A686,'[19]2013 Benchmarking Calculations'!$I$3:$CC$76,57,FALSE)/1000</f>
        <v>268.58300000000003</v>
      </c>
      <c r="H686" s="16">
        <f t="shared" si="139"/>
        <v>269.26900000000001</v>
      </c>
      <c r="I686" s="18">
        <f>HLOOKUP(A686,'[19]2013 Benchmarking Calculations'!$I$3:$CC$76,53,FALSE)</f>
        <v>51213</v>
      </c>
      <c r="J686" s="18">
        <f>HLOOKUP(A686,'[19]2013 Benchmarking Calculations'!$I$3:$CC$76,71,FALSE)</f>
        <v>1977</v>
      </c>
      <c r="K686" s="18">
        <f t="shared" si="138"/>
        <v>519</v>
      </c>
      <c r="L686" s="19">
        <f>HLOOKUP(A686,'[19]2013 PBR data '!B$42:BV$68,15,FALSE)/HLOOKUP(A686,'[19]2013 PBR data '!B$42:BV$68,13,FALSE)</f>
        <v>0.26251896813353565</v>
      </c>
      <c r="M686" s="9"/>
      <c r="N686" s="9"/>
    </row>
    <row r="687" spans="1:14" s="15" customFormat="1">
      <c r="A687" s="15" t="s">
        <v>66</v>
      </c>
      <c r="B687" s="15">
        <v>3018</v>
      </c>
      <c r="C687" s="43">
        <v>2014</v>
      </c>
      <c r="D687" s="15">
        <v>3</v>
      </c>
      <c r="E687" s="17">
        <f>VLOOKUP(A687,[20]Result!$B$12:$D$84,2,FALSE)/10^3</f>
        <v>16436.186000000002</v>
      </c>
      <c r="F687" s="41">
        <f t="shared" si="137"/>
        <v>1.2030671041042156</v>
      </c>
      <c r="G687" s="44">
        <f>VLOOKUP(A687,'[21]General transpose'!$A$1:$AF$73,26,FALSE)/10^3</f>
        <v>226.446</v>
      </c>
      <c r="H687" s="16">
        <f t="shared" si="139"/>
        <v>269.26900000000001</v>
      </c>
      <c r="I687" s="18">
        <f>VLOOKUP(A687,'[21]General transpose'!$A$1:$AF$73,8,FALSE)</f>
        <v>51824</v>
      </c>
      <c r="J687" s="18">
        <f>VLOOKUP(A687,'[21]General transpose'!$A$1:$AF$73,16,FALSE)</f>
        <v>1977</v>
      </c>
      <c r="K687" s="18">
        <f t="shared" si="138"/>
        <v>519</v>
      </c>
      <c r="L687" s="19">
        <f>VLOOKUP(A687,'[21]General transpose'!$A$1:$AF$73,17,FALSE)</f>
        <v>0.26251896813353565</v>
      </c>
      <c r="M687" s="9"/>
      <c r="N687" s="9"/>
    </row>
    <row r="688" spans="1:14" s="15" customFormat="1">
      <c r="A688" s="15" t="s">
        <v>66</v>
      </c>
      <c r="B688" s="15">
        <v>3018</v>
      </c>
      <c r="C688" s="43">
        <v>2015</v>
      </c>
      <c r="D688" s="15">
        <v>3</v>
      </c>
      <c r="E688" s="17">
        <f>VLOOKUP(A687,[20]Result!$B$12:$D$84,3,FALSE)/10^3</f>
        <v>16150.052</v>
      </c>
      <c r="F688" s="41">
        <f t="shared" si="137"/>
        <v>1.2312762402864634</v>
      </c>
      <c r="G688" s="44">
        <f>VLOOKUP(A687,'[22]General transpose'!$A$1:$AF$73,26,FALSE)/10^3</f>
        <v>245.124</v>
      </c>
      <c r="H688" s="16">
        <f t="shared" si="139"/>
        <v>269.26900000000001</v>
      </c>
      <c r="I688" s="18">
        <f>VLOOKUP(A687,'[22]General transpose'!$A$1:$AF$73,8,FALSE)</f>
        <v>52770</v>
      </c>
      <c r="J688" s="18">
        <f>VLOOKUP(A687,'[22]General transpose'!$A$1:$AF$73,16,FALSE)</f>
        <v>1977</v>
      </c>
      <c r="K688" s="18">
        <f t="shared" si="138"/>
        <v>519</v>
      </c>
      <c r="L688" s="19">
        <f>VLOOKUP(A687,'[22]General transpose'!$A$1:$AF$73,17,FALSE)</f>
        <v>0.26251896813353565</v>
      </c>
      <c r="M688" s="9"/>
      <c r="N688" s="9"/>
    </row>
    <row r="689" spans="1:14" s="15" customFormat="1">
      <c r="A689" s="15" t="s">
        <v>66</v>
      </c>
      <c r="B689" s="15">
        <v>3018</v>
      </c>
      <c r="C689" s="43">
        <v>2016</v>
      </c>
      <c r="D689" s="15">
        <v>3</v>
      </c>
      <c r="E689" s="17">
        <f>'[14]2016 Benchmarking Calculations'!$AZ$8/1000</f>
        <v>16422.964600000003</v>
      </c>
      <c r="F689" s="41">
        <f t="shared" si="137"/>
        <v>1.2455044937824149</v>
      </c>
      <c r="G689" s="44">
        <f>HLOOKUP(A689,[23]General!$A$1:$BQ$23,22,FALSE)/10^3</f>
        <v>261.49299999999999</v>
      </c>
      <c r="H689" s="16">
        <f t="shared" si="139"/>
        <v>269.26900000000001</v>
      </c>
      <c r="I689" s="18">
        <f>HLOOKUP(A689,[23]General!$A$1:$BQ$23,9,FALSE)</f>
        <v>53617</v>
      </c>
      <c r="J689" s="18">
        <f>HLOOKUP(A689,[23]General!$A$1:$BQ$23,17,FALSE)</f>
        <v>2004</v>
      </c>
      <c r="K689" s="18">
        <f t="shared" si="138"/>
        <v>549</v>
      </c>
      <c r="L689" s="19">
        <f>HLOOKUP(A689,[23]General!$A$1:$BQ$23,18,FALSE)</f>
        <v>0.27395209580838326</v>
      </c>
      <c r="M689" s="9"/>
      <c r="N689" s="9"/>
    </row>
    <row r="690" spans="1:14" s="15" customFormat="1">
      <c r="A690" s="15" t="s">
        <v>66</v>
      </c>
      <c r="B690" s="15">
        <v>3018</v>
      </c>
      <c r="C690" s="43">
        <v>2017</v>
      </c>
      <c r="D690" s="15">
        <v>3</v>
      </c>
      <c r="E690" s="17">
        <f>'[14]2017 Benchmarking Calculations'!$BB$9/1000</f>
        <v>17622.603480000005</v>
      </c>
      <c r="F690" s="41">
        <f t="shared" si="137"/>
        <v>1.2674505553724562</v>
      </c>
      <c r="G690" s="44">
        <f>[15]General!$AO$20/1000</f>
        <v>234.89</v>
      </c>
      <c r="H690" s="16">
        <f t="shared" si="139"/>
        <v>269.26900000000001</v>
      </c>
      <c r="I690" s="18">
        <f>[15]General!$AO$9</f>
        <v>54919</v>
      </c>
      <c r="J690" s="18">
        <f>[15]General!$AO$17</f>
        <v>2005</v>
      </c>
      <c r="K690" s="18">
        <f>J690*L690</f>
        <v>557</v>
      </c>
      <c r="L690" s="19">
        <f>[15]General!$AO$16/[15]General!$AO$17</f>
        <v>0.27780548628428925</v>
      </c>
      <c r="M690" s="9"/>
      <c r="N690" s="9"/>
    </row>
    <row r="691" spans="1:14" s="15" customFormat="1">
      <c r="A691" s="15" t="s">
        <v>66</v>
      </c>
      <c r="B691" s="15">
        <v>3018</v>
      </c>
      <c r="C691" s="43">
        <v>2018</v>
      </c>
      <c r="D691" s="15">
        <v>3</v>
      </c>
      <c r="E691" s="17">
        <f>'[16]2018 Benchmarking Calculations'!$BB$10/1000</f>
        <v>17326.921759999997</v>
      </c>
      <c r="F691" s="41">
        <f t="shared" si="137"/>
        <v>1.2994718602728874</v>
      </c>
      <c r="G691" s="44">
        <f>'[16]2018 Benchmarking Calculations'!$BB$61/1000</f>
        <v>254.506</v>
      </c>
      <c r="H691" s="16">
        <f t="shared" si="139"/>
        <v>269.26900000000001</v>
      </c>
      <c r="I691" s="18">
        <f>'[16]2018 Benchmarking Calculations'!$BB$57</f>
        <v>55593</v>
      </c>
      <c r="J691" s="18">
        <f>'[16]2018 Utility Characteristics'!$AV$103</f>
        <v>2024</v>
      </c>
      <c r="K691" s="18">
        <f>'[16]2018 Utility Characteristics'!$AV$105</f>
        <v>573</v>
      </c>
      <c r="L691" s="19">
        <f>K691/J691</f>
        <v>0.28310276679841895</v>
      </c>
      <c r="M691" s="9"/>
      <c r="N691" s="9"/>
    </row>
    <row r="692" spans="1:14" s="15" customFormat="1">
      <c r="A692" s="15" t="s">
        <v>66</v>
      </c>
      <c r="B692" s="15">
        <v>3018</v>
      </c>
      <c r="C692" s="43">
        <v>2019</v>
      </c>
      <c r="D692" s="15">
        <v>3</v>
      </c>
      <c r="E692" s="17">
        <f>'[17]2019 Benchmarking Calculations'!$BB$10/1000</f>
        <v>18348.752419999997</v>
      </c>
      <c r="F692" s="41">
        <f t="shared" si="137"/>
        <v>1.3352608354138498</v>
      </c>
      <c r="G692" s="44">
        <f>'[17]2019 Benchmarking Calculations'!$BB$61/1000</f>
        <v>251.13300000000001</v>
      </c>
      <c r="H692" s="16">
        <f t="shared" si="139"/>
        <v>269.26900000000001</v>
      </c>
      <c r="I692" s="18">
        <f>'[17]2019 Benchmarking Calculations'!$BB$57</f>
        <v>56067</v>
      </c>
      <c r="J692" s="18">
        <f>'[17]2019 Utility Characteristics'!$AV$16+'[17]2019 Utility Characteristics'!$AV$18</f>
        <v>2041</v>
      </c>
      <c r="K692" s="18">
        <f>'[17]2019 Utility Characteristics'!$AV$18</f>
        <v>586</v>
      </c>
      <c r="L692" s="19">
        <f>K692/J692</f>
        <v>0.28711415972562471</v>
      </c>
      <c r="M692" s="9"/>
      <c r="N692" s="9"/>
    </row>
    <row r="693" spans="1:14">
      <c r="A693" s="15" t="str">
        <f>'[18]2. BM Database'!B512</f>
        <v>NIAGARA-ON-THE-LAKE HYDRO INC.</v>
      </c>
      <c r="B693" s="15">
        <v>3054</v>
      </c>
      <c r="C693" s="43">
        <f>'[18]2. BM Database'!C512</f>
        <v>2005</v>
      </c>
      <c r="D693" s="15">
        <v>3</v>
      </c>
      <c r="E693" s="17">
        <f>'[18]2. BM Database'!F512/1000</f>
        <v>1313.22451</v>
      </c>
      <c r="F693" s="41">
        <f t="shared" ref="F693:F707" si="140">F678</f>
        <v>1</v>
      </c>
      <c r="G693" s="44">
        <f>'[18]2. BM Database'!P512/1000</f>
        <v>40.533999999999999</v>
      </c>
      <c r="H693" s="16">
        <f>G693</f>
        <v>40.533999999999999</v>
      </c>
      <c r="I693" s="18">
        <f>'[18]2. BM Database'!L512</f>
        <v>7466</v>
      </c>
      <c r="J693" s="18">
        <f>'[18]2. BM Database'!R512</f>
        <v>335</v>
      </c>
      <c r="K693" s="18">
        <f t="shared" ref="K693:K704" si="141">J693*L693</f>
        <v>82</v>
      </c>
      <c r="L693" s="19">
        <f>'[18]2. BM Database'!T512</f>
        <v>0.24477611940298508</v>
      </c>
      <c r="M693" s="9"/>
      <c r="N693" s="9"/>
    </row>
    <row r="694" spans="1:14">
      <c r="A694" s="15" t="str">
        <f>'[18]2. BM Database'!B513</f>
        <v>NIAGARA-ON-THE-LAKE HYDRO INC.</v>
      </c>
      <c r="B694" s="15">
        <v>3054</v>
      </c>
      <c r="C694" s="43">
        <f>'[18]2. BM Database'!C513</f>
        <v>2006</v>
      </c>
      <c r="D694" s="15">
        <v>3</v>
      </c>
      <c r="E694" s="17">
        <f>'[18]2. BM Database'!F513/1000</f>
        <v>1425.97129</v>
      </c>
      <c r="F694" s="41">
        <f t="shared" si="140"/>
        <v>1.0181607380073696</v>
      </c>
      <c r="G694" s="44">
        <f>'[18]2. BM Database'!P513/1000</f>
        <v>43.843000000000004</v>
      </c>
      <c r="H694" s="16">
        <f>MAX(G694,H693)</f>
        <v>43.843000000000004</v>
      </c>
      <c r="I694" s="18">
        <f>'[18]2. BM Database'!L513</f>
        <v>7703</v>
      </c>
      <c r="J694" s="18">
        <f>'[18]2. BM Database'!R513</f>
        <v>338</v>
      </c>
      <c r="K694" s="18">
        <f t="shared" si="141"/>
        <v>83</v>
      </c>
      <c r="L694" s="19">
        <f>'[18]2. BM Database'!T513</f>
        <v>0.2455621301775148</v>
      </c>
      <c r="M694" s="9"/>
      <c r="N694" s="9"/>
    </row>
    <row r="695" spans="1:14">
      <c r="A695" s="15" t="str">
        <f>'[18]2. BM Database'!B514</f>
        <v>NIAGARA-ON-THE-LAKE HYDRO INC.</v>
      </c>
      <c r="B695" s="15">
        <v>3054</v>
      </c>
      <c r="C695" s="43">
        <f>'[18]2. BM Database'!C514</f>
        <v>2007</v>
      </c>
      <c r="D695" s="15">
        <v>3</v>
      </c>
      <c r="E695" s="17">
        <f>'[18]2. BM Database'!F514/1000</f>
        <v>1674.7324999999998</v>
      </c>
      <c r="F695" s="41">
        <f t="shared" si="140"/>
        <v>1.0531931014872313</v>
      </c>
      <c r="G695" s="44">
        <f>'[18]2. BM Database'!P514/1000</f>
        <v>41.136000000000003</v>
      </c>
      <c r="H695" s="16">
        <f t="shared" ref="H695:H707" si="142">MAX(G695,H694)</f>
        <v>43.843000000000004</v>
      </c>
      <c r="I695" s="18">
        <f>'[18]2. BM Database'!L514</f>
        <v>7778</v>
      </c>
      <c r="J695" s="18">
        <f>'[18]2. BM Database'!R514</f>
        <v>337</v>
      </c>
      <c r="K695" s="18">
        <f t="shared" si="141"/>
        <v>90</v>
      </c>
      <c r="L695" s="19">
        <f>'[18]2. BM Database'!T514</f>
        <v>0.26706231454005935</v>
      </c>
      <c r="M695" s="9"/>
      <c r="N695" s="9"/>
    </row>
    <row r="696" spans="1:14">
      <c r="A696" s="15" t="str">
        <f>'[18]2. BM Database'!B515</f>
        <v>NIAGARA-ON-THE-LAKE HYDRO INC.</v>
      </c>
      <c r="B696" s="15">
        <v>3054</v>
      </c>
      <c r="C696" s="43">
        <f>'[18]2. BM Database'!C515</f>
        <v>2008</v>
      </c>
      <c r="D696" s="15">
        <v>3</v>
      </c>
      <c r="E696" s="17">
        <f>'[18]2. BM Database'!F515/1000</f>
        <v>1648.9266100000004</v>
      </c>
      <c r="F696" s="41">
        <f t="shared" si="140"/>
        <v>1.078564603993923</v>
      </c>
      <c r="G696" s="44">
        <f>'[18]2. BM Database'!P515/1000</f>
        <v>40.774999999999999</v>
      </c>
      <c r="H696" s="16">
        <f t="shared" si="142"/>
        <v>43.843000000000004</v>
      </c>
      <c r="I696" s="18">
        <f>'[18]2. BM Database'!L515</f>
        <v>7798</v>
      </c>
      <c r="J696" s="18">
        <f>'[18]2. BM Database'!R515</f>
        <v>337</v>
      </c>
      <c r="K696" s="18">
        <f t="shared" si="141"/>
        <v>90</v>
      </c>
      <c r="L696" s="19">
        <f>'[18]2. BM Database'!T515</f>
        <v>0.26706231454005935</v>
      </c>
      <c r="M696" s="9"/>
      <c r="N696" s="9"/>
    </row>
    <row r="697" spans="1:14">
      <c r="A697" s="15" t="str">
        <f>'[18]2. BM Database'!B516</f>
        <v>NIAGARA-ON-THE-LAKE HYDRO INC.</v>
      </c>
      <c r="B697" s="15">
        <v>3054</v>
      </c>
      <c r="C697" s="43">
        <f>'[18]2. BM Database'!C516</f>
        <v>2009</v>
      </c>
      <c r="D697" s="15">
        <v>3</v>
      </c>
      <c r="E697" s="17">
        <f>'[18]2. BM Database'!F516/1000</f>
        <v>1729.3636800000002</v>
      </c>
      <c r="F697" s="41">
        <f t="shared" si="140"/>
        <v>1.0915070880241431</v>
      </c>
      <c r="G697" s="44">
        <f>'[18]2. BM Database'!P516/1000</f>
        <v>40.256</v>
      </c>
      <c r="H697" s="16">
        <f t="shared" si="142"/>
        <v>43.843000000000004</v>
      </c>
      <c r="I697" s="18">
        <f>'[18]2. BM Database'!L516</f>
        <v>7858</v>
      </c>
      <c r="J697" s="18">
        <f>'[18]2. BM Database'!R516</f>
        <v>341</v>
      </c>
      <c r="K697" s="18">
        <f t="shared" si="141"/>
        <v>94.999999999999986</v>
      </c>
      <c r="L697" s="19">
        <f>'[18]2. BM Database'!T516</f>
        <v>0.27859237536656889</v>
      </c>
      <c r="M697" s="9"/>
      <c r="N697" s="9"/>
    </row>
    <row r="698" spans="1:14">
      <c r="A698" s="15" t="str">
        <f>'[18]2. BM Database'!B517</f>
        <v>NIAGARA-ON-THE-LAKE HYDRO INC.</v>
      </c>
      <c r="B698" s="15">
        <v>3054</v>
      </c>
      <c r="C698" s="43">
        <f>'[18]2. BM Database'!C517</f>
        <v>2010</v>
      </c>
      <c r="D698" s="15">
        <v>3</v>
      </c>
      <c r="E698" s="17">
        <f>'[18]2. BM Database'!F517/1000</f>
        <v>1685.1012700000001</v>
      </c>
      <c r="F698" s="41">
        <f t="shared" si="140"/>
        <v>1.1243125351578573</v>
      </c>
      <c r="G698" s="44">
        <f>'[18]2. BM Database'!P517/1000</f>
        <v>42.305999999999997</v>
      </c>
      <c r="H698" s="16">
        <f t="shared" si="142"/>
        <v>43.843000000000004</v>
      </c>
      <c r="I698" s="18">
        <f>'[18]2. BM Database'!L517</f>
        <v>7882</v>
      </c>
      <c r="J698" s="18">
        <f>'[18]2. BM Database'!R517</f>
        <v>342</v>
      </c>
      <c r="K698" s="18">
        <f t="shared" si="141"/>
        <v>101</v>
      </c>
      <c r="L698" s="19">
        <f>'[18]2. BM Database'!T517</f>
        <v>0.2953216374269006</v>
      </c>
      <c r="M698" s="9"/>
      <c r="N698" s="9"/>
    </row>
    <row r="699" spans="1:14">
      <c r="A699" s="15" t="str">
        <f>'[18]2. BM Database'!B518</f>
        <v>NIAGARA-ON-THE-LAKE HYDRO INC.</v>
      </c>
      <c r="B699" s="15">
        <v>3054</v>
      </c>
      <c r="C699" s="43">
        <f>'[18]2. BM Database'!C518</f>
        <v>2011</v>
      </c>
      <c r="D699" s="15">
        <v>3</v>
      </c>
      <c r="E699" s="17">
        <f>'[18]2. BM Database'!F518/1000</f>
        <v>1822.5543199999997</v>
      </c>
      <c r="F699" s="41">
        <f t="shared" si="140"/>
        <v>1.1430978626415853</v>
      </c>
      <c r="G699" s="44">
        <f>'[18]2. BM Database'!P518/1000</f>
        <v>45.651000000000003</v>
      </c>
      <c r="H699" s="16">
        <f t="shared" si="142"/>
        <v>45.651000000000003</v>
      </c>
      <c r="I699" s="18">
        <f>'[18]2. BM Database'!L518</f>
        <v>8000</v>
      </c>
      <c r="J699" s="18">
        <f>'[18]2. BM Database'!R518</f>
        <v>348</v>
      </c>
      <c r="K699" s="18">
        <f t="shared" si="141"/>
        <v>101.99999999999999</v>
      </c>
      <c r="L699" s="19">
        <f>'[18]2. BM Database'!T518</f>
        <v>0.29310344827586204</v>
      </c>
      <c r="M699" s="9"/>
      <c r="N699" s="9"/>
    </row>
    <row r="700" spans="1:14">
      <c r="A700" s="15" t="str">
        <f>'[18]2. BM Database'!B519</f>
        <v>NIAGARA-ON-THE-LAKE HYDRO INC.</v>
      </c>
      <c r="B700" s="15">
        <v>3054</v>
      </c>
      <c r="C700" s="43">
        <f>'[18]2. BM Database'!C519</f>
        <v>2012</v>
      </c>
      <c r="D700" s="15">
        <v>3</v>
      </c>
      <c r="E700" s="17">
        <f>'[18]2. BM Database'!F519/1000</f>
        <v>1956.395799502</v>
      </c>
      <c r="F700" s="41">
        <f t="shared" si="140"/>
        <v>1.160126854517312</v>
      </c>
      <c r="G700" s="44">
        <f>'[18]2. BM Database'!P519/1000</f>
        <v>44.481000000000002</v>
      </c>
      <c r="H700" s="16">
        <f t="shared" si="142"/>
        <v>45.651000000000003</v>
      </c>
      <c r="I700" s="18">
        <f>'[18]2. BM Database'!L519</f>
        <v>8187</v>
      </c>
      <c r="J700" s="18">
        <f>'[18]2. BM Database'!R519</f>
        <v>326</v>
      </c>
      <c r="K700" s="18">
        <f t="shared" si="141"/>
        <v>91</v>
      </c>
      <c r="L700" s="19">
        <f>'[18]2. BM Database'!T519</f>
        <v>0.27914110429447853</v>
      </c>
      <c r="M700" s="9"/>
      <c r="N700" s="9"/>
    </row>
    <row r="701" spans="1:14" s="15" customFormat="1">
      <c r="A701" s="15" t="s">
        <v>67</v>
      </c>
      <c r="B701" s="15">
        <v>3054</v>
      </c>
      <c r="C701" s="43">
        <v>2013</v>
      </c>
      <c r="D701" s="15">
        <v>3</v>
      </c>
      <c r="E701" s="17">
        <f>HLOOKUP(A701,'[19]2013 Benchmarking Calculations'!$I$3:$CC$76,6,FALSE)/1000</f>
        <v>2146.0111299999999</v>
      </c>
      <c r="F701" s="41">
        <f t="shared" si="140"/>
        <v>1.178602141578931</v>
      </c>
      <c r="G701" s="44">
        <f>HLOOKUP(A701,'[19]2013 Benchmarking Calculations'!$I$3:$CC$76,57,FALSE)/1000</f>
        <v>44.924999999999997</v>
      </c>
      <c r="H701" s="16">
        <f t="shared" si="142"/>
        <v>45.651000000000003</v>
      </c>
      <c r="I701" s="18">
        <f>HLOOKUP(A701,'[19]2013 Benchmarking Calculations'!$I$3:$CC$76,53,FALSE)</f>
        <v>8639</v>
      </c>
      <c r="J701" s="18">
        <f>HLOOKUP(A701,'[19]2013 Benchmarking Calculations'!$I$3:$CC$76,71,FALSE)</f>
        <v>326</v>
      </c>
      <c r="K701" s="18">
        <f t="shared" si="141"/>
        <v>91</v>
      </c>
      <c r="L701" s="19">
        <f>HLOOKUP(A701,'[19]2013 PBR data '!B$42:BV$68,15,FALSE)/HLOOKUP(A701,'[19]2013 PBR data '!B$42:BV$68,13,FALSE)</f>
        <v>0.27914110429447853</v>
      </c>
      <c r="M701" s="9"/>
      <c r="N701" s="9"/>
    </row>
    <row r="702" spans="1:14" s="15" customFormat="1">
      <c r="A702" s="15" t="s">
        <v>67</v>
      </c>
      <c r="B702" s="15">
        <v>3054</v>
      </c>
      <c r="C702" s="43">
        <v>2014</v>
      </c>
      <c r="D702" s="15">
        <v>3</v>
      </c>
      <c r="E702" s="17">
        <f>VLOOKUP(A702,[20]Result!$B$12:$D$84,2,FALSE)/10^3</f>
        <v>2069.9659999999999</v>
      </c>
      <c r="F702" s="41">
        <f t="shared" si="140"/>
        <v>1.2030671041042156</v>
      </c>
      <c r="G702" s="44">
        <f>VLOOKUP(A702,'[21]General transpose'!$A$1:$AF$73,26,FALSE)/10^3</f>
        <v>39.097999999999999</v>
      </c>
      <c r="H702" s="16">
        <f t="shared" si="142"/>
        <v>45.651000000000003</v>
      </c>
      <c r="I702" s="18">
        <f>VLOOKUP(A702,'[21]General transpose'!$A$1:$AF$73,8,FALSE)</f>
        <v>8672</v>
      </c>
      <c r="J702" s="18">
        <f>VLOOKUP(A702,'[21]General transpose'!$A$1:$AF$73,16,FALSE)</f>
        <v>326</v>
      </c>
      <c r="K702" s="18">
        <f t="shared" si="141"/>
        <v>91</v>
      </c>
      <c r="L702" s="19">
        <f>VLOOKUP(A702,'[21]General transpose'!$A$1:$AF$73,17,FALSE)</f>
        <v>0.27914110429447853</v>
      </c>
      <c r="M702" s="9"/>
      <c r="N702" s="9"/>
    </row>
    <row r="703" spans="1:14" s="15" customFormat="1">
      <c r="A703" s="15" t="s">
        <v>67</v>
      </c>
      <c r="B703" s="15">
        <v>3054</v>
      </c>
      <c r="C703" s="43">
        <v>2015</v>
      </c>
      <c r="D703" s="15">
        <v>3</v>
      </c>
      <c r="E703" s="17">
        <f>VLOOKUP(A702,[20]Result!$B$12:$D$84,3,FALSE)/10^3</f>
        <v>2227.069</v>
      </c>
      <c r="F703" s="41">
        <f t="shared" si="140"/>
        <v>1.2312762402864634</v>
      </c>
      <c r="G703" s="44">
        <f>VLOOKUP(A702,'[22]General transpose'!$A$1:$AF$73,26,FALSE)/10^3</f>
        <v>42.709000000000003</v>
      </c>
      <c r="H703" s="16">
        <f t="shared" si="142"/>
        <v>45.651000000000003</v>
      </c>
      <c r="I703" s="18">
        <f>VLOOKUP(A702,'[22]General transpose'!$A$1:$AF$73,8,FALSE)</f>
        <v>9008</v>
      </c>
      <c r="J703" s="18">
        <f>VLOOKUP(A702,'[22]General transpose'!$A$1:$AF$73,16,FALSE)</f>
        <v>333</v>
      </c>
      <c r="K703" s="18">
        <f t="shared" si="141"/>
        <v>97.999999999999986</v>
      </c>
      <c r="L703" s="19">
        <f>VLOOKUP(A702,'[22]General transpose'!$A$1:$AF$73,17,FALSE)</f>
        <v>0.29429429429429427</v>
      </c>
      <c r="M703" s="9"/>
      <c r="N703" s="9"/>
    </row>
    <row r="704" spans="1:14" s="15" customFormat="1">
      <c r="A704" s="15" t="s">
        <v>67</v>
      </c>
      <c r="B704" s="15">
        <v>3054</v>
      </c>
      <c r="C704" s="43">
        <v>2016</v>
      </c>
      <c r="D704" s="15">
        <v>3</v>
      </c>
      <c r="E704" s="17">
        <f>'[14]2016 Benchmarking Calculations'!$BA$8/1000</f>
        <v>2393.3709800000001</v>
      </c>
      <c r="F704" s="41">
        <f t="shared" si="140"/>
        <v>1.2455044937824149</v>
      </c>
      <c r="G704" s="44">
        <f>HLOOKUP(A704,[23]General!$A$1:$BQ$23,22,FALSE)/10^3</f>
        <v>45.91</v>
      </c>
      <c r="H704" s="16">
        <f t="shared" si="142"/>
        <v>45.91</v>
      </c>
      <c r="I704" s="18">
        <f>HLOOKUP(A704,[23]General!$A$1:$BQ$23,9,FALSE)</f>
        <v>9234</v>
      </c>
      <c r="J704" s="18">
        <f>HLOOKUP(A704,[23]General!$A$1:$BQ$23,17,FALSE)</f>
        <v>333</v>
      </c>
      <c r="K704" s="18">
        <f t="shared" si="141"/>
        <v>97.999999999999986</v>
      </c>
      <c r="L704" s="19">
        <f>HLOOKUP(A704,[23]General!$A$1:$BQ$23,18,FALSE)</f>
        <v>0.29429429429429427</v>
      </c>
      <c r="M704" s="9"/>
      <c r="N704" s="9"/>
    </row>
    <row r="705" spans="1:14" s="15" customFormat="1">
      <c r="A705" s="15" t="s">
        <v>67</v>
      </c>
      <c r="B705" s="15">
        <v>3054</v>
      </c>
      <c r="C705" s="43">
        <v>2017</v>
      </c>
      <c r="D705" s="15">
        <v>3</v>
      </c>
      <c r="E705" s="17">
        <f>'[14]2017 Benchmarking Calculations'!$BC$9/1000</f>
        <v>2530.46423</v>
      </c>
      <c r="F705" s="41">
        <f t="shared" si="140"/>
        <v>1.2674505553724562</v>
      </c>
      <c r="G705" s="44">
        <f>'[14]2017 Benchmarking Calculations'!$BC$60/1000</f>
        <v>39.67</v>
      </c>
      <c r="H705" s="16">
        <f t="shared" si="142"/>
        <v>45.91</v>
      </c>
      <c r="I705" s="18">
        <f>'[14]2017 Benchmarking Calculations'!$BC$56</f>
        <v>9377</v>
      </c>
      <c r="J705" s="18">
        <f>'[14]2017 Utility Characteristics'!$AT$79</f>
        <v>333</v>
      </c>
      <c r="K705" s="18">
        <f>'[14]2017 Utility Characteristics'!$AT$81</f>
        <v>98</v>
      </c>
      <c r="L705" s="19">
        <f>K705/J705</f>
        <v>0.29429429429429427</v>
      </c>
      <c r="M705" s="9"/>
      <c r="N705" s="9"/>
    </row>
    <row r="706" spans="1:14" s="15" customFormat="1">
      <c r="A706" s="15" t="s">
        <v>67</v>
      </c>
      <c r="B706" s="15">
        <v>3054</v>
      </c>
      <c r="C706" s="43">
        <v>2018</v>
      </c>
      <c r="D706" s="15">
        <v>3</v>
      </c>
      <c r="E706" s="17">
        <f>'[16]2018 Benchmarking Calculations'!$BC$10/1000</f>
        <v>2850.8133499999999</v>
      </c>
      <c r="F706" s="41">
        <f t="shared" si="140"/>
        <v>1.2994718602728874</v>
      </c>
      <c r="G706" s="44">
        <f>'[16]2018 Benchmarking Calculations'!$BC$61/1000</f>
        <v>52.067</v>
      </c>
      <c r="H706" s="16">
        <f t="shared" si="142"/>
        <v>52.067</v>
      </c>
      <c r="I706" s="18">
        <f>'[16]2018 Benchmarking Calculations'!$BC$57</f>
        <v>9461</v>
      </c>
      <c r="J706" s="18">
        <f>'[16]2018 Utility Characteristics'!$AW$103</f>
        <v>368</v>
      </c>
      <c r="K706" s="18">
        <f>'[16]2018 Utility Characteristics'!$AW$105</f>
        <v>132</v>
      </c>
      <c r="L706" s="19">
        <f>K706/J706</f>
        <v>0.35869565217391303</v>
      </c>
      <c r="M706" s="9"/>
      <c r="N706" s="9"/>
    </row>
    <row r="707" spans="1:14" s="15" customFormat="1">
      <c r="A707" s="15" t="s">
        <v>67</v>
      </c>
      <c r="B707" s="15">
        <v>3054</v>
      </c>
      <c r="C707" s="43">
        <v>2019</v>
      </c>
      <c r="D707" s="15">
        <v>3</v>
      </c>
      <c r="E707" s="17">
        <f>'[17]2019 Benchmarking Calculations'!$BC$10/1000</f>
        <v>2774.7195299999998</v>
      </c>
      <c r="F707" s="41">
        <f t="shared" si="140"/>
        <v>1.3352608354138498</v>
      </c>
      <c r="G707" s="44">
        <f>'[17]2019 Benchmarking Calculations'!$BC$61/1000</f>
        <v>49.55</v>
      </c>
      <c r="H707" s="16">
        <f t="shared" si="142"/>
        <v>52.067</v>
      </c>
      <c r="I707" s="18">
        <f>'[17]2019 Benchmarking Calculations'!$BC$57</f>
        <v>9558</v>
      </c>
      <c r="J707" s="18">
        <f>'[17]2019 Utility Characteristics'!$AW$13</f>
        <v>368</v>
      </c>
      <c r="K707" s="18">
        <f>'[17]2019 Utility Characteristics'!$AW$18</f>
        <v>132</v>
      </c>
      <c r="L707" s="19">
        <f>K707/J707</f>
        <v>0.35869565217391303</v>
      </c>
      <c r="M707" s="9"/>
      <c r="N707" s="9"/>
    </row>
    <row r="708" spans="1:14" s="15" customFormat="1">
      <c r="A708" s="15" t="s">
        <v>323</v>
      </c>
      <c r="B708" s="15">
        <v>3038</v>
      </c>
      <c r="C708" s="43">
        <v>2005</v>
      </c>
      <c r="D708" s="15">
        <v>3</v>
      </c>
      <c r="E708" s="17">
        <f>'[14]2. BM Database'!$F524/1000</f>
        <v>3651.1250299999997</v>
      </c>
      <c r="F708" s="41">
        <f t="shared" ref="F708:F722" si="143">F693</f>
        <v>1</v>
      </c>
      <c r="G708" s="44">
        <f>'[14]2. BM Database'!$P524/1000</f>
        <v>73.575000000000003</v>
      </c>
      <c r="H708" s="16">
        <f>G708</f>
        <v>73.575000000000003</v>
      </c>
      <c r="I708" s="18">
        <f>'[14]2. BM Database'!$L524</f>
        <v>18171</v>
      </c>
      <c r="J708" s="18">
        <f>'[14]2. BM Database'!$R524</f>
        <v>771</v>
      </c>
      <c r="K708" s="18">
        <f t="shared" ref="K708:K715" si="144">J708*L708</f>
        <v>78</v>
      </c>
      <c r="L708" s="19">
        <f>'[14]2. BM Database'!$T524</f>
        <v>0.10116731517509728</v>
      </c>
      <c r="M708" s="9"/>
      <c r="N708" s="9"/>
    </row>
    <row r="709" spans="1:14" s="15" customFormat="1">
      <c r="A709" s="15" t="s">
        <v>323</v>
      </c>
      <c r="B709" s="15">
        <v>3038</v>
      </c>
      <c r="C709" s="43">
        <v>2006</v>
      </c>
      <c r="D709" s="15">
        <v>3</v>
      </c>
      <c r="E709" s="17">
        <f>'[14]2. BM Database'!$F525/1000</f>
        <v>3957.08772</v>
      </c>
      <c r="F709" s="41">
        <f t="shared" si="143"/>
        <v>1.0181607380073696</v>
      </c>
      <c r="G709" s="44">
        <f>'[14]2. BM Database'!$P525/1000</f>
        <v>75.688999999999993</v>
      </c>
      <c r="H709" s="16">
        <f>MAX(G709,H708)</f>
        <v>75.688999999999993</v>
      </c>
      <c r="I709" s="18">
        <f>'[14]2. BM Database'!$L525</f>
        <v>18384</v>
      </c>
      <c r="J709" s="18">
        <f>'[14]2. BM Database'!$R525</f>
        <v>653</v>
      </c>
      <c r="K709" s="18">
        <f t="shared" si="144"/>
        <v>80</v>
      </c>
      <c r="L709" s="19">
        <f>'[14]2. BM Database'!$T525</f>
        <v>0.1225114854517611</v>
      </c>
      <c r="M709" s="9"/>
      <c r="N709" s="9"/>
    </row>
    <row r="710" spans="1:14" s="15" customFormat="1">
      <c r="A710" s="15" t="s">
        <v>323</v>
      </c>
      <c r="B710" s="15">
        <v>3038</v>
      </c>
      <c r="C710" s="43">
        <v>2007</v>
      </c>
      <c r="D710" s="15">
        <v>3</v>
      </c>
      <c r="E710" s="17">
        <f>'[14]2. BM Database'!$F526/1000</f>
        <v>4733.8966</v>
      </c>
      <c r="F710" s="41">
        <f t="shared" si="143"/>
        <v>1.0531931014872313</v>
      </c>
      <c r="G710" s="44">
        <f>'[14]2. BM Database'!$P526/1000</f>
        <v>77.718000000000004</v>
      </c>
      <c r="H710" s="16">
        <f t="shared" ref="H710:H717" si="145">MAX(G710,H709)</f>
        <v>77.718000000000004</v>
      </c>
      <c r="I710" s="18">
        <f>'[14]2. BM Database'!$L526</f>
        <v>18641</v>
      </c>
      <c r="J710" s="18">
        <f>'[14]2. BM Database'!$R526</f>
        <v>655</v>
      </c>
      <c r="K710" s="18">
        <f t="shared" si="144"/>
        <v>82</v>
      </c>
      <c r="L710" s="19">
        <f>'[14]2. BM Database'!$T526</f>
        <v>0.1251908396946565</v>
      </c>
      <c r="M710" s="9"/>
      <c r="N710" s="9"/>
    </row>
    <row r="711" spans="1:14" s="15" customFormat="1">
      <c r="A711" s="15" t="s">
        <v>323</v>
      </c>
      <c r="B711" s="15">
        <v>3038</v>
      </c>
      <c r="C711" s="43">
        <v>2008</v>
      </c>
      <c r="D711" s="15">
        <v>3</v>
      </c>
      <c r="E711" s="17">
        <f>'[14]2. BM Database'!$F527/1000</f>
        <v>5327.4266499999985</v>
      </c>
      <c r="F711" s="41">
        <f t="shared" si="143"/>
        <v>1.078564603993923</v>
      </c>
      <c r="G711" s="44">
        <f>'[14]2. BM Database'!$P527/1000</f>
        <v>75.381</v>
      </c>
      <c r="H711" s="16">
        <f t="shared" si="145"/>
        <v>77.718000000000004</v>
      </c>
      <c r="I711" s="18">
        <f>'[14]2. BM Database'!$L527</f>
        <v>18806</v>
      </c>
      <c r="J711" s="18">
        <f>'[14]2. BM Database'!$R527</f>
        <v>691</v>
      </c>
      <c r="K711" s="18">
        <f t="shared" si="144"/>
        <v>84</v>
      </c>
      <c r="L711" s="19">
        <f>'[14]2. BM Database'!$T527</f>
        <v>0.12156295224312591</v>
      </c>
      <c r="M711" s="9"/>
      <c r="N711" s="9"/>
    </row>
    <row r="712" spans="1:14" s="15" customFormat="1">
      <c r="A712" s="15" t="s">
        <v>323</v>
      </c>
      <c r="B712" s="15">
        <v>3038</v>
      </c>
      <c r="C712" s="43">
        <v>2009</v>
      </c>
      <c r="D712" s="15">
        <v>3</v>
      </c>
      <c r="E712" s="17">
        <f>'[14]2. BM Database'!$F528/1000</f>
        <v>4369.6723400000001</v>
      </c>
      <c r="F712" s="41">
        <f t="shared" si="143"/>
        <v>1.0915070880241431</v>
      </c>
      <c r="G712" s="44">
        <f>'[14]2. BM Database'!$P528/1000</f>
        <v>92.162000000000006</v>
      </c>
      <c r="H712" s="16">
        <f t="shared" si="145"/>
        <v>92.162000000000006</v>
      </c>
      <c r="I712" s="18">
        <f>'[14]2. BM Database'!$L528</f>
        <v>18893</v>
      </c>
      <c r="J712" s="18">
        <f>'[14]2. BM Database'!$R528</f>
        <v>765</v>
      </c>
      <c r="K712" s="18">
        <f t="shared" si="144"/>
        <v>108</v>
      </c>
      <c r="L712" s="19">
        <f>'[14]2. BM Database'!$T528</f>
        <v>0.14117647058823529</v>
      </c>
      <c r="M712" s="9"/>
      <c r="N712" s="9"/>
    </row>
    <row r="713" spans="1:14" s="15" customFormat="1">
      <c r="A713" s="15" t="s">
        <v>323</v>
      </c>
      <c r="B713" s="15">
        <v>3038</v>
      </c>
      <c r="C713" s="43">
        <v>2010</v>
      </c>
      <c r="D713" s="15">
        <v>3</v>
      </c>
      <c r="E713" s="17">
        <f>'[14]2. BM Database'!$F529/1000</f>
        <v>4649.6524900000004</v>
      </c>
      <c r="F713" s="41">
        <f t="shared" si="143"/>
        <v>1.1243125351578573</v>
      </c>
      <c r="G713" s="44">
        <f>'[14]2. BM Database'!$P529/1000</f>
        <v>87.941000000000003</v>
      </c>
      <c r="H713" s="16">
        <f t="shared" si="145"/>
        <v>92.162000000000006</v>
      </c>
      <c r="I713" s="18">
        <f>'[14]2. BM Database'!$L529</f>
        <v>18940</v>
      </c>
      <c r="J713" s="18">
        <f>'[14]2. BM Database'!$R529</f>
        <v>768</v>
      </c>
      <c r="K713" s="18">
        <f t="shared" si="144"/>
        <v>108</v>
      </c>
      <c r="L713" s="19">
        <f>'[14]2. BM Database'!$T529</f>
        <v>0.140625</v>
      </c>
      <c r="M713" s="9"/>
      <c r="N713" s="9"/>
    </row>
    <row r="714" spans="1:14" s="15" customFormat="1">
      <c r="A714" s="15" t="s">
        <v>323</v>
      </c>
      <c r="B714" s="15">
        <v>3038</v>
      </c>
      <c r="C714" s="43">
        <v>2011</v>
      </c>
      <c r="D714" s="15">
        <v>3</v>
      </c>
      <c r="E714" s="17">
        <f>'[14]2. BM Database'!$F530/1000</f>
        <v>4646.7851900000005</v>
      </c>
      <c r="F714" s="41">
        <f t="shared" si="143"/>
        <v>1.1430978626415853</v>
      </c>
      <c r="G714" s="44">
        <f>'[14]2. BM Database'!$P530/1000</f>
        <v>80.766000000000005</v>
      </c>
      <c r="H714" s="16">
        <f t="shared" si="145"/>
        <v>92.162000000000006</v>
      </c>
      <c r="I714" s="18">
        <f>'[14]2. BM Database'!$L530</f>
        <v>19032</v>
      </c>
      <c r="J714" s="18">
        <f>'[14]2. BM Database'!$R530</f>
        <v>770</v>
      </c>
      <c r="K714" s="18">
        <f t="shared" si="144"/>
        <v>114</v>
      </c>
      <c r="L714" s="19">
        <f>'[14]2. BM Database'!$T530</f>
        <v>0.14805194805194805</v>
      </c>
      <c r="M714" s="9"/>
      <c r="N714" s="9"/>
    </row>
    <row r="715" spans="1:14" s="15" customFormat="1">
      <c r="A715" s="15" t="s">
        <v>323</v>
      </c>
      <c r="B715" s="15">
        <v>3038</v>
      </c>
      <c r="C715" s="43">
        <v>2012</v>
      </c>
      <c r="D715" s="15">
        <v>3</v>
      </c>
      <c r="E715" s="17">
        <f>'[14]2. BM Database'!$F531/1000</f>
        <v>5957.9760117999995</v>
      </c>
      <c r="F715" s="41">
        <f t="shared" si="143"/>
        <v>1.160126854517312</v>
      </c>
      <c r="G715" s="44">
        <f>'[14]2. BM Database'!$P531/1000</f>
        <v>86.337999999999994</v>
      </c>
      <c r="H715" s="16">
        <f t="shared" si="145"/>
        <v>92.162000000000006</v>
      </c>
      <c r="I715" s="18">
        <f>'[14]2. BM Database'!$L531</f>
        <v>19075</v>
      </c>
      <c r="J715" s="18">
        <f>'[14]2. BM Database'!$R531</f>
        <v>779</v>
      </c>
      <c r="K715" s="18">
        <f t="shared" si="144"/>
        <v>116</v>
      </c>
      <c r="L715" s="19">
        <f>'[14]2. BM Database'!$T531</f>
        <v>0.14890885750962773</v>
      </c>
      <c r="M715" s="9"/>
      <c r="N715" s="9"/>
    </row>
    <row r="716" spans="1:14" s="15" customFormat="1">
      <c r="A716" s="15" t="s">
        <v>323</v>
      </c>
      <c r="B716" s="15">
        <v>3038</v>
      </c>
      <c r="C716" s="43">
        <v>2013</v>
      </c>
      <c r="D716" s="15">
        <v>3</v>
      </c>
      <c r="E716" s="17">
        <f>'[14]2013 Benchmarking Calculations'!$BB$8/1000</f>
        <v>5932.6963700000015</v>
      </c>
      <c r="F716" s="41">
        <f t="shared" si="143"/>
        <v>1.178602141578931</v>
      </c>
      <c r="G716" s="44">
        <f>'[14]2013 Benchmarking Calculations'!$BB$59/1000</f>
        <v>77.138000000000005</v>
      </c>
      <c r="H716" s="16">
        <f t="shared" si="145"/>
        <v>92.162000000000006</v>
      </c>
      <c r="I716" s="18">
        <f>'[14]2013 Benchmarking Calculations'!$BB$55</f>
        <v>19342</v>
      </c>
      <c r="J716" s="18">
        <f>'[14]2013 Benchmarking Calculations'!$BB$73</f>
        <v>788</v>
      </c>
      <c r="K716" s="15">
        <f>[24]General!$AU$15</f>
        <v>126</v>
      </c>
      <c r="L716" s="19">
        <f>K716/J716</f>
        <v>0.15989847715736041</v>
      </c>
      <c r="M716" s="9"/>
      <c r="N716" s="9"/>
    </row>
    <row r="717" spans="1:14" s="15" customFormat="1">
      <c r="A717" s="15" t="s">
        <v>323</v>
      </c>
      <c r="B717" s="15">
        <v>3038</v>
      </c>
      <c r="C717" s="43">
        <v>2014</v>
      </c>
      <c r="D717" s="15">
        <v>3</v>
      </c>
      <c r="E717" s="17">
        <f>'[14]2014 Benchmarking Calculations'!$BB$8/1000</f>
        <v>7140.8042100000011</v>
      </c>
      <c r="F717" s="41">
        <f t="shared" si="143"/>
        <v>1.2030671041042156</v>
      </c>
      <c r="G717" s="44">
        <f>'[14]2014 Benchmarking Calculations'!$BB$59/1000</f>
        <v>68.652000000000001</v>
      </c>
      <c r="H717" s="16">
        <f t="shared" si="145"/>
        <v>92.162000000000006</v>
      </c>
      <c r="I717" s="18">
        <f>'[14]2014 Benchmarking Calculations'!$BB$55</f>
        <v>19564</v>
      </c>
      <c r="J717" s="18">
        <f>'[14]2014 Benchmarking Calculations'!$BB$73</f>
        <v>793</v>
      </c>
      <c r="K717" s="15">
        <f>'[14]2014 PBR Data'!$AU$44</f>
        <v>130</v>
      </c>
      <c r="L717" s="19">
        <f>K717/J717</f>
        <v>0.16393442622950818</v>
      </c>
      <c r="M717" s="9"/>
      <c r="N717" s="9"/>
    </row>
    <row r="718" spans="1:14" s="15" customFormat="1">
      <c r="A718" s="15" t="s">
        <v>323</v>
      </c>
      <c r="B718" s="15">
        <v>3038</v>
      </c>
      <c r="C718" s="43">
        <v>2015</v>
      </c>
      <c r="D718" s="15">
        <v>3</v>
      </c>
      <c r="E718" s="17"/>
      <c r="F718" s="41">
        <f t="shared" si="143"/>
        <v>1.2312762402864634</v>
      </c>
      <c r="G718" s="44"/>
      <c r="H718" s="16"/>
      <c r="I718" s="18"/>
      <c r="J718" s="18"/>
      <c r="L718" s="19"/>
      <c r="M718" s="9"/>
      <c r="N718" s="9"/>
    </row>
    <row r="719" spans="1:14" s="15" customFormat="1">
      <c r="A719" s="15" t="s">
        <v>323</v>
      </c>
      <c r="B719" s="15">
        <v>3038</v>
      </c>
      <c r="C719" s="43">
        <v>2016</v>
      </c>
      <c r="D719" s="15">
        <v>3</v>
      </c>
      <c r="E719" s="17"/>
      <c r="F719" s="41">
        <f t="shared" si="143"/>
        <v>1.2455044937824149</v>
      </c>
      <c r="G719" s="44"/>
      <c r="H719" s="16"/>
      <c r="I719" s="18"/>
      <c r="J719" s="18"/>
      <c r="L719" s="19"/>
      <c r="M719" s="9"/>
      <c r="N719" s="9"/>
    </row>
    <row r="720" spans="1:14" s="15" customFormat="1">
      <c r="A720" s="15" t="s">
        <v>323</v>
      </c>
      <c r="B720" s="15">
        <v>3038</v>
      </c>
      <c r="C720" s="43">
        <v>2017</v>
      </c>
      <c r="D720" s="15">
        <v>3</v>
      </c>
      <c r="E720" s="17"/>
      <c r="F720" s="41">
        <f t="shared" si="143"/>
        <v>1.2674505553724562</v>
      </c>
      <c r="G720" s="44"/>
      <c r="H720" s="16"/>
      <c r="I720" s="18"/>
      <c r="J720" s="18"/>
      <c r="L720" s="19"/>
      <c r="M720" s="9"/>
      <c r="N720" s="9"/>
    </row>
    <row r="721" spans="1:14" s="15" customFormat="1">
      <c r="A721" s="15" t="s">
        <v>323</v>
      </c>
      <c r="B721" s="15">
        <v>3038</v>
      </c>
      <c r="C721" s="43">
        <v>2018</v>
      </c>
      <c r="D721" s="15">
        <v>3</v>
      </c>
      <c r="E721" s="17"/>
      <c r="F721" s="41">
        <f t="shared" si="143"/>
        <v>1.2994718602728874</v>
      </c>
      <c r="G721" s="44"/>
      <c r="H721" s="16"/>
      <c r="I721" s="18"/>
      <c r="J721" s="18"/>
      <c r="L721" s="19"/>
      <c r="M721" s="9"/>
      <c r="N721" s="9"/>
    </row>
    <row r="722" spans="1:14" s="15" customFormat="1">
      <c r="A722" s="15" t="s">
        <v>323</v>
      </c>
      <c r="B722" s="15">
        <v>3038</v>
      </c>
      <c r="C722" s="43">
        <v>2019</v>
      </c>
      <c r="D722" s="15">
        <v>3</v>
      </c>
      <c r="E722" s="17"/>
      <c r="F722" s="41">
        <f t="shared" si="143"/>
        <v>1.3352608354138498</v>
      </c>
      <c r="G722" s="44"/>
      <c r="H722" s="16"/>
      <c r="I722" s="18"/>
      <c r="J722" s="18"/>
      <c r="L722" s="19"/>
      <c r="M722" s="9"/>
      <c r="N722" s="9"/>
    </row>
    <row r="723" spans="1:14">
      <c r="A723" s="15" t="str">
        <f>'[18]2. BM Database'!B534</f>
        <v>NORTH BAY HYDRO DISTRIBUTION LIMITED</v>
      </c>
      <c r="B723" s="15">
        <v>3032</v>
      </c>
      <c r="C723" s="43">
        <f>'[18]2. BM Database'!C534</f>
        <v>2005</v>
      </c>
      <c r="D723" s="15">
        <v>3</v>
      </c>
      <c r="E723" s="17">
        <f>'[18]2. BM Database'!F534/1000</f>
        <v>4461.8019999999997</v>
      </c>
      <c r="F723" s="41">
        <f t="shared" ref="F723:F737" si="146">F708</f>
        <v>1</v>
      </c>
      <c r="G723" s="44">
        <f>'[18]2. BM Database'!P534/1000</f>
        <v>119</v>
      </c>
      <c r="H723" s="16">
        <f>G723</f>
        <v>119</v>
      </c>
      <c r="I723" s="18">
        <f>'[18]2. BM Database'!L534</f>
        <v>23405</v>
      </c>
      <c r="J723" s="18">
        <f>'[18]2. BM Database'!R534</f>
        <v>558</v>
      </c>
      <c r="K723" s="18">
        <f t="shared" ref="K723:K734" si="147">J723*L723</f>
        <v>90</v>
      </c>
      <c r="L723" s="19">
        <f>'[18]2. BM Database'!T534</f>
        <v>0.16129032258064516</v>
      </c>
      <c r="M723" s="9"/>
      <c r="N723" s="9"/>
    </row>
    <row r="724" spans="1:14">
      <c r="A724" s="15" t="str">
        <f>'[18]2. BM Database'!B535</f>
        <v>NORTH BAY HYDRO DISTRIBUTION LIMITED</v>
      </c>
      <c r="B724" s="15">
        <v>3032</v>
      </c>
      <c r="C724" s="43">
        <f>'[18]2. BM Database'!C535</f>
        <v>2006</v>
      </c>
      <c r="D724" s="15">
        <v>3</v>
      </c>
      <c r="E724" s="17">
        <f>'[18]2. BM Database'!F535/1000</f>
        <v>5475.7005600000011</v>
      </c>
      <c r="F724" s="41">
        <f t="shared" si="146"/>
        <v>1.0181607380073696</v>
      </c>
      <c r="G724" s="44">
        <f>'[18]2. BM Database'!P535/1000</f>
        <v>107.416</v>
      </c>
      <c r="H724" s="16">
        <f>MAX(G724,H723)</f>
        <v>119</v>
      </c>
      <c r="I724" s="18">
        <f>'[18]2. BM Database'!L535</f>
        <v>23493</v>
      </c>
      <c r="J724" s="18">
        <f>'[18]2. BM Database'!R535</f>
        <v>600</v>
      </c>
      <c r="K724" s="18">
        <f t="shared" si="147"/>
        <v>91</v>
      </c>
      <c r="L724" s="19">
        <f>'[18]2. BM Database'!T535</f>
        <v>0.15166666666666667</v>
      </c>
      <c r="M724" s="9"/>
      <c r="N724" s="9"/>
    </row>
    <row r="725" spans="1:14">
      <c r="A725" s="15" t="str">
        <f>'[18]2. BM Database'!B536</f>
        <v>NORTH BAY HYDRO DISTRIBUTION LIMITED</v>
      </c>
      <c r="B725" s="15">
        <v>3032</v>
      </c>
      <c r="C725" s="43">
        <f>'[18]2. BM Database'!C536</f>
        <v>2007</v>
      </c>
      <c r="D725" s="15">
        <v>3</v>
      </c>
      <c r="E725" s="17">
        <f>'[18]2. BM Database'!F536/1000</f>
        <v>4889.3805499999999</v>
      </c>
      <c r="F725" s="41">
        <f t="shared" si="146"/>
        <v>1.0531931014872313</v>
      </c>
      <c r="G725" s="44">
        <f>'[18]2. BM Database'!P536/1000</f>
        <v>113.51900000000001</v>
      </c>
      <c r="H725" s="16">
        <f t="shared" ref="H725:H737" si="148">MAX(G725,H724)</f>
        <v>119</v>
      </c>
      <c r="I725" s="18">
        <f>'[18]2. BM Database'!L536</f>
        <v>23642</v>
      </c>
      <c r="J725" s="18">
        <f>'[18]2. BM Database'!R536</f>
        <v>608</v>
      </c>
      <c r="K725" s="18">
        <f t="shared" si="147"/>
        <v>95</v>
      </c>
      <c r="L725" s="19">
        <f>'[18]2. BM Database'!T536</f>
        <v>0.15625</v>
      </c>
      <c r="M725" s="9"/>
      <c r="N725" s="9"/>
    </row>
    <row r="726" spans="1:14">
      <c r="A726" s="15" t="str">
        <f>'[18]2. BM Database'!B537</f>
        <v>NORTH BAY HYDRO DISTRIBUTION LIMITED</v>
      </c>
      <c r="B726" s="15">
        <v>3032</v>
      </c>
      <c r="C726" s="43">
        <f>'[18]2. BM Database'!C537</f>
        <v>2008</v>
      </c>
      <c r="D726" s="15">
        <v>3</v>
      </c>
      <c r="E726" s="17">
        <f>'[18]2. BM Database'!F537/1000</f>
        <v>4844.8700400000007</v>
      </c>
      <c r="F726" s="41">
        <f t="shared" si="146"/>
        <v>1.078564603993923</v>
      </c>
      <c r="G726" s="44">
        <f>'[18]2. BM Database'!P537/1000</f>
        <v>108.73099999999999</v>
      </c>
      <c r="H726" s="16">
        <f t="shared" si="148"/>
        <v>119</v>
      </c>
      <c r="I726" s="18">
        <f>'[18]2. BM Database'!L537</f>
        <v>23669</v>
      </c>
      <c r="J726" s="18">
        <f>'[18]2. BM Database'!R537</f>
        <v>612</v>
      </c>
      <c r="K726" s="18">
        <f t="shared" si="147"/>
        <v>96</v>
      </c>
      <c r="L726" s="19">
        <f>'[18]2. BM Database'!T537</f>
        <v>0.15686274509803921</v>
      </c>
      <c r="M726" s="9"/>
      <c r="N726" s="9"/>
    </row>
    <row r="727" spans="1:14">
      <c r="A727" s="15" t="str">
        <f>'[18]2. BM Database'!B538</f>
        <v>NORTH BAY HYDRO DISTRIBUTION LIMITED</v>
      </c>
      <c r="B727" s="15">
        <v>3032</v>
      </c>
      <c r="C727" s="43">
        <f>'[18]2. BM Database'!C538</f>
        <v>2009</v>
      </c>
      <c r="D727" s="15">
        <v>3</v>
      </c>
      <c r="E727" s="17">
        <f>'[18]2. BM Database'!F538/1000</f>
        <v>4616.4634900000001</v>
      </c>
      <c r="F727" s="41">
        <f t="shared" si="146"/>
        <v>1.0915070880241431</v>
      </c>
      <c r="G727" s="44">
        <f>'[18]2. BM Database'!P538/1000</f>
        <v>119.797</v>
      </c>
      <c r="H727" s="16">
        <f t="shared" si="148"/>
        <v>119.797</v>
      </c>
      <c r="I727" s="18">
        <f>'[18]2. BM Database'!L538</f>
        <v>23755</v>
      </c>
      <c r="J727" s="18">
        <f>'[18]2. BM Database'!R538</f>
        <v>616</v>
      </c>
      <c r="K727" s="18">
        <f t="shared" si="147"/>
        <v>99.000000000000014</v>
      </c>
      <c r="L727" s="19">
        <f>'[18]2. BM Database'!T538</f>
        <v>0.16071428571428573</v>
      </c>
      <c r="M727" s="9"/>
      <c r="N727" s="9"/>
    </row>
    <row r="728" spans="1:14">
      <c r="A728" s="15" t="str">
        <f>'[18]2. BM Database'!B539</f>
        <v>NORTH BAY HYDRO DISTRIBUTION LIMITED</v>
      </c>
      <c r="B728" s="15">
        <v>3032</v>
      </c>
      <c r="C728" s="43">
        <f>'[18]2. BM Database'!C539</f>
        <v>2010</v>
      </c>
      <c r="D728" s="15">
        <v>3</v>
      </c>
      <c r="E728" s="17">
        <f>'[18]2. BM Database'!F539/1000</f>
        <v>4809.9990699999989</v>
      </c>
      <c r="F728" s="41">
        <f t="shared" si="146"/>
        <v>1.1243125351578573</v>
      </c>
      <c r="G728" s="44">
        <f>'[18]2. BM Database'!P539/1000</f>
        <v>109.866</v>
      </c>
      <c r="H728" s="16">
        <f t="shared" si="148"/>
        <v>119.797</v>
      </c>
      <c r="I728" s="18">
        <f>'[18]2. BM Database'!L539</f>
        <v>23754</v>
      </c>
      <c r="J728" s="18">
        <f>'[18]2. BM Database'!R539</f>
        <v>611</v>
      </c>
      <c r="K728" s="18">
        <f t="shared" si="147"/>
        <v>97</v>
      </c>
      <c r="L728" s="19">
        <f>'[18]2. BM Database'!T539</f>
        <v>0.15875613747954173</v>
      </c>
      <c r="M728" s="9"/>
      <c r="N728" s="9"/>
    </row>
    <row r="729" spans="1:14">
      <c r="A729" s="15" t="str">
        <f>'[18]2. BM Database'!B540</f>
        <v>NORTH BAY HYDRO DISTRIBUTION LIMITED</v>
      </c>
      <c r="B729" s="15">
        <v>3032</v>
      </c>
      <c r="C729" s="43">
        <f>'[18]2. BM Database'!C540</f>
        <v>2011</v>
      </c>
      <c r="D729" s="15">
        <v>3</v>
      </c>
      <c r="E729" s="17">
        <f>'[18]2. BM Database'!F540/1000</f>
        <v>4996.95309</v>
      </c>
      <c r="F729" s="41">
        <f t="shared" si="146"/>
        <v>1.1430978626415853</v>
      </c>
      <c r="G729" s="44">
        <f>'[18]2. BM Database'!P540/1000</f>
        <v>113.732</v>
      </c>
      <c r="H729" s="16">
        <f t="shared" si="148"/>
        <v>119.797</v>
      </c>
      <c r="I729" s="18">
        <f>'[18]2. BM Database'!L540</f>
        <v>23850</v>
      </c>
      <c r="J729" s="18">
        <f>'[18]2. BM Database'!R540</f>
        <v>618</v>
      </c>
      <c r="K729" s="18">
        <f t="shared" si="147"/>
        <v>108</v>
      </c>
      <c r="L729" s="19">
        <f>'[18]2. BM Database'!T540</f>
        <v>0.17475728155339806</v>
      </c>
      <c r="M729" s="9"/>
      <c r="N729" s="9"/>
    </row>
    <row r="730" spans="1:14">
      <c r="A730" s="15" t="str">
        <f>'[18]2. BM Database'!B541</f>
        <v>NORTH BAY HYDRO DISTRIBUTION LIMITED</v>
      </c>
      <c r="B730" s="15">
        <v>3032</v>
      </c>
      <c r="C730" s="43">
        <f>'[18]2. BM Database'!C541</f>
        <v>2012</v>
      </c>
      <c r="D730" s="15">
        <v>3</v>
      </c>
      <c r="E730" s="17">
        <f>'[18]2. BM Database'!F541/1000</f>
        <v>5223.3131300000005</v>
      </c>
      <c r="F730" s="41">
        <f t="shared" si="146"/>
        <v>1.160126854517312</v>
      </c>
      <c r="G730" s="44">
        <f>'[18]2. BM Database'!P541/1000</f>
        <v>105.211</v>
      </c>
      <c r="H730" s="16">
        <f t="shared" si="148"/>
        <v>119.797</v>
      </c>
      <c r="I730" s="18">
        <f>'[18]2. BM Database'!L541</f>
        <v>23972</v>
      </c>
      <c r="J730" s="18">
        <f>'[18]2. BM Database'!R541</f>
        <v>621</v>
      </c>
      <c r="K730" s="18">
        <f t="shared" si="147"/>
        <v>110</v>
      </c>
      <c r="L730" s="19">
        <f>'[18]2. BM Database'!T541</f>
        <v>0.17713365539452497</v>
      </c>
      <c r="M730" s="9"/>
      <c r="N730" s="9"/>
    </row>
    <row r="731" spans="1:14" s="15" customFormat="1">
      <c r="A731" s="15" t="s">
        <v>69</v>
      </c>
      <c r="B731" s="15">
        <v>3032</v>
      </c>
      <c r="C731" s="43">
        <v>2013</v>
      </c>
      <c r="D731" s="15">
        <v>3</v>
      </c>
      <c r="E731" s="17">
        <f>HLOOKUP(A731,'[19]2013 Benchmarking Calculations'!$I$3:$CC$76,6,FALSE)/1000</f>
        <v>5533.8929699999999</v>
      </c>
      <c r="F731" s="41">
        <f t="shared" si="146"/>
        <v>1.178602141578931</v>
      </c>
      <c r="G731" s="44">
        <f>HLOOKUP(A731,'[19]2013 Benchmarking Calculations'!$I$3:$CC$76,57,FALSE)/1000</f>
        <v>110.029</v>
      </c>
      <c r="H731" s="16">
        <f t="shared" si="148"/>
        <v>119.797</v>
      </c>
      <c r="I731" s="18">
        <f>HLOOKUP(A731,'[19]2013 Benchmarking Calculations'!$I$3:$CC$76,53,FALSE)</f>
        <v>23973</v>
      </c>
      <c r="J731" s="18">
        <f>HLOOKUP(A731,'[19]2013 Benchmarking Calculations'!$I$3:$CC$76,71,FALSE)</f>
        <v>583</v>
      </c>
      <c r="K731" s="18">
        <f t="shared" si="147"/>
        <v>73</v>
      </c>
      <c r="L731" s="19">
        <f>HLOOKUP(A731,'[19]2013 PBR data '!B$42:BV$68,15,FALSE)/HLOOKUP(A731,'[19]2013 PBR data '!B$42:BV$68,13,FALSE)</f>
        <v>0.12521440823327615</v>
      </c>
      <c r="M731" s="9"/>
      <c r="N731" s="9"/>
    </row>
    <row r="732" spans="1:14" s="15" customFormat="1">
      <c r="A732" s="15" t="s">
        <v>69</v>
      </c>
      <c r="B732" s="15">
        <v>3032</v>
      </c>
      <c r="C732" s="43">
        <v>2014</v>
      </c>
      <c r="D732" s="15">
        <v>3</v>
      </c>
      <c r="E732" s="17">
        <f>VLOOKUP(A732,[20]Result!$B$12:$D$84,2,FALSE)/10^3</f>
        <v>6149.1679999999997</v>
      </c>
      <c r="F732" s="41">
        <f t="shared" si="146"/>
        <v>1.2030671041042156</v>
      </c>
      <c r="G732" s="44">
        <f>VLOOKUP(A732,'[21]General transpose'!$A$1:$AF$73,26,FALSE)/10^3</f>
        <v>108.86199999999999</v>
      </c>
      <c r="H732" s="16">
        <f t="shared" si="148"/>
        <v>119.797</v>
      </c>
      <c r="I732" s="18">
        <f>VLOOKUP(A732,'[21]General transpose'!$A$1:$AF$73,8,FALSE)</f>
        <v>23975</v>
      </c>
      <c r="J732" s="18">
        <f>VLOOKUP(A732,'[21]General transpose'!$A$1:$AF$73,16,FALSE)</f>
        <v>566</v>
      </c>
      <c r="K732" s="18">
        <f t="shared" si="147"/>
        <v>74.000000000000014</v>
      </c>
      <c r="L732" s="19">
        <f>VLOOKUP(A732,'[21]General transpose'!$A$1:$AF$73,17,FALSE)</f>
        <v>0.13074204946996468</v>
      </c>
      <c r="M732" s="9"/>
      <c r="N732" s="9"/>
    </row>
    <row r="733" spans="1:14" s="15" customFormat="1">
      <c r="A733" s="15" t="s">
        <v>69</v>
      </c>
      <c r="B733" s="15">
        <v>3032</v>
      </c>
      <c r="C733" s="43">
        <v>2015</v>
      </c>
      <c r="D733" s="15">
        <v>3</v>
      </c>
      <c r="E733" s="17">
        <f>VLOOKUP(A732,[20]Result!$B$12:$D$84,3,FALSE)/10^3</f>
        <v>6012.4669999999996</v>
      </c>
      <c r="F733" s="41">
        <f t="shared" si="146"/>
        <v>1.2312762402864634</v>
      </c>
      <c r="G733" s="44">
        <f>VLOOKUP(A732,'[22]General transpose'!$A$1:$AF$73,26,FALSE)/10^3</f>
        <v>106.74299999999999</v>
      </c>
      <c r="H733" s="16">
        <f t="shared" si="148"/>
        <v>119.797</v>
      </c>
      <c r="I733" s="18">
        <f>VLOOKUP(A732,'[22]General transpose'!$A$1:$AF$73,8,FALSE)</f>
        <v>23996</v>
      </c>
      <c r="J733" s="18">
        <f>VLOOKUP(A732,'[22]General transpose'!$A$1:$AF$73,16,FALSE)</f>
        <v>572</v>
      </c>
      <c r="K733" s="18">
        <f t="shared" si="147"/>
        <v>76</v>
      </c>
      <c r="L733" s="19">
        <f>VLOOKUP(A732,'[22]General transpose'!$A$1:$AF$73,17,FALSE)</f>
        <v>0.13286713286713286</v>
      </c>
      <c r="M733" s="9"/>
      <c r="N733" s="9"/>
    </row>
    <row r="734" spans="1:14" s="15" customFormat="1">
      <c r="A734" s="15" t="s">
        <v>69</v>
      </c>
      <c r="B734" s="15">
        <v>3032</v>
      </c>
      <c r="C734" s="43">
        <v>2016</v>
      </c>
      <c r="D734" s="15">
        <v>3</v>
      </c>
      <c r="E734" s="17">
        <f>'[14]2016 Benchmarking Calculations'!$BC$8/1000</f>
        <v>6303.2926299999999</v>
      </c>
      <c r="F734" s="41">
        <f t="shared" si="146"/>
        <v>1.2455044937824149</v>
      </c>
      <c r="G734" s="44">
        <f>HLOOKUP(A734,[23]General!$A$1:$BQ$23,22,FALSE)/10^3</f>
        <v>93.763999999999996</v>
      </c>
      <c r="H734" s="16">
        <f t="shared" si="148"/>
        <v>119.797</v>
      </c>
      <c r="I734" s="18">
        <f>HLOOKUP(A734,[23]General!$A$1:$BQ$23,9,FALSE)</f>
        <v>24070</v>
      </c>
      <c r="J734" s="18">
        <f>HLOOKUP(A734,[23]General!$A$1:$BQ$23,17,FALSE)</f>
        <v>573</v>
      </c>
      <c r="K734" s="18">
        <f t="shared" si="147"/>
        <v>78</v>
      </c>
      <c r="L734" s="19">
        <f>HLOOKUP(A734,[23]General!$A$1:$BQ$23,18,FALSE)</f>
        <v>0.13612565445026178</v>
      </c>
      <c r="M734" s="9"/>
      <c r="N734" s="9"/>
    </row>
    <row r="735" spans="1:14" s="15" customFormat="1">
      <c r="A735" s="15" t="s">
        <v>69</v>
      </c>
      <c r="B735" s="15">
        <v>3032</v>
      </c>
      <c r="C735" s="43">
        <v>2017</v>
      </c>
      <c r="D735" s="15">
        <v>3</v>
      </c>
      <c r="E735" s="17">
        <f>'[14]2017 Benchmarking Calculations'!$BE$9/1000</f>
        <v>6227.37986</v>
      </c>
      <c r="F735" s="41">
        <f t="shared" si="146"/>
        <v>1.2674505553724562</v>
      </c>
      <c r="G735" s="44">
        <f>[15]General!$AQ$19/1000</f>
        <v>93.113</v>
      </c>
      <c r="H735" s="16">
        <f t="shared" si="148"/>
        <v>119.797</v>
      </c>
      <c r="I735" s="18">
        <f>[15]General!$AQ$9</f>
        <v>24117</v>
      </c>
      <c r="J735" s="18">
        <f>[15]General!$AQ$17</f>
        <v>574</v>
      </c>
      <c r="K735" s="18">
        <f>J735*L735</f>
        <v>79</v>
      </c>
      <c r="L735" s="19">
        <f>[15]General!$AQ$16/[15]General!$AQ$17</f>
        <v>0.13763066202090593</v>
      </c>
      <c r="M735" s="9"/>
      <c r="N735" s="9"/>
    </row>
    <row r="736" spans="1:14" s="15" customFormat="1">
      <c r="A736" s="15" t="s">
        <v>69</v>
      </c>
      <c r="B736" s="15">
        <v>3032</v>
      </c>
      <c r="C736" s="43">
        <v>2018</v>
      </c>
      <c r="D736" s="15">
        <v>3</v>
      </c>
      <c r="E736" s="17">
        <f>'[16]2018 Benchmarking Calculations'!$BE$10/1000</f>
        <v>6070.8984799999998</v>
      </c>
      <c r="F736" s="41">
        <f t="shared" si="146"/>
        <v>1.2994718602728874</v>
      </c>
      <c r="G736" s="44">
        <f>'[16]2018 Benchmarking Calculations'!$BE$61/1000</f>
        <v>97.822000000000003</v>
      </c>
      <c r="H736" s="16">
        <f t="shared" si="148"/>
        <v>119.797</v>
      </c>
      <c r="I736" s="18">
        <f>'[16]2018 Benchmarking Calculations'!$BE$57</f>
        <v>24172</v>
      </c>
      <c r="J736" s="18">
        <f>'[16]2018 Utility Characteristics'!$AY$103</f>
        <v>575</v>
      </c>
      <c r="K736" s="18">
        <f>'[16]2018 Utility Characteristics'!$AY$105</f>
        <v>80</v>
      </c>
      <c r="L736" s="19">
        <f>K736/J736</f>
        <v>0.1391304347826087</v>
      </c>
      <c r="M736" s="9"/>
      <c r="N736" s="9"/>
    </row>
    <row r="737" spans="1:14" s="15" customFormat="1">
      <c r="A737" s="15" t="s">
        <v>69</v>
      </c>
      <c r="B737" s="15">
        <v>3032</v>
      </c>
      <c r="C737" s="43">
        <v>2019</v>
      </c>
      <c r="D737" s="15">
        <v>3</v>
      </c>
      <c r="E737" s="17">
        <f>'[17]2019 Benchmarking Calculations'!$BE$10/1000</f>
        <v>6567.5340700000006</v>
      </c>
      <c r="F737" s="41">
        <f t="shared" si="146"/>
        <v>1.3352608354138498</v>
      </c>
      <c r="G737" s="44">
        <f>'[17]2019 Benchmarking Calculations'!$BE$61/1000</f>
        <v>99.885999999999996</v>
      </c>
      <c r="H737" s="16">
        <f t="shared" si="148"/>
        <v>119.797</v>
      </c>
      <c r="I737" s="18">
        <f>'[17]2019 Benchmarking Calculations'!$BE$57</f>
        <v>24199</v>
      </c>
      <c r="J737" s="18">
        <f>'[17]2019 Utility Characteristics'!$AY$13</f>
        <v>573</v>
      </c>
      <c r="K737" s="18">
        <f>K736</f>
        <v>80</v>
      </c>
      <c r="L737" s="19">
        <f>K737/J737</f>
        <v>0.13961605584642234</v>
      </c>
      <c r="M737" s="9"/>
      <c r="N737" s="9"/>
    </row>
    <row r="738" spans="1:14">
      <c r="A738" s="15" t="str">
        <f>'[18]2. BM Database'!B545</f>
        <v>NORTHERN ONTARIO WIRES INC.</v>
      </c>
      <c r="B738" s="15">
        <v>3058</v>
      </c>
      <c r="C738" s="43">
        <f>'[18]2. BM Database'!C545</f>
        <v>2005</v>
      </c>
      <c r="D738" s="15">
        <v>3</v>
      </c>
      <c r="E738" s="17">
        <f>'[18]2. BM Database'!F545/1000</f>
        <v>1619.3764699999999</v>
      </c>
      <c r="F738" s="41">
        <f t="shared" ref="F738:F752" si="149">F723</f>
        <v>1</v>
      </c>
      <c r="G738" s="44">
        <f>'[18]2. BM Database'!P545/1000</f>
        <v>23.943000000000001</v>
      </c>
      <c r="H738" s="16">
        <f>G738</f>
        <v>23.943000000000001</v>
      </c>
      <c r="I738" s="18">
        <f>'[18]2. BM Database'!L545</f>
        <v>6202</v>
      </c>
      <c r="J738" s="18">
        <f>'[18]2. BM Database'!R545</f>
        <v>370</v>
      </c>
      <c r="K738" s="18">
        <f t="shared" ref="K738:K749" si="150">J738*L738</f>
        <v>5</v>
      </c>
      <c r="L738" s="19">
        <f>'[18]2. BM Database'!T545</f>
        <v>1.3513513513513514E-2</v>
      </c>
      <c r="M738" s="9"/>
      <c r="N738" s="9"/>
    </row>
    <row r="739" spans="1:14">
      <c r="A739" s="15" t="str">
        <f>'[18]2. BM Database'!B546</f>
        <v>NORTHERN ONTARIO WIRES INC.</v>
      </c>
      <c r="B739" s="15">
        <v>3058</v>
      </c>
      <c r="C739" s="43">
        <f>'[18]2. BM Database'!C546</f>
        <v>2006</v>
      </c>
      <c r="D739" s="15">
        <v>3</v>
      </c>
      <c r="E739" s="17">
        <f>'[18]2. BM Database'!F546/1000</f>
        <v>1743.541716</v>
      </c>
      <c r="F739" s="41">
        <f t="shared" si="149"/>
        <v>1.0181607380073696</v>
      </c>
      <c r="G739" s="44">
        <f>'[18]2. BM Database'!P546/1000</f>
        <v>21.843</v>
      </c>
      <c r="H739" s="16">
        <f>MAX(G739,H738)</f>
        <v>23.943000000000001</v>
      </c>
      <c r="I739" s="18">
        <f>'[18]2. BM Database'!L546</f>
        <v>6135</v>
      </c>
      <c r="J739" s="18">
        <f>'[18]2. BM Database'!R546</f>
        <v>370</v>
      </c>
      <c r="K739" s="18">
        <f t="shared" si="150"/>
        <v>5</v>
      </c>
      <c r="L739" s="19">
        <f>'[18]2. BM Database'!T546</f>
        <v>1.3513513513513514E-2</v>
      </c>
      <c r="M739" s="9"/>
      <c r="N739" s="9"/>
    </row>
    <row r="740" spans="1:14">
      <c r="A740" s="15" t="str">
        <f>'[18]2. BM Database'!B547</f>
        <v>NORTHERN ONTARIO WIRES INC.</v>
      </c>
      <c r="B740" s="15">
        <v>3058</v>
      </c>
      <c r="C740" s="43">
        <f>'[18]2. BM Database'!C547</f>
        <v>2007</v>
      </c>
      <c r="D740" s="15">
        <v>3</v>
      </c>
      <c r="E740" s="17">
        <f>'[18]2. BM Database'!F547/1000</f>
        <v>1897.2760390000001</v>
      </c>
      <c r="F740" s="41">
        <f t="shared" si="149"/>
        <v>1.0531931014872313</v>
      </c>
      <c r="G740" s="44">
        <f>'[18]2. BM Database'!P547/1000</f>
        <v>25.689</v>
      </c>
      <c r="H740" s="16">
        <f t="shared" ref="H740:H752" si="151">MAX(G740,H739)</f>
        <v>25.689</v>
      </c>
      <c r="I740" s="18">
        <f>'[18]2. BM Database'!L547</f>
        <v>6112</v>
      </c>
      <c r="J740" s="18">
        <f>'[18]2. BM Database'!R547</f>
        <v>370</v>
      </c>
      <c r="K740" s="18">
        <f t="shared" si="150"/>
        <v>5</v>
      </c>
      <c r="L740" s="19">
        <f>'[18]2. BM Database'!T547</f>
        <v>1.3513513513513514E-2</v>
      </c>
      <c r="M740" s="9"/>
      <c r="N740" s="9"/>
    </row>
    <row r="741" spans="1:14">
      <c r="A741" s="15" t="str">
        <f>'[18]2. BM Database'!B548</f>
        <v>NORTHERN ONTARIO WIRES INC.</v>
      </c>
      <c r="B741" s="15">
        <v>3058</v>
      </c>
      <c r="C741" s="43">
        <f>'[18]2. BM Database'!C548</f>
        <v>2008</v>
      </c>
      <c r="D741" s="15">
        <v>3</v>
      </c>
      <c r="E741" s="17">
        <f>'[18]2. BM Database'!F548/1000</f>
        <v>1990.9376944999999</v>
      </c>
      <c r="F741" s="41">
        <f t="shared" si="149"/>
        <v>1.078564603993923</v>
      </c>
      <c r="G741" s="44">
        <f>'[18]2. BM Database'!P548/1000</f>
        <v>24.006</v>
      </c>
      <c r="H741" s="16">
        <f t="shared" si="151"/>
        <v>25.689</v>
      </c>
      <c r="I741" s="18">
        <f>'[18]2. BM Database'!L548</f>
        <v>6055</v>
      </c>
      <c r="J741" s="18">
        <f>'[18]2. BM Database'!R548</f>
        <v>370</v>
      </c>
      <c r="K741" s="18">
        <f t="shared" si="150"/>
        <v>5</v>
      </c>
      <c r="L741" s="19">
        <f>'[18]2. BM Database'!T548</f>
        <v>1.3513513513513514E-2</v>
      </c>
      <c r="M741" s="9"/>
      <c r="N741" s="9"/>
    </row>
    <row r="742" spans="1:14">
      <c r="A742" s="15" t="str">
        <f>'[18]2. BM Database'!B549</f>
        <v>NORTHERN ONTARIO WIRES INC.</v>
      </c>
      <c r="B742" s="15">
        <v>3058</v>
      </c>
      <c r="C742" s="43">
        <f>'[18]2. BM Database'!C549</f>
        <v>2009</v>
      </c>
      <c r="D742" s="15">
        <v>3</v>
      </c>
      <c r="E742" s="17">
        <f>'[18]2. BM Database'!F549/1000</f>
        <v>2006.9303590000002</v>
      </c>
      <c r="F742" s="41">
        <f t="shared" si="149"/>
        <v>1.0915070880241431</v>
      </c>
      <c r="G742" s="44">
        <f>'[18]2. BM Database'!P549/1000</f>
        <v>24.291</v>
      </c>
      <c r="H742" s="16">
        <f t="shared" si="151"/>
        <v>25.689</v>
      </c>
      <c r="I742" s="18">
        <f>'[18]2. BM Database'!L549</f>
        <v>6050</v>
      </c>
      <c r="J742" s="18">
        <f>'[18]2. BM Database'!R549</f>
        <v>370</v>
      </c>
      <c r="K742" s="18">
        <f t="shared" si="150"/>
        <v>5</v>
      </c>
      <c r="L742" s="19">
        <f>'[18]2. BM Database'!T549</f>
        <v>1.3513513513513514E-2</v>
      </c>
      <c r="M742" s="9"/>
      <c r="N742" s="9"/>
    </row>
    <row r="743" spans="1:14">
      <c r="A743" s="15" t="str">
        <f>'[18]2. BM Database'!B550</f>
        <v>NORTHERN ONTARIO WIRES INC.</v>
      </c>
      <c r="B743" s="15">
        <v>3058</v>
      </c>
      <c r="C743" s="43">
        <f>'[18]2. BM Database'!C550</f>
        <v>2010</v>
      </c>
      <c r="D743" s="15">
        <v>3</v>
      </c>
      <c r="E743" s="17">
        <f>'[18]2. BM Database'!F550/1000</f>
        <v>2057.5856079999999</v>
      </c>
      <c r="F743" s="41">
        <f t="shared" si="149"/>
        <v>1.1243125351578573</v>
      </c>
      <c r="G743" s="44">
        <f>'[18]2. BM Database'!P550/1000</f>
        <v>23.891999999999999</v>
      </c>
      <c r="H743" s="16">
        <f t="shared" si="151"/>
        <v>25.689</v>
      </c>
      <c r="I743" s="18">
        <f>'[18]2. BM Database'!L550</f>
        <v>6026</v>
      </c>
      <c r="J743" s="18">
        <f>'[18]2. BM Database'!R550</f>
        <v>370</v>
      </c>
      <c r="K743" s="18">
        <f t="shared" si="150"/>
        <v>5</v>
      </c>
      <c r="L743" s="19">
        <f>'[18]2. BM Database'!T550</f>
        <v>1.3513513513513514E-2</v>
      </c>
      <c r="M743" s="9"/>
      <c r="N743" s="9"/>
    </row>
    <row r="744" spans="1:14">
      <c r="A744" s="15" t="str">
        <f>'[18]2. BM Database'!B551</f>
        <v>NORTHERN ONTARIO WIRES INC.</v>
      </c>
      <c r="B744" s="15">
        <v>3058</v>
      </c>
      <c r="C744" s="43">
        <f>'[18]2. BM Database'!C551</f>
        <v>2011</v>
      </c>
      <c r="D744" s="15">
        <v>3</v>
      </c>
      <c r="E744" s="17">
        <f>'[18]2. BM Database'!F551/1000</f>
        <v>2135.477187</v>
      </c>
      <c r="F744" s="41">
        <f t="shared" si="149"/>
        <v>1.1430978626415853</v>
      </c>
      <c r="G744" s="44">
        <f>'[18]2. BM Database'!P551/1000</f>
        <v>22.917999999999999</v>
      </c>
      <c r="H744" s="16">
        <f t="shared" si="151"/>
        <v>25.689</v>
      </c>
      <c r="I744" s="18">
        <f>'[18]2. BM Database'!L551</f>
        <v>6059</v>
      </c>
      <c r="J744" s="18">
        <f>'[18]2. BM Database'!R551</f>
        <v>370</v>
      </c>
      <c r="K744" s="18">
        <f t="shared" si="150"/>
        <v>5</v>
      </c>
      <c r="L744" s="19">
        <f>'[18]2. BM Database'!T551</f>
        <v>1.3513513513513514E-2</v>
      </c>
      <c r="M744" s="9"/>
      <c r="N744" s="9"/>
    </row>
    <row r="745" spans="1:14">
      <c r="A745" s="15" t="str">
        <f>'[18]2. BM Database'!B552</f>
        <v>NORTHERN ONTARIO WIRES INC.</v>
      </c>
      <c r="B745" s="15">
        <v>3058</v>
      </c>
      <c r="C745" s="43">
        <f>'[18]2. BM Database'!C552</f>
        <v>2012</v>
      </c>
      <c r="D745" s="15">
        <v>3</v>
      </c>
      <c r="E745" s="17">
        <f>'[18]2. BM Database'!F552/1000</f>
        <v>2463.1370425</v>
      </c>
      <c r="F745" s="41">
        <f t="shared" si="149"/>
        <v>1.160126854517312</v>
      </c>
      <c r="G745" s="44">
        <f>'[18]2. BM Database'!P552/1000</f>
        <v>22.683</v>
      </c>
      <c r="H745" s="16">
        <f t="shared" si="151"/>
        <v>25.689</v>
      </c>
      <c r="I745" s="18">
        <f>'[18]2. BM Database'!L552</f>
        <v>6068</v>
      </c>
      <c r="J745" s="18">
        <f>'[18]2. BM Database'!R552</f>
        <v>370</v>
      </c>
      <c r="K745" s="18">
        <f t="shared" si="150"/>
        <v>3</v>
      </c>
      <c r="L745" s="19">
        <f>'[18]2. BM Database'!T552</f>
        <v>8.1081081081081086E-3</v>
      </c>
      <c r="M745" s="9"/>
      <c r="N745" s="9"/>
    </row>
    <row r="746" spans="1:14" s="15" customFormat="1">
      <c r="A746" s="15" t="s">
        <v>70</v>
      </c>
      <c r="B746" s="15">
        <v>3058</v>
      </c>
      <c r="C746" s="43">
        <v>2013</v>
      </c>
      <c r="D746" s="15">
        <v>3</v>
      </c>
      <c r="E746" s="17">
        <f>HLOOKUP(A746,'[19]2013 Benchmarking Calculations'!$I$3:$CC$76,6,FALSE)/1000</f>
        <v>2685.164679</v>
      </c>
      <c r="F746" s="41">
        <f t="shared" si="149"/>
        <v>1.178602141578931</v>
      </c>
      <c r="G746" s="44">
        <f>HLOOKUP(A746,'[19]2013 Benchmarking Calculations'!$I$3:$CC$76,57,FALSE)/1000</f>
        <v>24.398</v>
      </c>
      <c r="H746" s="16">
        <f t="shared" si="151"/>
        <v>25.689</v>
      </c>
      <c r="I746" s="18">
        <f>HLOOKUP(A746,'[19]2013 Benchmarking Calculations'!$I$3:$CC$76,53,FALSE)</f>
        <v>6065</v>
      </c>
      <c r="J746" s="18">
        <f>HLOOKUP(A746,'[19]2013 Benchmarking Calculations'!$I$3:$CC$76,71,FALSE)</f>
        <v>370</v>
      </c>
      <c r="K746" s="18">
        <f t="shared" si="150"/>
        <v>3</v>
      </c>
      <c r="L746" s="19">
        <f>HLOOKUP(A746,'[19]2013 PBR data '!B$42:BV$68,15,FALSE)/HLOOKUP(A746,'[19]2013 PBR data '!B$42:BV$68,13,FALSE)</f>
        <v>8.1081081081081086E-3</v>
      </c>
      <c r="M746" s="9"/>
      <c r="N746" s="9"/>
    </row>
    <row r="747" spans="1:14" s="15" customFormat="1">
      <c r="A747" s="15" t="s">
        <v>70</v>
      </c>
      <c r="B747" s="15">
        <v>3058</v>
      </c>
      <c r="C747" s="43">
        <v>2014</v>
      </c>
      <c r="D747" s="15">
        <v>3</v>
      </c>
      <c r="E747" s="17">
        <f>VLOOKUP(A747,[20]Result!$B$12:$D$84,2,FALSE)/10^3</f>
        <v>2507.163</v>
      </c>
      <c r="F747" s="41">
        <f t="shared" si="149"/>
        <v>1.2030671041042156</v>
      </c>
      <c r="G747" s="44">
        <f>VLOOKUP(A747,'[21]General transpose'!$A$1:$AF$73,26,FALSE)/10^3</f>
        <v>24.245999999999999</v>
      </c>
      <c r="H747" s="16">
        <f t="shared" si="151"/>
        <v>25.689</v>
      </c>
      <c r="I747" s="18">
        <f>VLOOKUP(A747,'[21]General transpose'!$A$1:$AF$73,8,FALSE)</f>
        <v>6062</v>
      </c>
      <c r="J747" s="18">
        <f>VLOOKUP(A747,'[21]General transpose'!$A$1:$AF$73,16,FALSE)</f>
        <v>370</v>
      </c>
      <c r="K747" s="18">
        <f t="shared" si="150"/>
        <v>3</v>
      </c>
      <c r="L747" s="19">
        <f>VLOOKUP(A747,'[21]General transpose'!$A$1:$AF$73,17,FALSE)</f>
        <v>8.1081081081081086E-3</v>
      </c>
      <c r="M747" s="9"/>
      <c r="N747" s="9"/>
    </row>
    <row r="748" spans="1:14" s="15" customFormat="1">
      <c r="A748" s="15" t="s">
        <v>70</v>
      </c>
      <c r="B748" s="15">
        <v>3058</v>
      </c>
      <c r="C748" s="43">
        <v>2015</v>
      </c>
      <c r="D748" s="15">
        <v>3</v>
      </c>
      <c r="E748" s="17">
        <f>VLOOKUP(A747,[20]Result!$B$12:$D$84,3,FALSE)/10^3</f>
        <v>2293.5219999999999</v>
      </c>
      <c r="F748" s="41">
        <f t="shared" si="149"/>
        <v>1.2312762402864634</v>
      </c>
      <c r="G748" s="44">
        <f>VLOOKUP(A747,'[22]General transpose'!$A$1:$AF$73,26,FALSE)/10^3</f>
        <v>23.678999999999998</v>
      </c>
      <c r="H748" s="16">
        <f t="shared" si="151"/>
        <v>25.689</v>
      </c>
      <c r="I748" s="18">
        <f>VLOOKUP(A747,'[22]General transpose'!$A$1:$AF$73,8,FALSE)</f>
        <v>6075</v>
      </c>
      <c r="J748" s="18">
        <f>VLOOKUP(A747,'[22]General transpose'!$A$1:$AF$73,16,FALSE)</f>
        <v>370</v>
      </c>
      <c r="K748" s="18">
        <f t="shared" si="150"/>
        <v>3</v>
      </c>
      <c r="L748" s="19">
        <f>VLOOKUP(A747,'[22]General transpose'!$A$1:$AF$73,17,FALSE)</f>
        <v>8.1081081081081086E-3</v>
      </c>
      <c r="M748" s="9"/>
      <c r="N748" s="9"/>
    </row>
    <row r="749" spans="1:14" s="15" customFormat="1">
      <c r="A749" s="15" t="s">
        <v>70</v>
      </c>
      <c r="B749" s="15">
        <v>3058</v>
      </c>
      <c r="C749" s="43">
        <v>2016</v>
      </c>
      <c r="D749" s="15">
        <v>3</v>
      </c>
      <c r="E749" s="17">
        <f>'[14]2016 Benchmarking Calculations'!$BD$8/1000</f>
        <v>2473.3618800000004</v>
      </c>
      <c r="F749" s="41">
        <f t="shared" si="149"/>
        <v>1.2455044937824149</v>
      </c>
      <c r="G749" s="44">
        <f>HLOOKUP(A749,[23]General!$A$1:$BQ$23,22,FALSE)/10^3</f>
        <v>23.251000000000001</v>
      </c>
      <c r="H749" s="16">
        <f t="shared" si="151"/>
        <v>25.689</v>
      </c>
      <c r="I749" s="18">
        <f>HLOOKUP(A749,[23]General!$A$1:$BQ$23,9,FALSE)</f>
        <v>6007</v>
      </c>
      <c r="J749" s="18">
        <f>HLOOKUP(A749,[23]General!$A$1:$BQ$23,17,FALSE)</f>
        <v>370</v>
      </c>
      <c r="K749" s="18">
        <f t="shared" si="150"/>
        <v>3</v>
      </c>
      <c r="L749" s="19">
        <f>HLOOKUP(A749,[23]General!$A$1:$BQ$23,18,FALSE)</f>
        <v>8.1081081081081086E-3</v>
      </c>
      <c r="M749" s="9"/>
      <c r="N749" s="9"/>
    </row>
    <row r="750" spans="1:14" s="15" customFormat="1">
      <c r="A750" s="15" t="s">
        <v>70</v>
      </c>
      <c r="B750" s="15">
        <v>3058</v>
      </c>
      <c r="C750" s="43">
        <v>2017</v>
      </c>
      <c r="D750" s="15">
        <v>3</v>
      </c>
      <c r="E750" s="17">
        <f>'[14]2017 Benchmarking Calculations'!$BF$9/1000</f>
        <v>2621.0770815000005</v>
      </c>
      <c r="F750" s="41">
        <f t="shared" si="149"/>
        <v>1.2674505553724562</v>
      </c>
      <c r="G750" s="44">
        <f>'[14]2017 Benchmarking Calculations'!$BF$60/1000</f>
        <v>23.707999999999998</v>
      </c>
      <c r="H750" s="16">
        <f t="shared" si="151"/>
        <v>25.689</v>
      </c>
      <c r="I750" s="18">
        <f>'[14]2017 Benchmarking Calculations'!$BF$56</f>
        <v>5980</v>
      </c>
      <c r="J750" s="18">
        <f>'[14]2017 Utility Characteristics'!$AW$79</f>
        <v>370</v>
      </c>
      <c r="K750" s="15">
        <f>'[14]2017 Utility Characteristics'!$AW$81</f>
        <v>3</v>
      </c>
      <c r="L750" s="19">
        <f>K750/J750</f>
        <v>8.1081081081081086E-3</v>
      </c>
      <c r="M750" s="9"/>
      <c r="N750" s="9"/>
    </row>
    <row r="751" spans="1:14" s="15" customFormat="1">
      <c r="A751" s="15" t="s">
        <v>70</v>
      </c>
      <c r="B751" s="15">
        <v>3058</v>
      </c>
      <c r="C751" s="43">
        <v>2018</v>
      </c>
      <c r="D751" s="15">
        <v>3</v>
      </c>
      <c r="E751" s="17">
        <f>'[16]2018 Benchmarking Calculations'!$BF$10/1000</f>
        <v>2651.2829250000004</v>
      </c>
      <c r="F751" s="41">
        <f t="shared" si="149"/>
        <v>1.2994718602728874</v>
      </c>
      <c r="G751" s="44">
        <f>'[16]2018 Benchmarking Calculations'!$BF$61/1000</f>
        <v>23.484999999999999</v>
      </c>
      <c r="H751" s="16">
        <f t="shared" si="151"/>
        <v>25.689</v>
      </c>
      <c r="I751" s="18">
        <f>'[16]2018 Benchmarking Calculations'!$BF$57</f>
        <v>5903</v>
      </c>
      <c r="J751" s="18">
        <f>'[16]2018 Utility Characteristics'!$AZ$103</f>
        <v>370</v>
      </c>
      <c r="K751" s="18">
        <f>'[16]2018 Utility Characteristics'!$AZ$105</f>
        <v>3</v>
      </c>
      <c r="L751" s="19">
        <f>K751/J751</f>
        <v>8.1081081081081086E-3</v>
      </c>
      <c r="M751" s="9"/>
      <c r="N751" s="9"/>
    </row>
    <row r="752" spans="1:14" s="15" customFormat="1">
      <c r="A752" s="15" t="s">
        <v>70</v>
      </c>
      <c r="B752" s="15">
        <v>3058</v>
      </c>
      <c r="C752" s="43">
        <v>2019</v>
      </c>
      <c r="D752" s="15">
        <v>3</v>
      </c>
      <c r="E752" s="17">
        <f>'[17]2019 Benchmarking Calculations'!$BF$10/1000</f>
        <v>2790.4644935000001</v>
      </c>
      <c r="F752" s="41">
        <f t="shared" si="149"/>
        <v>1.3352608354138498</v>
      </c>
      <c r="G752" s="44">
        <f>'[17]2019 Benchmarking Calculations'!$BF$61/1000</f>
        <v>23.352</v>
      </c>
      <c r="H752" s="16">
        <f t="shared" si="151"/>
        <v>25.689</v>
      </c>
      <c r="I752" s="18">
        <f>'[17]2019 Benchmarking Calculations'!$BF$57</f>
        <v>5977</v>
      </c>
      <c r="J752" s="18">
        <f>'[17]2019 Utility Characteristics'!$AZ$13</f>
        <v>370</v>
      </c>
      <c r="K752" s="18">
        <f>'[17]2019 Utility Characteristics'!$AZ$15</f>
        <v>3</v>
      </c>
      <c r="L752" s="19">
        <f>K752/J752</f>
        <v>8.1081081081081086E-3</v>
      </c>
      <c r="M752" s="9"/>
      <c r="N752" s="9"/>
    </row>
    <row r="753" spans="1:14">
      <c r="A753" s="15" t="str">
        <f>'[18]2. BM Database'!B556</f>
        <v>OAKVILLE HYDRO ELECTRICITY DISTRIBUTION INC.</v>
      </c>
      <c r="B753" s="15">
        <v>3013</v>
      </c>
      <c r="C753" s="43">
        <f>'[18]2. BM Database'!C556</f>
        <v>2005</v>
      </c>
      <c r="D753" s="15">
        <v>3</v>
      </c>
      <c r="E753" s="17">
        <f>'[18]2. BM Database'!F556/1000</f>
        <v>9670.2355499999994</v>
      </c>
      <c r="F753" s="41">
        <f t="shared" ref="F753:F767" si="152">F738</f>
        <v>1</v>
      </c>
      <c r="G753" s="44">
        <f>'[18]2. BM Database'!P556/1000</f>
        <v>335.42700000000002</v>
      </c>
      <c r="H753" s="16">
        <f>G753</f>
        <v>335.42700000000002</v>
      </c>
      <c r="I753" s="18">
        <f>'[18]2. BM Database'!L556</f>
        <v>54677</v>
      </c>
      <c r="J753" s="18">
        <f>'[18]2. BM Database'!R556</f>
        <v>1347</v>
      </c>
      <c r="K753" s="18">
        <f t="shared" ref="K753:K764" si="153">J753*L753</f>
        <v>812</v>
      </c>
      <c r="L753" s="19">
        <f>'[18]2. BM Database'!T556</f>
        <v>0.60282108389012623</v>
      </c>
      <c r="M753" s="9"/>
      <c r="N753" s="9"/>
    </row>
    <row r="754" spans="1:14">
      <c r="A754" s="15" t="str">
        <f>'[18]2. BM Database'!B557</f>
        <v>OAKVILLE HYDRO ELECTRICITY DISTRIBUTION INC.</v>
      </c>
      <c r="B754" s="15">
        <v>3013</v>
      </c>
      <c r="C754" s="43">
        <f>'[18]2. BM Database'!C557</f>
        <v>2006</v>
      </c>
      <c r="D754" s="15">
        <v>3</v>
      </c>
      <c r="E754" s="17">
        <f>'[18]2. BM Database'!F557/1000</f>
        <v>10955.81517</v>
      </c>
      <c r="F754" s="41">
        <f t="shared" si="152"/>
        <v>1.0181607380073696</v>
      </c>
      <c r="G754" s="44">
        <f>'[18]2. BM Database'!P557/1000</f>
        <v>363.98700000000002</v>
      </c>
      <c r="H754" s="16">
        <f>MAX(G754,H753)</f>
        <v>363.98700000000002</v>
      </c>
      <c r="I754" s="18">
        <f>'[18]2. BM Database'!L557</f>
        <v>58220</v>
      </c>
      <c r="J754" s="18">
        <f>'[18]2. BM Database'!R557</f>
        <v>1372</v>
      </c>
      <c r="K754" s="18">
        <f t="shared" si="153"/>
        <v>832</v>
      </c>
      <c r="L754" s="19">
        <f>'[18]2. BM Database'!T557</f>
        <v>0.60641399416909625</v>
      </c>
      <c r="M754" s="9"/>
      <c r="N754" s="9"/>
    </row>
    <row r="755" spans="1:14">
      <c r="A755" s="15" t="str">
        <f>'[18]2. BM Database'!B558</f>
        <v>OAKVILLE HYDRO ELECTRICITY DISTRIBUTION INC.</v>
      </c>
      <c r="B755" s="15">
        <v>3013</v>
      </c>
      <c r="C755" s="43">
        <f>'[18]2. BM Database'!C558</f>
        <v>2007</v>
      </c>
      <c r="D755" s="15">
        <v>3</v>
      </c>
      <c r="E755" s="17">
        <f>'[18]2. BM Database'!F558/1000</f>
        <v>10541.91063</v>
      </c>
      <c r="F755" s="41">
        <f t="shared" si="152"/>
        <v>1.0531931014872313</v>
      </c>
      <c r="G755" s="44">
        <f>'[18]2. BM Database'!P558/1000</f>
        <v>351.18799999999999</v>
      </c>
      <c r="H755" s="16">
        <f t="shared" ref="H755:H767" si="154">MAX(G755,H754)</f>
        <v>363.98700000000002</v>
      </c>
      <c r="I755" s="18">
        <f>'[18]2. BM Database'!L558</f>
        <v>59883</v>
      </c>
      <c r="J755" s="18">
        <f>'[18]2. BM Database'!R558</f>
        <v>1397</v>
      </c>
      <c r="K755" s="18">
        <f t="shared" si="153"/>
        <v>851.99999999999989</v>
      </c>
      <c r="L755" s="19">
        <f>'[18]2. BM Database'!T558</f>
        <v>0.60987831066571219</v>
      </c>
      <c r="M755" s="9"/>
      <c r="N755" s="9"/>
    </row>
    <row r="756" spans="1:14">
      <c r="A756" s="15" t="str">
        <f>'[18]2. BM Database'!B559</f>
        <v>OAKVILLE HYDRO ELECTRICITY DISTRIBUTION INC.</v>
      </c>
      <c r="B756" s="15">
        <v>3013</v>
      </c>
      <c r="C756" s="43">
        <f>'[18]2. BM Database'!C559</f>
        <v>2008</v>
      </c>
      <c r="D756" s="15">
        <v>3</v>
      </c>
      <c r="E756" s="17">
        <f>'[18]2. BM Database'!F559/1000</f>
        <v>9628.9823100000012</v>
      </c>
      <c r="F756" s="41">
        <f t="shared" si="152"/>
        <v>1.078564603993923</v>
      </c>
      <c r="G756" s="44">
        <f>'[18]2. BM Database'!P559/1000</f>
        <v>347.83199999999999</v>
      </c>
      <c r="H756" s="16">
        <f t="shared" si="154"/>
        <v>363.98700000000002</v>
      </c>
      <c r="I756" s="18">
        <f>'[18]2. BM Database'!L559</f>
        <v>62038</v>
      </c>
      <c r="J756" s="18">
        <f>'[18]2. BM Database'!R559</f>
        <v>1414</v>
      </c>
      <c r="K756" s="18">
        <f t="shared" si="153"/>
        <v>867</v>
      </c>
      <c r="L756" s="19">
        <f>'[18]2. BM Database'!T559</f>
        <v>0.61315417256011318</v>
      </c>
      <c r="M756" s="9"/>
      <c r="N756" s="9"/>
    </row>
    <row r="757" spans="1:14">
      <c r="A757" s="15" t="str">
        <f>'[18]2. BM Database'!B560</f>
        <v>OAKVILLE HYDRO ELECTRICITY DISTRIBUTION INC.</v>
      </c>
      <c r="B757" s="15">
        <v>3013</v>
      </c>
      <c r="C757" s="43">
        <f>'[18]2. BM Database'!C560</f>
        <v>2009</v>
      </c>
      <c r="D757" s="15">
        <v>3</v>
      </c>
      <c r="E757" s="17">
        <f>'[18]2. BM Database'!F560/1000</f>
        <v>10168.114280000002</v>
      </c>
      <c r="F757" s="41">
        <f t="shared" si="152"/>
        <v>1.0915070880241431</v>
      </c>
      <c r="G757" s="44">
        <f>'[18]2. BM Database'!P560/1000</f>
        <v>339.62900000000002</v>
      </c>
      <c r="H757" s="16">
        <f t="shared" si="154"/>
        <v>363.98700000000002</v>
      </c>
      <c r="I757" s="18">
        <f>'[18]2. BM Database'!L560</f>
        <v>62179</v>
      </c>
      <c r="J757" s="18">
        <f>'[18]2. BM Database'!R560</f>
        <v>1428</v>
      </c>
      <c r="K757" s="18">
        <f t="shared" si="153"/>
        <v>877</v>
      </c>
      <c r="L757" s="19">
        <f>'[18]2. BM Database'!T560</f>
        <v>0.61414565826330536</v>
      </c>
      <c r="M757" s="9"/>
      <c r="N757" s="9"/>
    </row>
    <row r="758" spans="1:14">
      <c r="A758" s="15" t="str">
        <f>'[18]2. BM Database'!B561</f>
        <v>OAKVILLE HYDRO ELECTRICITY DISTRIBUTION INC.</v>
      </c>
      <c r="B758" s="15">
        <v>3013</v>
      </c>
      <c r="C758" s="43">
        <f>'[18]2. BM Database'!C561</f>
        <v>2010</v>
      </c>
      <c r="D758" s="15">
        <v>3</v>
      </c>
      <c r="E758" s="17">
        <f>'[18]2. BM Database'!F561/1000</f>
        <v>10805.669199999998</v>
      </c>
      <c r="F758" s="41">
        <f t="shared" si="152"/>
        <v>1.1243125351578573</v>
      </c>
      <c r="G758" s="44">
        <f>'[18]2. BM Database'!P561/1000</f>
        <v>354.83</v>
      </c>
      <c r="H758" s="16">
        <f t="shared" si="154"/>
        <v>363.98700000000002</v>
      </c>
      <c r="I758" s="18">
        <f>'[18]2. BM Database'!L561</f>
        <v>62674</v>
      </c>
      <c r="J758" s="18">
        <f>'[18]2. BM Database'!R561</f>
        <v>1439</v>
      </c>
      <c r="K758" s="18">
        <f t="shared" si="153"/>
        <v>886</v>
      </c>
      <c r="L758" s="19">
        <f>'[18]2. BM Database'!T561</f>
        <v>0.61570535093815149</v>
      </c>
      <c r="M758" s="9"/>
      <c r="N758" s="9"/>
    </row>
    <row r="759" spans="1:14">
      <c r="A759" s="15" t="str">
        <f>'[18]2. BM Database'!B562</f>
        <v>OAKVILLE HYDRO ELECTRICITY DISTRIBUTION INC.</v>
      </c>
      <c r="B759" s="15">
        <v>3013</v>
      </c>
      <c r="C759" s="43">
        <f>'[18]2. BM Database'!C562</f>
        <v>2011</v>
      </c>
      <c r="D759" s="15">
        <v>3</v>
      </c>
      <c r="E759" s="17">
        <f>'[18]2. BM Database'!F562/1000</f>
        <v>12832.360600000002</v>
      </c>
      <c r="F759" s="41">
        <f t="shared" si="152"/>
        <v>1.1430978626415853</v>
      </c>
      <c r="G759" s="44">
        <f>'[18]2. BM Database'!P562/1000</f>
        <v>380.1</v>
      </c>
      <c r="H759" s="16">
        <f t="shared" si="154"/>
        <v>380.1</v>
      </c>
      <c r="I759" s="18">
        <f>'[18]2. BM Database'!L562</f>
        <v>63614</v>
      </c>
      <c r="J759" s="18">
        <f>'[18]2. BM Database'!R562</f>
        <v>1455</v>
      </c>
      <c r="K759" s="18">
        <f t="shared" si="153"/>
        <v>894</v>
      </c>
      <c r="L759" s="19">
        <f>'[18]2. BM Database'!T562</f>
        <v>0.61443298969072169</v>
      </c>
      <c r="M759" s="9"/>
      <c r="N759" s="9"/>
    </row>
    <row r="760" spans="1:14">
      <c r="A760" s="15" t="str">
        <f>'[18]2. BM Database'!B563</f>
        <v>OAKVILLE HYDRO ELECTRICITY DISTRIBUTION INC.</v>
      </c>
      <c r="B760" s="15">
        <v>3013</v>
      </c>
      <c r="C760" s="43">
        <f>'[18]2. BM Database'!C563</f>
        <v>2012</v>
      </c>
      <c r="D760" s="15">
        <v>3</v>
      </c>
      <c r="E760" s="17">
        <f>'[18]2. BM Database'!F563/1000</f>
        <v>13122.737663600001</v>
      </c>
      <c r="F760" s="41">
        <f t="shared" si="152"/>
        <v>1.160126854517312</v>
      </c>
      <c r="G760" s="44">
        <f>'[18]2. BM Database'!P563/1000</f>
        <v>362.48200000000003</v>
      </c>
      <c r="H760" s="16">
        <f t="shared" si="154"/>
        <v>380.1</v>
      </c>
      <c r="I760" s="18">
        <f>'[18]2. BM Database'!L563</f>
        <v>64106</v>
      </c>
      <c r="J760" s="18">
        <f>'[18]2. BM Database'!R563</f>
        <v>1529</v>
      </c>
      <c r="K760" s="18">
        <f t="shared" si="153"/>
        <v>1070</v>
      </c>
      <c r="L760" s="19">
        <f>'[18]2. BM Database'!T563</f>
        <v>0.69980379332897313</v>
      </c>
      <c r="M760" s="9"/>
      <c r="N760" s="9"/>
    </row>
    <row r="761" spans="1:14" s="15" customFormat="1">
      <c r="A761" s="15" t="s">
        <v>71</v>
      </c>
      <c r="B761" s="15">
        <v>3013</v>
      </c>
      <c r="C761" s="43">
        <v>2013</v>
      </c>
      <c r="D761" s="15">
        <v>3</v>
      </c>
      <c r="E761" s="17">
        <f>HLOOKUP(A761,'[19]2013 Benchmarking Calculations'!$I$3:$CC$76,6,FALSE)/1000</f>
        <v>16795.533849999993</v>
      </c>
      <c r="F761" s="41">
        <f t="shared" si="152"/>
        <v>1.178602141578931</v>
      </c>
      <c r="G761" s="44">
        <f>HLOOKUP(A761,'[19]2013 Benchmarking Calculations'!$I$3:$CC$76,57,FALSE)/1000</f>
        <v>365.53699999999998</v>
      </c>
      <c r="H761" s="16">
        <f t="shared" si="154"/>
        <v>380.1</v>
      </c>
      <c r="I761" s="18">
        <f>HLOOKUP(A761,'[19]2013 Benchmarking Calculations'!$I$3:$CC$76,53,FALSE)</f>
        <v>64793</v>
      </c>
      <c r="J761" s="18">
        <f>HLOOKUP(A761,'[19]2013 Benchmarking Calculations'!$I$3:$CC$76,71,FALSE)</f>
        <v>1793</v>
      </c>
      <c r="K761" s="18">
        <f t="shared" si="153"/>
        <v>1313</v>
      </c>
      <c r="L761" s="19">
        <f>HLOOKUP(A761,'[19]2013 PBR data '!B$42:BV$68,15,FALSE)/HLOOKUP(A761,'[19]2013 PBR data '!B$42:BV$68,13,FALSE)</f>
        <v>0.73229224762967093</v>
      </c>
      <c r="M761" s="9"/>
      <c r="N761" s="9"/>
    </row>
    <row r="762" spans="1:14" s="15" customFormat="1">
      <c r="A762" s="15" t="s">
        <v>71</v>
      </c>
      <c r="B762" s="15">
        <v>3013</v>
      </c>
      <c r="C762" s="43">
        <v>2014</v>
      </c>
      <c r="D762" s="15">
        <v>3</v>
      </c>
      <c r="E762" s="17">
        <f>VLOOKUP(A762,[20]Result!$B$12:$D$84,2,FALSE)/10^3</f>
        <v>16768.976999999999</v>
      </c>
      <c r="F762" s="41">
        <f t="shared" si="152"/>
        <v>1.2030671041042156</v>
      </c>
      <c r="G762" s="44">
        <f>VLOOKUP(A762,'[21]General transpose'!$A$1:$AF$73,26,FALSE)/10^3</f>
        <v>330.02199999999999</v>
      </c>
      <c r="H762" s="16">
        <f t="shared" si="154"/>
        <v>380.1</v>
      </c>
      <c r="I762" s="18">
        <f>'[14]2014 Benchmarking Calculations'!$BE$55</f>
        <v>66531</v>
      </c>
      <c r="J762" s="18">
        <f>VLOOKUP(A762,'[21]General transpose'!$A$1:$AF$73,16,FALSE)</f>
        <v>1834</v>
      </c>
      <c r="K762" s="18">
        <f t="shared" si="153"/>
        <v>1348</v>
      </c>
      <c r="L762" s="19">
        <f>VLOOKUP(A762,'[21]General transpose'!$A$1:$AF$73,17,FALSE)</f>
        <v>0.73500545256270444</v>
      </c>
      <c r="M762" s="9"/>
      <c r="N762" s="9"/>
    </row>
    <row r="763" spans="1:14" s="15" customFormat="1">
      <c r="A763" s="15" t="s">
        <v>71</v>
      </c>
      <c r="B763" s="15">
        <v>3013</v>
      </c>
      <c r="C763" s="43">
        <v>2015</v>
      </c>
      <c r="D763" s="15">
        <v>3</v>
      </c>
      <c r="E763" s="17">
        <f>VLOOKUP(A762,[20]Result!$B$12:$D$84,3,FALSE)/10^3</f>
        <v>17379.03</v>
      </c>
      <c r="F763" s="41">
        <f t="shared" si="152"/>
        <v>1.2312762402864634</v>
      </c>
      <c r="G763" s="44">
        <f>VLOOKUP(A762,'[22]General transpose'!$A$1:$AF$73,26,FALSE)/10^3</f>
        <v>340.88</v>
      </c>
      <c r="H763" s="16">
        <f t="shared" si="154"/>
        <v>380.1</v>
      </c>
      <c r="I763" s="18">
        <f>'[14]2015 Benchmarking Calculations'!$BE$55</f>
        <v>67388</v>
      </c>
      <c r="J763" s="18">
        <f>VLOOKUP(A762,'[22]General transpose'!$A$1:$AF$73,16,FALSE)</f>
        <v>1846</v>
      </c>
      <c r="K763" s="18">
        <f t="shared" si="153"/>
        <v>1359</v>
      </c>
      <c r="L763" s="19">
        <f>VLOOKUP(A762,'[22]General transpose'!$A$1:$AF$73,17,FALSE)</f>
        <v>0.73618634886240519</v>
      </c>
      <c r="M763" s="9"/>
      <c r="N763" s="9"/>
    </row>
    <row r="764" spans="1:14" s="15" customFormat="1">
      <c r="A764" s="15" t="s">
        <v>71</v>
      </c>
      <c r="B764" s="15">
        <v>3013</v>
      </c>
      <c r="C764" s="43">
        <v>2016</v>
      </c>
      <c r="D764" s="15">
        <v>3</v>
      </c>
      <c r="E764" s="17">
        <f>'[14]2016 Benchmarking Calculations'!$BE$8/1000</f>
        <v>17048.726920000001</v>
      </c>
      <c r="F764" s="41">
        <f t="shared" si="152"/>
        <v>1.2455044937824149</v>
      </c>
      <c r="G764" s="44">
        <f>HLOOKUP(A764,[23]General!$A$1:$BQ$23,22,FALSE)/10^3</f>
        <v>373.87400000000002</v>
      </c>
      <c r="H764" s="16">
        <f t="shared" si="154"/>
        <v>380.1</v>
      </c>
      <c r="I764" s="18">
        <f>'[14]2016 Benchmarking Calculations'!$BE$55</f>
        <v>68811</v>
      </c>
      <c r="J764" s="18">
        <f>HLOOKUP(A764,[23]General!$A$1:$BQ$23,17,FALSE)</f>
        <v>1883</v>
      </c>
      <c r="K764" s="18">
        <f t="shared" si="153"/>
        <v>1389</v>
      </c>
      <c r="L764" s="19">
        <f>HLOOKUP(A764,[23]General!$A$1:$BQ$23,18,FALSE)</f>
        <v>0.73765268189060007</v>
      </c>
      <c r="M764" s="9"/>
      <c r="N764" s="9"/>
    </row>
    <row r="765" spans="1:14" s="15" customFormat="1">
      <c r="A765" s="15" t="s">
        <v>71</v>
      </c>
      <c r="B765" s="15">
        <v>3013</v>
      </c>
      <c r="C765" s="43">
        <v>2017</v>
      </c>
      <c r="D765" s="15">
        <v>3</v>
      </c>
      <c r="E765" s="17">
        <f>'[14]2017 Benchmarking Calculations'!$BG$9/1000</f>
        <v>17537.918539999999</v>
      </c>
      <c r="F765" s="41">
        <f t="shared" si="152"/>
        <v>1.2674505553724562</v>
      </c>
      <c r="G765" s="44">
        <f>[15]General!$AS$20/1000</f>
        <v>312.50900000000001</v>
      </c>
      <c r="H765" s="16">
        <f t="shared" si="154"/>
        <v>380.1</v>
      </c>
      <c r="I765" s="18">
        <f>'[14]2017 Benchmarking Calculations'!$BG$56</f>
        <v>70492</v>
      </c>
      <c r="J765" s="18">
        <f>[15]General!$AS$17</f>
        <v>1912</v>
      </c>
      <c r="K765" s="18">
        <f>J765*L765</f>
        <v>1421</v>
      </c>
      <c r="L765" s="19">
        <f>[15]General!$AS$16/[15]General!$AS$17</f>
        <v>0.74320083682008364</v>
      </c>
      <c r="M765" s="9"/>
      <c r="N765" s="9"/>
    </row>
    <row r="766" spans="1:14" s="15" customFormat="1">
      <c r="A766" s="15" t="s">
        <v>71</v>
      </c>
      <c r="B766" s="15">
        <v>3013</v>
      </c>
      <c r="C766" s="43">
        <v>2018</v>
      </c>
      <c r="D766" s="15">
        <v>3</v>
      </c>
      <c r="E766" s="17">
        <f>'[16]2018 Benchmarking Calculations'!$BG$10/1000</f>
        <v>17915.297000000002</v>
      </c>
      <c r="F766" s="41">
        <f t="shared" si="152"/>
        <v>1.2994718602728874</v>
      </c>
      <c r="G766" s="44">
        <f>'[16]2018 Benchmarking Calculations'!$BG$61/1000</f>
        <v>364.78100000000001</v>
      </c>
      <c r="H766" s="16">
        <f t="shared" si="154"/>
        <v>380.1</v>
      </c>
      <c r="I766" s="18">
        <f>'[16]2018 Benchmarking Calculations'!$BG$57</f>
        <v>72109</v>
      </c>
      <c r="J766" s="18">
        <f>'[16]2018 Utility Characteristics'!$BA$103</f>
        <v>1914</v>
      </c>
      <c r="K766" s="18">
        <f>'[16]2018 Utility Characteristics'!$BA$105</f>
        <v>1425</v>
      </c>
      <c r="L766" s="19">
        <f>K766/J766</f>
        <v>0.74451410658307215</v>
      </c>
      <c r="M766" s="9"/>
      <c r="N766" s="9"/>
    </row>
    <row r="767" spans="1:14" s="15" customFormat="1">
      <c r="A767" s="15" t="s">
        <v>71</v>
      </c>
      <c r="B767" s="15">
        <v>3013</v>
      </c>
      <c r="C767" s="43">
        <v>2019</v>
      </c>
      <c r="D767" s="15">
        <v>3</v>
      </c>
      <c r="E767" s="17">
        <f>'[17]2019 Benchmarking Calculations'!$BG$10/1000</f>
        <v>17906.961609999998</v>
      </c>
      <c r="F767" s="41">
        <f t="shared" si="152"/>
        <v>1.3352608354138498</v>
      </c>
      <c r="G767" s="44">
        <f>'[17]2019 Benchmarking Calculations'!$BG$61/1000</f>
        <v>337.95299999999997</v>
      </c>
      <c r="H767" s="16">
        <f t="shared" si="154"/>
        <v>380.1</v>
      </c>
      <c r="I767" s="18">
        <f>'[17]2019 Benchmarking Calculations'!$BG$57</f>
        <v>73134</v>
      </c>
      <c r="J767" s="18">
        <f>'[17]2019 Utility Characteristics'!$BA$13</f>
        <v>1914</v>
      </c>
      <c r="K767" s="18">
        <f>'[17]2019 Utility Characteristics'!$BA$18</f>
        <v>1425</v>
      </c>
      <c r="L767" s="19">
        <f>K767/J767</f>
        <v>0.74451410658307215</v>
      </c>
      <c r="M767" s="9"/>
      <c r="N767" s="9"/>
    </row>
    <row r="768" spans="1:14">
      <c r="A768" s="15" t="str">
        <f>'[18]2. BM Database'!B567</f>
        <v>ORANGEVILLE HYDRO LIMITED</v>
      </c>
      <c r="B768" s="15">
        <v>3047</v>
      </c>
      <c r="C768" s="43">
        <f>'[18]2. BM Database'!C567</f>
        <v>2005</v>
      </c>
      <c r="D768" s="15">
        <v>3</v>
      </c>
      <c r="E768" s="17">
        <f>'[18]2. BM Database'!F567/1000</f>
        <v>1836.5006700000001</v>
      </c>
      <c r="F768" s="41">
        <f t="shared" ref="F768:F782" si="155">F753</f>
        <v>1</v>
      </c>
      <c r="G768" s="44">
        <f>'[18]2. BM Database'!P567/1000</f>
        <v>47.677999999999997</v>
      </c>
      <c r="H768" s="16">
        <f>G768</f>
        <v>47.677999999999997</v>
      </c>
      <c r="I768" s="18">
        <f>'[18]2. BM Database'!L567</f>
        <v>10609</v>
      </c>
      <c r="J768" s="18">
        <f>'[18]2. BM Database'!R567</f>
        <v>161</v>
      </c>
      <c r="K768" s="18">
        <f t="shared" ref="K768:K779" si="156">J768*L768</f>
        <v>65</v>
      </c>
      <c r="L768" s="19">
        <f>'[18]2. BM Database'!T567</f>
        <v>0.40372670807453415</v>
      </c>
      <c r="M768" s="9"/>
      <c r="N768" s="9"/>
    </row>
    <row r="769" spans="1:14">
      <c r="A769" s="15" t="str">
        <f>'[18]2. BM Database'!B568</f>
        <v>ORANGEVILLE HYDRO LIMITED</v>
      </c>
      <c r="B769" s="15">
        <v>3047</v>
      </c>
      <c r="C769" s="43">
        <f>'[18]2. BM Database'!C568</f>
        <v>2006</v>
      </c>
      <c r="D769" s="15">
        <v>3</v>
      </c>
      <c r="E769" s="17">
        <f>'[18]2. BM Database'!F568/1000</f>
        <v>1915.5497399999997</v>
      </c>
      <c r="F769" s="41">
        <f t="shared" si="155"/>
        <v>1.0181607380073696</v>
      </c>
      <c r="G769" s="44">
        <f>'[18]2. BM Database'!P568/1000</f>
        <v>50.33</v>
      </c>
      <c r="H769" s="16">
        <f>MAX(G769,H768)</f>
        <v>50.33</v>
      </c>
      <c r="I769" s="18">
        <f>'[18]2. BM Database'!L568</f>
        <v>10675</v>
      </c>
      <c r="J769" s="18">
        <f>'[18]2. BM Database'!R568</f>
        <v>165</v>
      </c>
      <c r="K769" s="18">
        <f t="shared" si="156"/>
        <v>66</v>
      </c>
      <c r="L769" s="19">
        <f>'[18]2. BM Database'!T568</f>
        <v>0.4</v>
      </c>
      <c r="M769" s="9"/>
      <c r="N769" s="9"/>
    </row>
    <row r="770" spans="1:14">
      <c r="A770" s="15" t="str">
        <f>'[18]2. BM Database'!B569</f>
        <v>ORANGEVILLE HYDRO LIMITED</v>
      </c>
      <c r="B770" s="15">
        <v>3047</v>
      </c>
      <c r="C770" s="43">
        <f>'[18]2. BM Database'!C569</f>
        <v>2007</v>
      </c>
      <c r="D770" s="15">
        <v>3</v>
      </c>
      <c r="E770" s="17">
        <f>'[18]2. BM Database'!F569/1000</f>
        <v>2122.8721100000002</v>
      </c>
      <c r="F770" s="41">
        <f t="shared" si="155"/>
        <v>1.0531931014872313</v>
      </c>
      <c r="G770" s="44">
        <f>'[18]2. BM Database'!P569/1000</f>
        <v>47.692</v>
      </c>
      <c r="H770" s="16">
        <f t="shared" ref="H770:H782" si="157">MAX(G770,H769)</f>
        <v>50.33</v>
      </c>
      <c r="I770" s="18">
        <f>'[18]2. BM Database'!L569</f>
        <v>10811</v>
      </c>
      <c r="J770" s="18">
        <f>'[18]2. BM Database'!R569</f>
        <v>168</v>
      </c>
      <c r="K770" s="18">
        <f t="shared" si="156"/>
        <v>67</v>
      </c>
      <c r="L770" s="19">
        <f>'[18]2. BM Database'!T569</f>
        <v>0.39880952380952384</v>
      </c>
      <c r="M770" s="9"/>
      <c r="N770" s="9"/>
    </row>
    <row r="771" spans="1:14">
      <c r="A771" s="15" t="str">
        <f>'[18]2. BM Database'!B570</f>
        <v>ORANGEVILLE HYDRO LIMITED</v>
      </c>
      <c r="B771" s="15">
        <v>3047</v>
      </c>
      <c r="C771" s="43">
        <f>'[18]2. BM Database'!C570</f>
        <v>2008</v>
      </c>
      <c r="D771" s="15">
        <v>3</v>
      </c>
      <c r="E771" s="17">
        <f>'[18]2. BM Database'!F570/1000</f>
        <v>2363.4015199999999</v>
      </c>
      <c r="F771" s="41">
        <f t="shared" si="155"/>
        <v>1.078564603993923</v>
      </c>
      <c r="G771" s="44">
        <f>'[18]2. BM Database'!P570/1000</f>
        <v>44.088999999999999</v>
      </c>
      <c r="H771" s="16">
        <f t="shared" si="157"/>
        <v>50.33</v>
      </c>
      <c r="I771" s="18">
        <f>'[18]2. BM Database'!L570</f>
        <v>10881</v>
      </c>
      <c r="J771" s="18">
        <f>'[18]2. BM Database'!R570</f>
        <v>170</v>
      </c>
      <c r="K771" s="18">
        <f t="shared" si="156"/>
        <v>67</v>
      </c>
      <c r="L771" s="19">
        <f>'[18]2. BM Database'!T570</f>
        <v>0.39411764705882352</v>
      </c>
      <c r="M771" s="9"/>
      <c r="N771" s="9"/>
    </row>
    <row r="772" spans="1:14">
      <c r="A772" s="15" t="str">
        <f>'[18]2. BM Database'!B571</f>
        <v>ORANGEVILLE HYDRO LIMITED</v>
      </c>
      <c r="B772" s="15">
        <v>3047</v>
      </c>
      <c r="C772" s="43">
        <f>'[18]2. BM Database'!C571</f>
        <v>2009</v>
      </c>
      <c r="D772" s="15">
        <v>3</v>
      </c>
      <c r="E772" s="17">
        <f>'[18]2. BM Database'!F571/1000</f>
        <v>2370.1394400000004</v>
      </c>
      <c r="F772" s="41">
        <f t="shared" si="155"/>
        <v>1.0915070880241431</v>
      </c>
      <c r="G772" s="44">
        <f>'[18]2. BM Database'!P571/1000</f>
        <v>45.326000000000001</v>
      </c>
      <c r="H772" s="16">
        <f t="shared" si="157"/>
        <v>50.33</v>
      </c>
      <c r="I772" s="18">
        <f>'[18]2. BM Database'!L571</f>
        <v>11091</v>
      </c>
      <c r="J772" s="18">
        <f>'[18]2. BM Database'!R571</f>
        <v>173</v>
      </c>
      <c r="K772" s="18">
        <f t="shared" si="156"/>
        <v>71</v>
      </c>
      <c r="L772" s="19">
        <f>'[18]2. BM Database'!T571</f>
        <v>0.41040462427745666</v>
      </c>
      <c r="M772" s="9"/>
      <c r="N772" s="9"/>
    </row>
    <row r="773" spans="1:14">
      <c r="A773" s="15" t="str">
        <f>'[18]2. BM Database'!B572</f>
        <v>ORANGEVILLE HYDRO LIMITED</v>
      </c>
      <c r="B773" s="15">
        <v>3047</v>
      </c>
      <c r="C773" s="43">
        <f>'[18]2. BM Database'!C572</f>
        <v>2010</v>
      </c>
      <c r="D773" s="15">
        <v>3</v>
      </c>
      <c r="E773" s="17">
        <f>'[18]2. BM Database'!F572/1000</f>
        <v>2558.2311199999999</v>
      </c>
      <c r="F773" s="41">
        <f t="shared" si="155"/>
        <v>1.1243125351578573</v>
      </c>
      <c r="G773" s="44">
        <f>'[18]2. BM Database'!P572/1000</f>
        <v>47.841000000000001</v>
      </c>
      <c r="H773" s="16">
        <f t="shared" si="157"/>
        <v>50.33</v>
      </c>
      <c r="I773" s="18">
        <f>'[18]2. BM Database'!L572</f>
        <v>11256</v>
      </c>
      <c r="J773" s="18">
        <f>'[18]2. BM Database'!R572</f>
        <v>176</v>
      </c>
      <c r="K773" s="18">
        <f t="shared" si="156"/>
        <v>73</v>
      </c>
      <c r="L773" s="19">
        <f>'[18]2. BM Database'!T572</f>
        <v>0.41477272727272729</v>
      </c>
      <c r="M773" s="9"/>
      <c r="N773" s="9"/>
    </row>
    <row r="774" spans="1:14">
      <c r="A774" s="15" t="str">
        <f>'[18]2. BM Database'!B573</f>
        <v>ORANGEVILLE HYDRO LIMITED</v>
      </c>
      <c r="B774" s="15">
        <v>3047</v>
      </c>
      <c r="C774" s="43">
        <f>'[18]2. BM Database'!C573</f>
        <v>2011</v>
      </c>
      <c r="D774" s="15">
        <v>3</v>
      </c>
      <c r="E774" s="17">
        <f>'[18]2. BM Database'!F573/1000</f>
        <v>2866.5650100000003</v>
      </c>
      <c r="F774" s="41">
        <f t="shared" si="155"/>
        <v>1.1430978626415853</v>
      </c>
      <c r="G774" s="44">
        <f>'[18]2. BM Database'!P573/1000</f>
        <v>47.996000000000002</v>
      </c>
      <c r="H774" s="16">
        <f t="shared" si="157"/>
        <v>50.33</v>
      </c>
      <c r="I774" s="18">
        <f>'[18]2. BM Database'!L573</f>
        <v>11248</v>
      </c>
      <c r="J774" s="18">
        <f>'[18]2. BM Database'!R573</f>
        <v>176</v>
      </c>
      <c r="K774" s="18">
        <f t="shared" si="156"/>
        <v>73</v>
      </c>
      <c r="L774" s="19">
        <f>'[18]2. BM Database'!T573</f>
        <v>0.41477272727272729</v>
      </c>
      <c r="M774" s="9"/>
      <c r="N774" s="9"/>
    </row>
    <row r="775" spans="1:14">
      <c r="A775" s="15" t="str">
        <f>'[18]2. BM Database'!B574</f>
        <v>ORANGEVILLE HYDRO LIMITED</v>
      </c>
      <c r="B775" s="15">
        <v>3047</v>
      </c>
      <c r="C775" s="43">
        <f>'[18]2. BM Database'!C574</f>
        <v>2012</v>
      </c>
      <c r="D775" s="15">
        <v>3</v>
      </c>
      <c r="E775" s="17">
        <f>'[18]2. BM Database'!F574/1000</f>
        <v>3031.3892965463438</v>
      </c>
      <c r="F775" s="41">
        <f t="shared" si="155"/>
        <v>1.160126854517312</v>
      </c>
      <c r="G775" s="44">
        <f>'[18]2. BM Database'!P574/1000</f>
        <v>47.32</v>
      </c>
      <c r="H775" s="16">
        <f t="shared" si="157"/>
        <v>50.33</v>
      </c>
      <c r="I775" s="18">
        <f>'[18]2. BM Database'!L574</f>
        <v>11392</v>
      </c>
      <c r="J775" s="18">
        <f>'[18]2. BM Database'!R574</f>
        <v>187</v>
      </c>
      <c r="K775" s="18">
        <f t="shared" si="156"/>
        <v>92</v>
      </c>
      <c r="L775" s="19">
        <f>'[18]2. BM Database'!T574</f>
        <v>0.49197860962566847</v>
      </c>
      <c r="M775" s="9"/>
      <c r="N775" s="9"/>
    </row>
    <row r="776" spans="1:14" s="15" customFormat="1">
      <c r="A776" s="15" t="s">
        <v>72</v>
      </c>
      <c r="B776" s="15">
        <v>3047</v>
      </c>
      <c r="C776" s="43">
        <v>2013</v>
      </c>
      <c r="D776" s="15">
        <v>3</v>
      </c>
      <c r="E776" s="17">
        <f>HLOOKUP(A776,'[19]2013 Benchmarking Calculations'!$I$3:$CC$76,6,FALSE)/1000</f>
        <v>3315.70336</v>
      </c>
      <c r="F776" s="41">
        <f t="shared" si="155"/>
        <v>1.178602141578931</v>
      </c>
      <c r="G776" s="44">
        <f>HLOOKUP(A776,'[19]2013 Benchmarking Calculations'!$I$3:$CC$76,57,FALSE)/1000</f>
        <v>47.081000000000003</v>
      </c>
      <c r="H776" s="16">
        <f t="shared" si="157"/>
        <v>50.33</v>
      </c>
      <c r="I776" s="18">
        <f>HLOOKUP(A776,'[19]2013 Benchmarking Calculations'!$I$3:$CC$76,53,FALSE)</f>
        <v>11508</v>
      </c>
      <c r="J776" s="18">
        <f>HLOOKUP(A776,'[19]2013 Benchmarking Calculations'!$I$3:$CC$76,71,FALSE)</f>
        <v>204</v>
      </c>
      <c r="K776" s="18">
        <f t="shared" si="156"/>
        <v>123.99999999999999</v>
      </c>
      <c r="L776" s="19">
        <f>HLOOKUP(A776,'[19]2013 PBR data '!B$42:BV$68,15,FALSE)/HLOOKUP(A776,'[19]2013 PBR data '!B$42:BV$68,13,FALSE)</f>
        <v>0.60784313725490191</v>
      </c>
      <c r="M776" s="9"/>
      <c r="N776" s="9"/>
    </row>
    <row r="777" spans="1:14" s="15" customFormat="1">
      <c r="A777" s="15" t="s">
        <v>72</v>
      </c>
      <c r="B777" s="15">
        <v>3047</v>
      </c>
      <c r="C777" s="43">
        <v>2014</v>
      </c>
      <c r="D777" s="15">
        <v>3</v>
      </c>
      <c r="E777" s="17">
        <f>VLOOKUP(A777,[20]Result!$B$12:$D$84,2,FALSE)/10^3</f>
        <v>3224.2429999999999</v>
      </c>
      <c r="F777" s="41">
        <f t="shared" si="155"/>
        <v>1.2030671041042156</v>
      </c>
      <c r="G777" s="44">
        <f>VLOOKUP(A777,'[21]General transpose'!$A$1:$AF$73,26,FALSE)/10^3</f>
        <v>44.582999999999998</v>
      </c>
      <c r="H777" s="16">
        <f t="shared" si="157"/>
        <v>50.33</v>
      </c>
      <c r="I777" s="18">
        <f>VLOOKUP(A777,'[21]General transpose'!$A$1:$AF$73,8,FALSE)</f>
        <v>11685</v>
      </c>
      <c r="J777" s="18">
        <f>VLOOKUP(A777,'[21]General transpose'!$A$1:$AF$73,16,FALSE)</f>
        <v>208</v>
      </c>
      <c r="K777" s="18">
        <f t="shared" si="156"/>
        <v>129</v>
      </c>
      <c r="L777" s="19">
        <f>VLOOKUP(A777,'[21]General transpose'!$A$1:$AF$73,17,FALSE)</f>
        <v>0.62019230769230771</v>
      </c>
      <c r="M777" s="9"/>
      <c r="N777" s="9"/>
    </row>
    <row r="778" spans="1:14" s="15" customFormat="1">
      <c r="A778" s="15" t="s">
        <v>72</v>
      </c>
      <c r="B778" s="15">
        <v>3047</v>
      </c>
      <c r="C778" s="43">
        <v>2015</v>
      </c>
      <c r="D778" s="15">
        <v>3</v>
      </c>
      <c r="E778" s="17">
        <f>VLOOKUP(A777,[20]Result!$B$12:$D$84,3,FALSE)/10^3</f>
        <v>3280.2640000000001</v>
      </c>
      <c r="F778" s="41">
        <f t="shared" si="155"/>
        <v>1.2312762402864634</v>
      </c>
      <c r="G778" s="44">
        <f>VLOOKUP(A777,'[22]General transpose'!$A$1:$AF$73,26,FALSE)/10^3</f>
        <v>45.023000000000003</v>
      </c>
      <c r="H778" s="16">
        <f t="shared" si="157"/>
        <v>50.33</v>
      </c>
      <c r="I778" s="18">
        <f>VLOOKUP(A777,'[22]General transpose'!$A$1:$AF$73,8,FALSE)</f>
        <v>11840</v>
      </c>
      <c r="J778" s="18">
        <f>VLOOKUP(A777,'[22]General transpose'!$A$1:$AF$73,16,FALSE)</f>
        <v>209</v>
      </c>
      <c r="K778" s="18">
        <f t="shared" si="156"/>
        <v>131</v>
      </c>
      <c r="L778" s="19">
        <f>VLOOKUP(A777,'[22]General transpose'!$A$1:$AF$73,17,FALSE)</f>
        <v>0.62679425837320579</v>
      </c>
      <c r="M778" s="9"/>
      <c r="N778" s="9"/>
    </row>
    <row r="779" spans="1:14" s="15" customFormat="1">
      <c r="A779" s="15" t="s">
        <v>72</v>
      </c>
      <c r="B779" s="15">
        <v>3047</v>
      </c>
      <c r="C779" s="43">
        <v>2016</v>
      </c>
      <c r="D779" s="15">
        <v>3</v>
      </c>
      <c r="E779" s="17">
        <f>'[14]2016 Benchmarking Calculations'!$BF$8/1000</f>
        <v>3309.3307599999998</v>
      </c>
      <c r="F779" s="41">
        <f t="shared" si="155"/>
        <v>1.2455044937824149</v>
      </c>
      <c r="G779" s="44">
        <f>HLOOKUP(A779,[23]General!$A$1:$BQ$23,22,FALSE)/10^3</f>
        <v>47.804000000000002</v>
      </c>
      <c r="H779" s="16">
        <f t="shared" si="157"/>
        <v>50.33</v>
      </c>
      <c r="I779" s="18">
        <f>HLOOKUP(A779,[23]General!$A$1:$BQ$23,9,FALSE)</f>
        <v>12000</v>
      </c>
      <c r="J779" s="18">
        <f>HLOOKUP(A779,[23]General!$A$1:$BQ$23,17,FALSE)</f>
        <v>216</v>
      </c>
      <c r="K779" s="18">
        <f t="shared" si="156"/>
        <v>138</v>
      </c>
      <c r="L779" s="19">
        <f>HLOOKUP(A779,[23]General!$A$1:$BQ$23,18,FALSE)</f>
        <v>0.63888888888888884</v>
      </c>
      <c r="M779" s="9"/>
      <c r="N779" s="9"/>
    </row>
    <row r="780" spans="1:14" s="15" customFormat="1">
      <c r="A780" s="15" t="s">
        <v>72</v>
      </c>
      <c r="B780" s="15">
        <v>3047</v>
      </c>
      <c r="C780" s="43">
        <v>2017</v>
      </c>
      <c r="D780" s="15">
        <v>3</v>
      </c>
      <c r="E780" s="17">
        <f>'[14]2017 Benchmarking Calculations'!$BH$9/1000</f>
        <v>3299.2876700000006</v>
      </c>
      <c r="F780" s="41">
        <f t="shared" si="155"/>
        <v>1.2674505553724562</v>
      </c>
      <c r="G780" s="44">
        <f>'[14]2017 Benchmarking Calculations'!$BH$60/1000</f>
        <v>46.146999999999998</v>
      </c>
      <c r="H780" s="16">
        <f t="shared" si="157"/>
        <v>50.33</v>
      </c>
      <c r="I780" s="18">
        <f>'[14]2017 Benchmarking Calculations'!$BH$56</f>
        <v>12365</v>
      </c>
      <c r="J780" s="18">
        <f>'[14]2017 Utility Characteristics'!$AY$79</f>
        <v>221</v>
      </c>
      <c r="K780" s="15">
        <f>'[14]2017 Utility Characteristics'!$AY$81</f>
        <v>144</v>
      </c>
      <c r="L780" s="19">
        <f>K780/J780</f>
        <v>0.65158371040723984</v>
      </c>
      <c r="M780" s="9"/>
      <c r="N780" s="9"/>
    </row>
    <row r="781" spans="1:14" s="15" customFormat="1">
      <c r="A781" s="15" t="s">
        <v>72</v>
      </c>
      <c r="B781" s="15">
        <v>3047</v>
      </c>
      <c r="C781" s="43">
        <v>2018</v>
      </c>
      <c r="D781" s="15">
        <v>3</v>
      </c>
      <c r="E781" s="17">
        <f>'[16]2018 Benchmarking Calculations'!$BH$10/1000</f>
        <v>3204.3082000000004</v>
      </c>
      <c r="F781" s="41">
        <f t="shared" si="155"/>
        <v>1.2994718602728874</v>
      </c>
      <c r="G781" s="44">
        <f>'[16]2018 Benchmarking Calculations'!$BH$61/1000</f>
        <v>48.441000000000003</v>
      </c>
      <c r="H781" s="16">
        <f t="shared" si="157"/>
        <v>50.33</v>
      </c>
      <c r="I781" s="18">
        <f>'[16]2018 Benchmarking Calculations'!$BH$57</f>
        <v>12583</v>
      </c>
      <c r="J781" s="18">
        <f>'[16]2018 Utility Characteristics'!$BB$103</f>
        <v>222</v>
      </c>
      <c r="K781" s="18">
        <f>'[16]2018 Utility Characteristics'!$BB$105</f>
        <v>145</v>
      </c>
      <c r="L781" s="19">
        <f>K781/J781</f>
        <v>0.65315315315315314</v>
      </c>
      <c r="M781" s="9"/>
      <c r="N781" s="9"/>
    </row>
    <row r="782" spans="1:14" s="15" customFormat="1">
      <c r="A782" s="15" t="s">
        <v>72</v>
      </c>
      <c r="B782" s="15">
        <v>3047</v>
      </c>
      <c r="C782" s="43">
        <v>2019</v>
      </c>
      <c r="D782" s="15">
        <v>3</v>
      </c>
      <c r="E782" s="17">
        <f>'[17]2019 Benchmarking Calculations'!$BH$10/1000</f>
        <v>3419.2939399999996</v>
      </c>
      <c r="F782" s="41">
        <f t="shared" si="155"/>
        <v>1.3352608354138498</v>
      </c>
      <c r="G782" s="44">
        <f>'[17]2019 Benchmarking Calculations'!$BH$61/1000</f>
        <v>45.152999999999999</v>
      </c>
      <c r="H782" s="16">
        <f t="shared" si="157"/>
        <v>50.33</v>
      </c>
      <c r="I782" s="18">
        <f>'[17]2019 Benchmarking Calculations'!$BH$57</f>
        <v>12652</v>
      </c>
      <c r="J782" s="18">
        <f>'[17]2019 Utility Characteristics'!$BB$13</f>
        <v>221</v>
      </c>
      <c r="K782" s="18">
        <f>'[17]2019 Utility Characteristics'!$BB$18</f>
        <v>146</v>
      </c>
      <c r="L782" s="19">
        <f>K782/J782</f>
        <v>0.66063348416289591</v>
      </c>
      <c r="M782" s="9"/>
      <c r="N782" s="9"/>
    </row>
    <row r="783" spans="1:14">
      <c r="A783" s="15" t="str">
        <f>'[18]2. BM Database'!B578</f>
        <v>ORILLIA POWER DISTRIBUTION CORPORATION</v>
      </c>
      <c r="B783" s="15">
        <v>3044</v>
      </c>
      <c r="C783" s="43">
        <f>'[18]2. BM Database'!C578</f>
        <v>2005</v>
      </c>
      <c r="D783" s="15">
        <v>3</v>
      </c>
      <c r="E783" s="17">
        <f>'[18]2. BM Database'!F578/1000</f>
        <v>2949.15517</v>
      </c>
      <c r="F783" s="41">
        <f t="shared" ref="F783:F797" si="158">F768</f>
        <v>1</v>
      </c>
      <c r="G783" s="44">
        <f>'[18]2. BM Database'!P578/1000</f>
        <v>60.655999999999999</v>
      </c>
      <c r="H783" s="16">
        <f>G783</f>
        <v>60.655999999999999</v>
      </c>
      <c r="I783" s="18">
        <f>'[18]2. BM Database'!L578</f>
        <v>12374</v>
      </c>
      <c r="J783" s="18">
        <f>'[18]2. BM Database'!R578</f>
        <v>299</v>
      </c>
      <c r="K783" s="18">
        <f t="shared" ref="K783:K794" si="159">J783*L783</f>
        <v>54</v>
      </c>
      <c r="L783" s="19">
        <f>'[18]2. BM Database'!T578</f>
        <v>0.1806020066889632</v>
      </c>
      <c r="M783" s="9"/>
      <c r="N783" s="9"/>
    </row>
    <row r="784" spans="1:14">
      <c r="A784" s="15" t="str">
        <f>'[18]2. BM Database'!B579</f>
        <v>ORILLIA POWER DISTRIBUTION CORPORATION</v>
      </c>
      <c r="B784" s="15">
        <v>3044</v>
      </c>
      <c r="C784" s="43">
        <f>'[18]2. BM Database'!C579</f>
        <v>2006</v>
      </c>
      <c r="D784" s="15">
        <v>3</v>
      </c>
      <c r="E784" s="17">
        <f>'[18]2. BM Database'!F579/1000</f>
        <v>3278.1741500000003</v>
      </c>
      <c r="F784" s="41">
        <f t="shared" si="158"/>
        <v>1.0181607380073696</v>
      </c>
      <c r="G784" s="44">
        <f>'[18]2. BM Database'!P579/1000</f>
        <v>58.542000000000002</v>
      </c>
      <c r="H784" s="16">
        <f>MAX(G784,H783)</f>
        <v>60.655999999999999</v>
      </c>
      <c r="I784" s="18">
        <f>'[18]2. BM Database'!L579</f>
        <v>12551</v>
      </c>
      <c r="J784" s="18">
        <f>'[18]2. BM Database'!R579</f>
        <v>302</v>
      </c>
      <c r="K784" s="18">
        <f t="shared" si="159"/>
        <v>57</v>
      </c>
      <c r="L784" s="19">
        <f>'[18]2. BM Database'!T579</f>
        <v>0.18874172185430463</v>
      </c>
      <c r="M784" s="9"/>
      <c r="N784" s="9"/>
    </row>
    <row r="785" spans="1:14">
      <c r="A785" s="15" t="str">
        <f>'[18]2. BM Database'!B580</f>
        <v>ORILLIA POWER DISTRIBUTION CORPORATION</v>
      </c>
      <c r="B785" s="15">
        <v>3044</v>
      </c>
      <c r="C785" s="43">
        <f>'[18]2. BM Database'!C580</f>
        <v>2007</v>
      </c>
      <c r="D785" s="15">
        <v>3</v>
      </c>
      <c r="E785" s="17">
        <f>'[18]2. BM Database'!F580/1000</f>
        <v>3413.8309900000008</v>
      </c>
      <c r="F785" s="41">
        <f t="shared" si="158"/>
        <v>1.0531931014872313</v>
      </c>
      <c r="G785" s="44">
        <f>'[18]2. BM Database'!P580/1000</f>
        <v>57.057000000000002</v>
      </c>
      <c r="H785" s="16">
        <f t="shared" ref="H785:H797" si="160">MAX(G785,H784)</f>
        <v>60.655999999999999</v>
      </c>
      <c r="I785" s="18">
        <f>'[18]2. BM Database'!L580</f>
        <v>12648</v>
      </c>
      <c r="J785" s="18">
        <f>'[18]2. BM Database'!R580</f>
        <v>302</v>
      </c>
      <c r="K785" s="18">
        <f t="shared" si="159"/>
        <v>57</v>
      </c>
      <c r="L785" s="19">
        <f>'[18]2. BM Database'!T580</f>
        <v>0.18874172185430463</v>
      </c>
      <c r="M785" s="9"/>
      <c r="N785" s="9"/>
    </row>
    <row r="786" spans="1:14">
      <c r="A786" s="15" t="str">
        <f>'[18]2. BM Database'!B581</f>
        <v>ORILLIA POWER DISTRIBUTION CORPORATION</v>
      </c>
      <c r="B786" s="15">
        <v>3044</v>
      </c>
      <c r="C786" s="43">
        <f>'[18]2. BM Database'!C581</f>
        <v>2008</v>
      </c>
      <c r="D786" s="15">
        <v>3</v>
      </c>
      <c r="E786" s="17">
        <f>'[18]2. BM Database'!F581/1000</f>
        <v>3737.5250899999996</v>
      </c>
      <c r="F786" s="41">
        <f t="shared" si="158"/>
        <v>1.078564603993923</v>
      </c>
      <c r="G786" s="44">
        <f>'[18]2. BM Database'!P581/1000</f>
        <v>55.774999999999999</v>
      </c>
      <c r="H786" s="16">
        <f t="shared" si="160"/>
        <v>60.655999999999999</v>
      </c>
      <c r="I786" s="18">
        <f>'[18]2. BM Database'!L581</f>
        <v>12797</v>
      </c>
      <c r="J786" s="18">
        <f>'[18]2. BM Database'!R581</f>
        <v>304</v>
      </c>
      <c r="K786" s="18">
        <f t="shared" si="159"/>
        <v>59</v>
      </c>
      <c r="L786" s="19">
        <f>'[18]2. BM Database'!T581</f>
        <v>0.19407894736842105</v>
      </c>
      <c r="M786" s="9"/>
      <c r="N786" s="9"/>
    </row>
    <row r="787" spans="1:14">
      <c r="A787" s="15" t="str">
        <f>'[18]2. BM Database'!B582</f>
        <v>ORILLIA POWER DISTRIBUTION CORPORATION</v>
      </c>
      <c r="B787" s="15">
        <v>3044</v>
      </c>
      <c r="C787" s="43">
        <f>'[18]2. BM Database'!C582</f>
        <v>2009</v>
      </c>
      <c r="D787" s="15">
        <v>3</v>
      </c>
      <c r="E787" s="17">
        <f>'[18]2. BM Database'!F582/1000</f>
        <v>3831.3342299999999</v>
      </c>
      <c r="F787" s="41">
        <f t="shared" si="158"/>
        <v>1.0915070880241431</v>
      </c>
      <c r="G787" s="44">
        <f>'[18]2. BM Database'!P582/1000</f>
        <v>59.109000000000002</v>
      </c>
      <c r="H787" s="16">
        <f t="shared" si="160"/>
        <v>60.655999999999999</v>
      </c>
      <c r="I787" s="18">
        <f>'[18]2. BM Database'!L582</f>
        <v>12809</v>
      </c>
      <c r="J787" s="18">
        <f>'[18]2. BM Database'!R582</f>
        <v>307</v>
      </c>
      <c r="K787" s="18">
        <f t="shared" si="159"/>
        <v>59</v>
      </c>
      <c r="L787" s="19">
        <f>'[18]2. BM Database'!T582</f>
        <v>0.19218241042345277</v>
      </c>
      <c r="M787" s="9"/>
      <c r="N787" s="9"/>
    </row>
    <row r="788" spans="1:14">
      <c r="A788" s="15" t="str">
        <f>'[18]2. BM Database'!B583</f>
        <v>ORILLIA POWER DISTRIBUTION CORPORATION</v>
      </c>
      <c r="B788" s="15">
        <v>3044</v>
      </c>
      <c r="C788" s="43">
        <f>'[18]2. BM Database'!C583</f>
        <v>2010</v>
      </c>
      <c r="D788" s="15">
        <v>3</v>
      </c>
      <c r="E788" s="17">
        <f>'[18]2. BM Database'!F583/1000</f>
        <v>4093.7507700000006</v>
      </c>
      <c r="F788" s="41">
        <f t="shared" si="158"/>
        <v>1.1243125351578573</v>
      </c>
      <c r="G788" s="44">
        <f>'[18]2. BM Database'!P583/1000</f>
        <v>57.908000000000001</v>
      </c>
      <c r="H788" s="16">
        <f t="shared" si="160"/>
        <v>60.655999999999999</v>
      </c>
      <c r="I788" s="18">
        <f>'[18]2. BM Database'!L583</f>
        <v>12862</v>
      </c>
      <c r="J788" s="18">
        <f>'[18]2. BM Database'!R583</f>
        <v>313</v>
      </c>
      <c r="K788" s="18">
        <f t="shared" si="159"/>
        <v>65</v>
      </c>
      <c r="L788" s="19">
        <f>'[18]2. BM Database'!T583</f>
        <v>0.20766773162939298</v>
      </c>
      <c r="M788" s="9"/>
      <c r="N788" s="9"/>
    </row>
    <row r="789" spans="1:14">
      <c r="A789" s="15" t="str">
        <f>'[18]2. BM Database'!B584</f>
        <v>ORILLIA POWER DISTRIBUTION CORPORATION</v>
      </c>
      <c r="B789" s="15">
        <v>3044</v>
      </c>
      <c r="C789" s="43">
        <f>'[18]2. BM Database'!C584</f>
        <v>2011</v>
      </c>
      <c r="D789" s="15">
        <v>3</v>
      </c>
      <c r="E789" s="17">
        <f>'[18]2. BM Database'!F584/1000</f>
        <v>4405.7076100000004</v>
      </c>
      <c r="F789" s="41">
        <f t="shared" si="158"/>
        <v>1.1430978626415853</v>
      </c>
      <c r="G789" s="44">
        <f>'[18]2. BM Database'!P584/1000</f>
        <v>59.311999999999998</v>
      </c>
      <c r="H789" s="16">
        <f t="shared" si="160"/>
        <v>60.655999999999999</v>
      </c>
      <c r="I789" s="18">
        <f>'[18]2. BM Database'!L584</f>
        <v>13035</v>
      </c>
      <c r="J789" s="18">
        <f>'[18]2. BM Database'!R584</f>
        <v>314</v>
      </c>
      <c r="K789" s="18">
        <f t="shared" si="159"/>
        <v>66</v>
      </c>
      <c r="L789" s="19">
        <f>'[18]2. BM Database'!T584</f>
        <v>0.21019108280254778</v>
      </c>
      <c r="M789" s="9"/>
      <c r="N789" s="9"/>
    </row>
    <row r="790" spans="1:14">
      <c r="A790" s="15" t="str">
        <f>'[18]2. BM Database'!B585</f>
        <v>ORILLIA POWER DISTRIBUTION CORPORATION</v>
      </c>
      <c r="B790" s="15">
        <v>3044</v>
      </c>
      <c r="C790" s="43">
        <f>'[18]2. BM Database'!C585</f>
        <v>2012</v>
      </c>
      <c r="D790" s="15">
        <v>3</v>
      </c>
      <c r="E790" s="17">
        <f>'[18]2. BM Database'!F585/1000</f>
        <v>4587.5126666000006</v>
      </c>
      <c r="F790" s="41">
        <f t="shared" si="158"/>
        <v>1.160126854517312</v>
      </c>
      <c r="G790" s="44">
        <f>'[18]2. BM Database'!P585/1000</f>
        <v>56.768999999999998</v>
      </c>
      <c r="H790" s="16">
        <f t="shared" si="160"/>
        <v>60.655999999999999</v>
      </c>
      <c r="I790" s="18">
        <f>'[18]2. BM Database'!L585</f>
        <v>13146</v>
      </c>
      <c r="J790" s="18">
        <f>'[18]2. BM Database'!R585</f>
        <v>244</v>
      </c>
      <c r="K790" s="18">
        <f t="shared" si="159"/>
        <v>62</v>
      </c>
      <c r="L790" s="19">
        <f>'[18]2. BM Database'!T585</f>
        <v>0.25409836065573771</v>
      </c>
      <c r="M790" s="9"/>
      <c r="N790" s="9"/>
    </row>
    <row r="791" spans="1:14" s="15" customFormat="1">
      <c r="A791" s="15" t="s">
        <v>73</v>
      </c>
      <c r="B791" s="15">
        <v>3044</v>
      </c>
      <c r="C791" s="43">
        <v>2013</v>
      </c>
      <c r="D791" s="15">
        <v>3</v>
      </c>
      <c r="E791" s="17">
        <f>HLOOKUP(A791,'[19]2013 Benchmarking Calculations'!$I$3:$CC$76,6,FALSE)/1000</f>
        <v>4440.7947200000008</v>
      </c>
      <c r="F791" s="41">
        <f t="shared" si="158"/>
        <v>1.178602141578931</v>
      </c>
      <c r="G791" s="44">
        <f>HLOOKUP(A791,'[19]2013 Benchmarking Calculations'!$I$3:$CC$76,57,FALSE)/1000</f>
        <v>58.786000000000001</v>
      </c>
      <c r="H791" s="16">
        <f t="shared" si="160"/>
        <v>60.655999999999999</v>
      </c>
      <c r="I791" s="18">
        <f>HLOOKUP(A791,'[19]2013 Benchmarking Calculations'!$I$3:$CC$76,53,FALSE)</f>
        <v>13219</v>
      </c>
      <c r="J791" s="18">
        <f>HLOOKUP(A791,'[19]2013 Benchmarking Calculations'!$I$3:$CC$76,71,FALSE)</f>
        <v>242</v>
      </c>
      <c r="K791" s="18">
        <f t="shared" si="159"/>
        <v>65</v>
      </c>
      <c r="L791" s="19">
        <f>HLOOKUP(A791,'[19]2013 PBR data '!B$42:BV$68,15,FALSE)/HLOOKUP(A791,'[19]2013 PBR data '!B$42:BV$68,13,FALSE)</f>
        <v>0.26859504132231404</v>
      </c>
      <c r="M791" s="9"/>
      <c r="N791" s="9"/>
    </row>
    <row r="792" spans="1:14" s="15" customFormat="1">
      <c r="A792" s="15" t="s">
        <v>73</v>
      </c>
      <c r="B792" s="15">
        <v>3044</v>
      </c>
      <c r="C792" s="43">
        <v>2014</v>
      </c>
      <c r="D792" s="15">
        <v>3</v>
      </c>
      <c r="E792" s="17">
        <f>VLOOKUP(A792,[20]Result!$B$12:$D$84,2,FALSE)/10^3</f>
        <v>4473.442</v>
      </c>
      <c r="F792" s="41">
        <f t="shared" si="158"/>
        <v>1.2030671041042156</v>
      </c>
      <c r="G792" s="44">
        <f>VLOOKUP(A792,'[21]General transpose'!$A$1:$AF$73,26,FALSE)/10^3</f>
        <v>57.953000000000003</v>
      </c>
      <c r="H792" s="16">
        <f t="shared" si="160"/>
        <v>60.655999999999999</v>
      </c>
      <c r="I792" s="18">
        <f>VLOOKUP(A792,'[21]General transpose'!$A$1:$AF$73,8,FALSE)</f>
        <v>13340</v>
      </c>
      <c r="J792" s="18">
        <f>VLOOKUP(A792,'[21]General transpose'!$A$1:$AF$73,16,FALSE)</f>
        <v>242</v>
      </c>
      <c r="K792" s="18">
        <f t="shared" si="159"/>
        <v>66</v>
      </c>
      <c r="L792" s="19">
        <f>VLOOKUP(A792,'[21]General transpose'!$A$1:$AF$73,17,FALSE)</f>
        <v>0.27272727272727271</v>
      </c>
      <c r="M792" s="9"/>
      <c r="N792" s="9"/>
    </row>
    <row r="793" spans="1:14" s="15" customFormat="1">
      <c r="A793" s="15" t="s">
        <v>73</v>
      </c>
      <c r="B793" s="15">
        <v>3044</v>
      </c>
      <c r="C793" s="43">
        <v>2015</v>
      </c>
      <c r="D793" s="15">
        <v>3</v>
      </c>
      <c r="E793" s="17">
        <f>VLOOKUP(A792,[20]Result!$B$12:$D$84,3,FALSE)/10^3</f>
        <v>4427.2049999999999</v>
      </c>
      <c r="F793" s="41">
        <f t="shared" si="158"/>
        <v>1.2312762402864634</v>
      </c>
      <c r="G793" s="44">
        <f>VLOOKUP(A792,'[22]General transpose'!$A$1:$AF$73,26,FALSE)/10^3</f>
        <v>56.061999999999998</v>
      </c>
      <c r="H793" s="16">
        <f t="shared" si="160"/>
        <v>60.655999999999999</v>
      </c>
      <c r="I793" s="18">
        <f>VLOOKUP(A792,'[22]General transpose'!$A$1:$AF$73,8,FALSE)</f>
        <v>13445</v>
      </c>
      <c r="J793" s="18">
        <f>VLOOKUP(A792,'[22]General transpose'!$A$1:$AF$73,16,FALSE)</f>
        <v>233</v>
      </c>
      <c r="K793" s="18">
        <f t="shared" si="159"/>
        <v>62</v>
      </c>
      <c r="L793" s="19">
        <f>VLOOKUP(A792,'[22]General transpose'!$A$1:$AF$73,17,FALSE)</f>
        <v>0.26609442060085836</v>
      </c>
      <c r="M793" s="9"/>
      <c r="N793" s="9"/>
    </row>
    <row r="794" spans="1:14" s="15" customFormat="1">
      <c r="A794" s="15" t="s">
        <v>73</v>
      </c>
      <c r="B794" s="15">
        <v>3044</v>
      </c>
      <c r="C794" s="43">
        <v>2016</v>
      </c>
      <c r="D794" s="15">
        <v>3</v>
      </c>
      <c r="E794" s="17">
        <f>'[14]2016 Benchmarking Calculations'!$BG$8/1000</f>
        <v>4682.0940000000001</v>
      </c>
      <c r="F794" s="41">
        <f t="shared" si="158"/>
        <v>1.2455044937824149</v>
      </c>
      <c r="G794" s="44">
        <f>HLOOKUP(A794,[23]General!$A$1:$BQ$23,22,FALSE)/10^3</f>
        <v>54.484999999999999</v>
      </c>
      <c r="H794" s="16">
        <f t="shared" si="160"/>
        <v>60.655999999999999</v>
      </c>
      <c r="I794" s="18">
        <f>HLOOKUP(A794,[23]General!$A$1:$BQ$23,9,FALSE)</f>
        <v>13570</v>
      </c>
      <c r="J794" s="18">
        <f>HLOOKUP(A794,[23]General!$A$1:$BQ$23,17,FALSE)</f>
        <v>239</v>
      </c>
      <c r="K794" s="18">
        <f t="shared" si="159"/>
        <v>66</v>
      </c>
      <c r="L794" s="19">
        <f>HLOOKUP(A794,[23]General!$A$1:$BQ$23,18,FALSE)</f>
        <v>0.27615062761506276</v>
      </c>
      <c r="M794" s="9"/>
      <c r="N794" s="9"/>
    </row>
    <row r="795" spans="1:14" s="15" customFormat="1">
      <c r="A795" s="15" t="s">
        <v>73</v>
      </c>
      <c r="B795" s="15">
        <v>3044</v>
      </c>
      <c r="C795" s="43">
        <v>2017</v>
      </c>
      <c r="D795" s="15">
        <v>3</v>
      </c>
      <c r="E795" s="17">
        <f>'[14]2017 Benchmarking Calculations'!$BI$9/1000</f>
        <v>4709.4859999999999</v>
      </c>
      <c r="F795" s="41">
        <f t="shared" si="158"/>
        <v>1.2674505553724562</v>
      </c>
      <c r="G795" s="44">
        <f>'[14]2017 Benchmarking Calculations'!$BI$60/1000</f>
        <v>53.469000000000001</v>
      </c>
      <c r="H795" s="16">
        <f t="shared" si="160"/>
        <v>60.655999999999999</v>
      </c>
      <c r="I795" s="18">
        <f>'[14]2017 Benchmarking Calculations'!$BI$56</f>
        <v>13830</v>
      </c>
      <c r="J795" s="18">
        <f>'[14]2017 Utility Characteristics'!$AZ$79</f>
        <v>242</v>
      </c>
      <c r="K795" s="15">
        <f>'[14]2017 Utility Characteristics'!$AZ$81</f>
        <v>70</v>
      </c>
      <c r="L795" s="19">
        <f>K795/J795</f>
        <v>0.28925619834710742</v>
      </c>
      <c r="M795" s="9"/>
      <c r="N795" s="9"/>
    </row>
    <row r="796" spans="1:14" s="15" customFormat="1">
      <c r="A796" s="15" t="s">
        <v>73</v>
      </c>
      <c r="B796" s="15">
        <v>3044</v>
      </c>
      <c r="C796" s="43">
        <v>2018</v>
      </c>
      <c r="D796" s="15">
        <v>3</v>
      </c>
      <c r="E796" s="17">
        <f>'[16]2018 Benchmarking Calculations'!$BI$10/1000</f>
        <v>4916.24</v>
      </c>
      <c r="F796" s="41">
        <f t="shared" si="158"/>
        <v>1.2994718602728874</v>
      </c>
      <c r="G796" s="44">
        <f>'[16]2018 Benchmarking Calculations'!$BI$61/1000</f>
        <v>58.139000000000003</v>
      </c>
      <c r="H796" s="16">
        <f t="shared" si="160"/>
        <v>60.655999999999999</v>
      </c>
      <c r="I796" s="18">
        <f>'[16]2018 Benchmarking Calculations'!$BI$57</f>
        <v>14091</v>
      </c>
      <c r="J796" s="18">
        <f>'[16]2018 Utility Characteristics'!$BC$103</f>
        <v>243</v>
      </c>
      <c r="K796" s="18">
        <f>'[16]2018 Utility Characteristics'!$BC$105</f>
        <v>71</v>
      </c>
      <c r="L796" s="19">
        <f>K796/J796</f>
        <v>0.29218106995884774</v>
      </c>
      <c r="M796" s="9"/>
      <c r="N796" s="9"/>
    </row>
    <row r="797" spans="1:14" s="15" customFormat="1">
      <c r="A797" s="15" t="s">
        <v>73</v>
      </c>
      <c r="B797" s="15">
        <v>3044</v>
      </c>
      <c r="C797" s="43">
        <v>2019</v>
      </c>
      <c r="D797" s="15">
        <v>3</v>
      </c>
      <c r="E797" s="17">
        <f>'[17]2019 Benchmarking Calculations'!$BI$10/1000</f>
        <v>4906.1350000000002</v>
      </c>
      <c r="F797" s="41">
        <f t="shared" si="158"/>
        <v>1.3352608354138498</v>
      </c>
      <c r="G797" s="44">
        <f>'[17]2019 Benchmarking Calculations'!$BI$61/1000</f>
        <v>55.923999999999999</v>
      </c>
      <c r="H797" s="16">
        <f t="shared" si="160"/>
        <v>60.655999999999999</v>
      </c>
      <c r="I797" s="18">
        <f>'[17]2019 Benchmarking Calculations'!$BI$57</f>
        <v>14366</v>
      </c>
      <c r="J797" s="18">
        <f>'[17]2019 Utility Characteristics'!$BC$13</f>
        <v>244</v>
      </c>
      <c r="K797" s="18">
        <f>'[17]2019 Utility Characteristics'!$BC$18</f>
        <v>72</v>
      </c>
      <c r="L797" s="19">
        <f>K797/J797</f>
        <v>0.29508196721311475</v>
      </c>
      <c r="M797" s="9"/>
      <c r="N797" s="9"/>
    </row>
    <row r="798" spans="1:14">
      <c r="A798" s="15" t="str">
        <f>'[18]2. BM Database'!B589</f>
        <v>OSHAWA PUC NETWORKS INC.</v>
      </c>
      <c r="B798" s="15">
        <v>3015</v>
      </c>
      <c r="C798" s="43">
        <f>'[18]2. BM Database'!C589</f>
        <v>2005</v>
      </c>
      <c r="D798" s="15">
        <v>3</v>
      </c>
      <c r="E798" s="17">
        <f>'[18]2. BM Database'!F589/1000</f>
        <v>7675.8416899999993</v>
      </c>
      <c r="F798" s="41">
        <f t="shared" ref="F798:F812" si="161">F783</f>
        <v>1</v>
      </c>
      <c r="G798" s="44">
        <f>'[18]2. BM Database'!P589/1000</f>
        <v>217.81399999999999</v>
      </c>
      <c r="H798" s="16">
        <f>G798</f>
        <v>217.81399999999999</v>
      </c>
      <c r="I798" s="18">
        <f>'[18]2. BM Database'!L589</f>
        <v>49500</v>
      </c>
      <c r="J798" s="18">
        <f>'[18]2. BM Database'!R589</f>
        <v>2002</v>
      </c>
      <c r="K798" s="18">
        <f t="shared" ref="K798:K809" si="162">J798*L798</f>
        <v>999</v>
      </c>
      <c r="L798" s="19">
        <f>'[18]2. BM Database'!T589</f>
        <v>0.49900099900099898</v>
      </c>
      <c r="M798" s="9"/>
      <c r="N798" s="9"/>
    </row>
    <row r="799" spans="1:14">
      <c r="A799" s="15" t="str">
        <f>'[18]2. BM Database'!B590</f>
        <v>OSHAWA PUC NETWORKS INC.</v>
      </c>
      <c r="B799" s="15">
        <v>3015</v>
      </c>
      <c r="C799" s="43">
        <f>'[18]2. BM Database'!C590</f>
        <v>2006</v>
      </c>
      <c r="D799" s="15">
        <v>3</v>
      </c>
      <c r="E799" s="17">
        <f>'[18]2. BM Database'!F590/1000</f>
        <v>7571.1170899999997</v>
      </c>
      <c r="F799" s="41">
        <f t="shared" si="161"/>
        <v>1.0181607380073696</v>
      </c>
      <c r="G799" s="44">
        <f>'[18]2. BM Database'!P590/1000</f>
        <v>222.83199999999999</v>
      </c>
      <c r="H799" s="16">
        <f>MAX(G799,H798)</f>
        <v>222.83199999999999</v>
      </c>
      <c r="I799" s="18">
        <f>'[18]2. BM Database'!L590</f>
        <v>50528</v>
      </c>
      <c r="J799" s="18">
        <f>'[18]2. BM Database'!R590</f>
        <v>934</v>
      </c>
      <c r="K799" s="18">
        <f t="shared" si="162"/>
        <v>431</v>
      </c>
      <c r="L799" s="19">
        <f>'[18]2. BM Database'!T590</f>
        <v>0.4614561027837259</v>
      </c>
      <c r="M799" s="9"/>
      <c r="N799" s="9"/>
    </row>
    <row r="800" spans="1:14">
      <c r="A800" s="15" t="str">
        <f>'[18]2. BM Database'!B591</f>
        <v>OSHAWA PUC NETWORKS INC.</v>
      </c>
      <c r="B800" s="15">
        <v>3015</v>
      </c>
      <c r="C800" s="43">
        <f>'[18]2. BM Database'!C591</f>
        <v>2007</v>
      </c>
      <c r="D800" s="15">
        <v>3</v>
      </c>
      <c r="E800" s="17">
        <f>'[18]2. BM Database'!F591/1000</f>
        <v>8193.4672499999997</v>
      </c>
      <c r="F800" s="41">
        <f t="shared" si="161"/>
        <v>1.0531931014872313</v>
      </c>
      <c r="G800" s="44">
        <f>'[18]2. BM Database'!P591/1000</f>
        <v>221.904</v>
      </c>
      <c r="H800" s="16">
        <f t="shared" ref="H800:H812" si="163">MAX(G800,H799)</f>
        <v>222.83199999999999</v>
      </c>
      <c r="I800" s="18">
        <f>'[18]2. BM Database'!L591</f>
        <v>50980</v>
      </c>
      <c r="J800" s="18">
        <f>'[18]2. BM Database'!R591</f>
        <v>953</v>
      </c>
      <c r="K800" s="18">
        <f t="shared" si="162"/>
        <v>440</v>
      </c>
      <c r="L800" s="19">
        <f>'[18]2. BM Database'!T591</f>
        <v>0.46169989506820569</v>
      </c>
      <c r="M800" s="9"/>
      <c r="N800" s="9"/>
    </row>
    <row r="801" spans="1:14">
      <c r="A801" s="15" t="str">
        <f>'[18]2. BM Database'!B592</f>
        <v>OSHAWA PUC NETWORKS INC.</v>
      </c>
      <c r="B801" s="15">
        <v>3015</v>
      </c>
      <c r="C801" s="43">
        <f>'[18]2. BM Database'!C592</f>
        <v>2008</v>
      </c>
      <c r="D801" s="15">
        <v>3</v>
      </c>
      <c r="E801" s="17">
        <f>'[18]2. BM Database'!F592/1000</f>
        <v>8435.6861599999993</v>
      </c>
      <c r="F801" s="41">
        <f t="shared" si="161"/>
        <v>1.078564603993923</v>
      </c>
      <c r="G801" s="44">
        <f>'[18]2. BM Database'!P592/1000</f>
        <v>208.345</v>
      </c>
      <c r="H801" s="16">
        <f t="shared" si="163"/>
        <v>222.83199999999999</v>
      </c>
      <c r="I801" s="18">
        <f>'[18]2. BM Database'!L592</f>
        <v>51813</v>
      </c>
      <c r="J801" s="18">
        <f>'[18]2. BM Database'!R592</f>
        <v>948</v>
      </c>
      <c r="K801" s="18">
        <f t="shared" si="162"/>
        <v>438</v>
      </c>
      <c r="L801" s="19">
        <f>'[18]2. BM Database'!T592</f>
        <v>0.46202531645569622</v>
      </c>
      <c r="M801" s="9"/>
      <c r="N801" s="9"/>
    </row>
    <row r="802" spans="1:14">
      <c r="A802" s="15" t="str">
        <f>'[18]2. BM Database'!B593</f>
        <v>OSHAWA PUC NETWORKS INC.</v>
      </c>
      <c r="B802" s="15">
        <v>3015</v>
      </c>
      <c r="C802" s="43">
        <f>'[18]2. BM Database'!C593</f>
        <v>2009</v>
      </c>
      <c r="D802" s="15">
        <v>3</v>
      </c>
      <c r="E802" s="17">
        <f>'[18]2. BM Database'!F593/1000</f>
        <v>8399.8458200000005</v>
      </c>
      <c r="F802" s="41">
        <f t="shared" si="161"/>
        <v>1.0915070880241431</v>
      </c>
      <c r="G802" s="44">
        <f>'[18]2. BM Database'!P593/1000</f>
        <v>210.06800000000001</v>
      </c>
      <c r="H802" s="16">
        <f t="shared" si="163"/>
        <v>222.83199999999999</v>
      </c>
      <c r="I802" s="18">
        <f>'[18]2. BM Database'!L593</f>
        <v>52184</v>
      </c>
      <c r="J802" s="18">
        <f>'[18]2. BM Database'!R593</f>
        <v>950</v>
      </c>
      <c r="K802" s="18">
        <f t="shared" si="162"/>
        <v>439</v>
      </c>
      <c r="L802" s="19">
        <f>'[18]2. BM Database'!T593</f>
        <v>0.46210526315789474</v>
      </c>
      <c r="M802" s="9"/>
      <c r="N802" s="9"/>
    </row>
    <row r="803" spans="1:14">
      <c r="A803" s="15" t="str">
        <f>'[18]2. BM Database'!B594</f>
        <v>OSHAWA PUC NETWORKS INC.</v>
      </c>
      <c r="B803" s="15">
        <v>3015</v>
      </c>
      <c r="C803" s="43">
        <f>'[18]2. BM Database'!C594</f>
        <v>2010</v>
      </c>
      <c r="D803" s="15">
        <v>3</v>
      </c>
      <c r="E803" s="17">
        <f>'[18]2. BM Database'!F594/1000</f>
        <v>8362.7870000000003</v>
      </c>
      <c r="F803" s="41">
        <f t="shared" si="161"/>
        <v>1.1243125351578573</v>
      </c>
      <c r="G803" s="44">
        <f>'[18]2. BM Database'!P594/1000</f>
        <v>220.11500000000001</v>
      </c>
      <c r="H803" s="16">
        <f t="shared" si="163"/>
        <v>222.83199999999999</v>
      </c>
      <c r="I803" s="18">
        <f>'[18]2. BM Database'!L594</f>
        <v>52710</v>
      </c>
      <c r="J803" s="18">
        <f>'[18]2. BM Database'!R594</f>
        <v>955</v>
      </c>
      <c r="K803" s="18">
        <f t="shared" si="162"/>
        <v>393</v>
      </c>
      <c r="L803" s="19">
        <f>'[18]2. BM Database'!T594</f>
        <v>0.41151832460732984</v>
      </c>
      <c r="M803" s="9"/>
      <c r="N803" s="9"/>
    </row>
    <row r="804" spans="1:14">
      <c r="A804" s="15" t="str">
        <f>'[18]2. BM Database'!B595</f>
        <v>OSHAWA PUC NETWORKS INC.</v>
      </c>
      <c r="B804" s="15">
        <v>3015</v>
      </c>
      <c r="C804" s="43">
        <f>'[18]2. BM Database'!C595</f>
        <v>2011</v>
      </c>
      <c r="D804" s="15">
        <v>3</v>
      </c>
      <c r="E804" s="17">
        <f>'[18]2. BM Database'!F595/1000</f>
        <v>9463.9615289999983</v>
      </c>
      <c r="F804" s="41">
        <f t="shared" si="161"/>
        <v>1.1430978626415853</v>
      </c>
      <c r="G804" s="44">
        <f>'[18]2. BM Database'!P595/1000</f>
        <v>234.84899999999999</v>
      </c>
      <c r="H804" s="16">
        <f t="shared" si="163"/>
        <v>234.84899999999999</v>
      </c>
      <c r="I804" s="18">
        <f>'[18]2. BM Database'!L595</f>
        <v>53083</v>
      </c>
      <c r="J804" s="18">
        <f>'[18]2. BM Database'!R595</f>
        <v>987</v>
      </c>
      <c r="K804" s="18">
        <f t="shared" si="162"/>
        <v>417</v>
      </c>
      <c r="L804" s="19">
        <f>'[18]2. BM Database'!T595</f>
        <v>0.42249240121580545</v>
      </c>
      <c r="M804" s="9"/>
      <c r="N804" s="9"/>
    </row>
    <row r="805" spans="1:14">
      <c r="A805" s="15" t="str">
        <f>'[18]2. BM Database'!B596</f>
        <v>OSHAWA PUC NETWORKS INC.</v>
      </c>
      <c r="B805" s="15">
        <v>3015</v>
      </c>
      <c r="C805" s="43">
        <f>'[18]2. BM Database'!C596</f>
        <v>2012</v>
      </c>
      <c r="D805" s="15">
        <v>3</v>
      </c>
      <c r="E805" s="17">
        <f>'[18]2. BM Database'!F596/1000</f>
        <v>10665.324000000001</v>
      </c>
      <c r="F805" s="41">
        <f t="shared" si="161"/>
        <v>1.160126854517312</v>
      </c>
      <c r="G805" s="44">
        <f>'[18]2. BM Database'!P596/1000</f>
        <v>231.09299999999999</v>
      </c>
      <c r="H805" s="16">
        <f t="shared" si="163"/>
        <v>234.84899999999999</v>
      </c>
      <c r="I805" s="18">
        <f>'[18]2. BM Database'!L596</f>
        <v>53361</v>
      </c>
      <c r="J805" s="18">
        <f>'[18]2. BM Database'!R596</f>
        <v>996</v>
      </c>
      <c r="K805" s="18">
        <f t="shared" si="162"/>
        <v>423</v>
      </c>
      <c r="L805" s="19">
        <f>'[18]2. BM Database'!T596</f>
        <v>0.4246987951807229</v>
      </c>
      <c r="M805" s="9"/>
      <c r="N805" s="9"/>
    </row>
    <row r="806" spans="1:14" s="15" customFormat="1">
      <c r="A806" s="15" t="s">
        <v>74</v>
      </c>
      <c r="B806" s="15">
        <v>3015</v>
      </c>
      <c r="C806" s="43">
        <v>2013</v>
      </c>
      <c r="D806" s="15">
        <v>3</v>
      </c>
      <c r="E806" s="17">
        <f>HLOOKUP(A806,'[19]2013 Benchmarking Calculations'!$I$3:$CC$76,6,FALSE)/1000</f>
        <v>10496.48403</v>
      </c>
      <c r="F806" s="41">
        <f t="shared" si="161"/>
        <v>1.178602141578931</v>
      </c>
      <c r="G806" s="44">
        <f>HLOOKUP(A806,'[19]2013 Benchmarking Calculations'!$I$3:$CC$76,57,FALSE)/1000</f>
        <v>227.923</v>
      </c>
      <c r="H806" s="16">
        <f t="shared" si="163"/>
        <v>234.84899999999999</v>
      </c>
      <c r="I806" s="18">
        <f>HLOOKUP(A806,'[19]2013 Benchmarking Calculations'!$I$3:$CC$76,53,FALSE)</f>
        <v>53969</v>
      </c>
      <c r="J806" s="18">
        <f>HLOOKUP(A806,'[19]2013 Benchmarking Calculations'!$I$3:$CC$76,71,FALSE)</f>
        <v>1007</v>
      </c>
      <c r="K806" s="18">
        <f t="shared" si="162"/>
        <v>429</v>
      </c>
      <c r="L806" s="19">
        <f>HLOOKUP(A806,'[19]2013 PBR data '!B$42:BV$68,15,FALSE)/HLOOKUP(A806,'[19]2013 PBR data '!B$42:BV$68,13,FALSE)</f>
        <v>0.4260178748758689</v>
      </c>
      <c r="M806" s="9"/>
      <c r="N806" s="9"/>
    </row>
    <row r="807" spans="1:14" s="15" customFormat="1">
      <c r="A807" s="15" t="s">
        <v>74</v>
      </c>
      <c r="B807" s="15">
        <v>3015</v>
      </c>
      <c r="C807" s="43">
        <v>2014</v>
      </c>
      <c r="D807" s="15">
        <v>3</v>
      </c>
      <c r="E807" s="17">
        <f>VLOOKUP(A807,[20]Result!$B$12:$D$84,2,FALSE)/10^3</f>
        <v>10490.056</v>
      </c>
      <c r="F807" s="41">
        <f t="shared" si="161"/>
        <v>1.2030671041042156</v>
      </c>
      <c r="G807" s="44">
        <f>VLOOKUP(A807,'[21]General transpose'!$A$1:$AF$73,26,FALSE)/10^3</f>
        <v>214.547</v>
      </c>
      <c r="H807" s="16">
        <f t="shared" si="163"/>
        <v>234.84899999999999</v>
      </c>
      <c r="I807" s="18">
        <f>VLOOKUP(A807,'[21]General transpose'!$A$1:$AF$73,8,FALSE)</f>
        <v>54731</v>
      </c>
      <c r="J807" s="18">
        <f>VLOOKUP(A807,'[21]General transpose'!$A$1:$AF$73,16,FALSE)</f>
        <v>950</v>
      </c>
      <c r="K807" s="18">
        <f t="shared" si="162"/>
        <v>429</v>
      </c>
      <c r="L807" s="19">
        <f>VLOOKUP(A807,'[21]General transpose'!$A$1:$AF$73,17,FALSE)</f>
        <v>0.45157894736842108</v>
      </c>
      <c r="M807" s="9"/>
      <c r="N807" s="9"/>
    </row>
    <row r="808" spans="1:14" s="15" customFormat="1">
      <c r="A808" s="15" t="s">
        <v>74</v>
      </c>
      <c r="B808" s="15">
        <v>3015</v>
      </c>
      <c r="C808" s="43">
        <v>2015</v>
      </c>
      <c r="D808" s="15">
        <v>3</v>
      </c>
      <c r="E808" s="17">
        <f>VLOOKUP(A807,[20]Result!$B$12:$D$84,3,FALSE)/10^3</f>
        <v>11377.239</v>
      </c>
      <c r="F808" s="41">
        <f t="shared" si="161"/>
        <v>1.2312762402864634</v>
      </c>
      <c r="G808" s="44">
        <f>VLOOKUP(A807,'[22]General transpose'!$A$1:$AF$73,26,FALSE)/10^3</f>
        <v>211.375</v>
      </c>
      <c r="H808" s="16">
        <f t="shared" si="163"/>
        <v>234.84899999999999</v>
      </c>
      <c r="I808" s="18">
        <f>VLOOKUP(A807,'[22]General transpose'!$A$1:$AF$73,8,FALSE)</f>
        <v>55949</v>
      </c>
      <c r="J808" s="18">
        <f>VLOOKUP(A807,'[22]General transpose'!$A$1:$AF$73,16,FALSE)</f>
        <v>962</v>
      </c>
      <c r="K808" s="18">
        <f t="shared" si="162"/>
        <v>441</v>
      </c>
      <c r="L808" s="19">
        <f>VLOOKUP(A807,'[22]General transpose'!$A$1:$AF$73,17,FALSE)</f>
        <v>0.45841995841995842</v>
      </c>
      <c r="M808" s="9"/>
      <c r="N808" s="9"/>
    </row>
    <row r="809" spans="1:14" s="15" customFormat="1">
      <c r="A809" s="15" t="s">
        <v>74</v>
      </c>
      <c r="B809" s="15">
        <v>3015</v>
      </c>
      <c r="C809" s="43">
        <v>2016</v>
      </c>
      <c r="D809" s="15">
        <v>3</v>
      </c>
      <c r="E809" s="17">
        <f>'[14]2016 Benchmarking Calculations'!$BH$8/1000</f>
        <v>11720.224759999999</v>
      </c>
      <c r="F809" s="41">
        <f t="shared" si="161"/>
        <v>1.2455044937824149</v>
      </c>
      <c r="G809" s="44">
        <f>HLOOKUP(A809,[23]General!$A$1:$BQ$23,22,FALSE)/10^3</f>
        <v>221.78100000000001</v>
      </c>
      <c r="H809" s="16">
        <f t="shared" si="163"/>
        <v>234.84899999999999</v>
      </c>
      <c r="I809" s="18">
        <f>HLOOKUP(A809,[23]General!$A$1:$BQ$23,9,FALSE)</f>
        <v>56811</v>
      </c>
      <c r="J809" s="18">
        <f>HLOOKUP(A809,[23]General!$A$1:$BQ$23,17,FALSE)</f>
        <v>970</v>
      </c>
      <c r="K809" s="18">
        <f t="shared" si="162"/>
        <v>450</v>
      </c>
      <c r="L809" s="19">
        <f>HLOOKUP(A809,[23]General!$A$1:$BQ$23,18,FALSE)</f>
        <v>0.46391752577319589</v>
      </c>
      <c r="M809" s="9"/>
      <c r="N809" s="9"/>
    </row>
    <row r="810" spans="1:14" s="15" customFormat="1">
      <c r="A810" s="15" t="s">
        <v>74</v>
      </c>
      <c r="B810" s="15">
        <v>3015</v>
      </c>
      <c r="C810" s="43">
        <v>2017</v>
      </c>
      <c r="D810" s="15">
        <v>3</v>
      </c>
      <c r="E810" s="17">
        <f>'[14]2017 Benchmarking Calculations'!$BJ$9/1000</f>
        <v>12150.794340000002</v>
      </c>
      <c r="F810" s="41">
        <f t="shared" si="161"/>
        <v>1.2674505553724562</v>
      </c>
      <c r="G810" s="44">
        <f>[15]General!$AV$20/1000</f>
        <v>208.62700000000001</v>
      </c>
      <c r="H810" s="16">
        <f t="shared" si="163"/>
        <v>234.84899999999999</v>
      </c>
      <c r="I810" s="18">
        <f>[15]General!$AV$9</f>
        <v>57584</v>
      </c>
      <c r="J810" s="18">
        <f>[15]General!$AV$17</f>
        <v>980</v>
      </c>
      <c r="K810" s="18">
        <f>J810*L810</f>
        <v>460</v>
      </c>
      <c r="L810" s="19">
        <f>[15]General!$AV$16/[15]General!$AV$17</f>
        <v>0.46938775510204084</v>
      </c>
      <c r="M810" s="9"/>
      <c r="N810" s="9"/>
    </row>
    <row r="811" spans="1:14" s="15" customFormat="1">
      <c r="A811" s="15" t="s">
        <v>74</v>
      </c>
      <c r="B811" s="15">
        <v>3015</v>
      </c>
      <c r="C811" s="43">
        <v>2018</v>
      </c>
      <c r="D811" s="15">
        <v>3</v>
      </c>
      <c r="E811" s="17">
        <f>'[16]2018 Benchmarking Calculations'!$BJ$10/1000</f>
        <v>13100.433999999999</v>
      </c>
      <c r="F811" s="41">
        <f t="shared" si="161"/>
        <v>1.2994718602728874</v>
      </c>
      <c r="G811" s="44">
        <f>'[16]2018 Benchmarking Calculations'!$BJ$61/1000</f>
        <v>232.44900000000001</v>
      </c>
      <c r="H811" s="16">
        <f t="shared" si="163"/>
        <v>234.84899999999999</v>
      </c>
      <c r="I811" s="18">
        <f>'[16]2018 Benchmarking Calculations'!$BJ$57</f>
        <v>58745</v>
      </c>
      <c r="J811" s="18">
        <f>'[16]2018 Utility Characteristics'!$BD$103</f>
        <v>985</v>
      </c>
      <c r="K811" s="18">
        <f>'[16]2018 Utility Characteristics'!$BD$105</f>
        <v>462</v>
      </c>
      <c r="L811" s="19">
        <f>K811/J811</f>
        <v>0.46903553299492384</v>
      </c>
      <c r="M811" s="9"/>
      <c r="N811" s="9"/>
    </row>
    <row r="812" spans="1:14" s="15" customFormat="1">
      <c r="A812" s="15" t="s">
        <v>74</v>
      </c>
      <c r="B812" s="15">
        <v>3015</v>
      </c>
      <c r="C812" s="43">
        <v>2019</v>
      </c>
      <c r="D812" s="15">
        <v>3</v>
      </c>
      <c r="E812" s="17">
        <f>'[17]2019 Benchmarking Calculations'!$BJ$10/1000</f>
        <v>12607.249100000001</v>
      </c>
      <c r="F812" s="41">
        <f t="shared" si="161"/>
        <v>1.3352608354138498</v>
      </c>
      <c r="G812" s="44">
        <f>'[17]2019 Benchmarking Calculations'!$BJ$61/1000</f>
        <v>213.29599999999999</v>
      </c>
      <c r="H812" s="16">
        <f t="shared" si="163"/>
        <v>234.84899999999999</v>
      </c>
      <c r="I812" s="18">
        <f>'[17]2019 Benchmarking Calculations'!$BJ$57</f>
        <v>59183</v>
      </c>
      <c r="J812" s="18">
        <f>'[17]2019 Utility Characteristics'!$BD$13</f>
        <v>1010</v>
      </c>
      <c r="K812" s="18">
        <f>'[17]2019 Utility Characteristics'!$BD$15</f>
        <v>463</v>
      </c>
      <c r="L812" s="19">
        <f>K812/J812</f>
        <v>0.45841584158415843</v>
      </c>
      <c r="M812" s="9"/>
      <c r="N812" s="9"/>
    </row>
    <row r="813" spans="1:14">
      <c r="A813" s="15" t="str">
        <f>'[18]2. BM Database'!B600</f>
        <v>OTTAWA RIVER POWER CORPORATION</v>
      </c>
      <c r="B813" s="15">
        <v>3049</v>
      </c>
      <c r="C813" s="43">
        <f>'[18]2. BM Database'!C600</f>
        <v>2005</v>
      </c>
      <c r="D813" s="15">
        <v>3</v>
      </c>
      <c r="E813" s="17">
        <f>'[18]2. BM Database'!F600/1000</f>
        <v>1856.4996799999999</v>
      </c>
      <c r="F813" s="41">
        <f t="shared" ref="F813:F827" si="164">F798</f>
        <v>1</v>
      </c>
      <c r="G813" s="44">
        <f>'[18]2. BM Database'!P600/1000</f>
        <v>41.386000000000003</v>
      </c>
      <c r="H813" s="16">
        <f>G813</f>
        <v>41.386000000000003</v>
      </c>
      <c r="I813" s="18">
        <f>'[18]2. BM Database'!L600</f>
        <v>10190</v>
      </c>
      <c r="J813" s="18">
        <f>'[18]2. BM Database'!R600</f>
        <v>146</v>
      </c>
      <c r="K813" s="18">
        <f t="shared" ref="K813:K824" si="165">J813*L813</f>
        <v>19</v>
      </c>
      <c r="L813" s="19">
        <f>'[18]2. BM Database'!T600</f>
        <v>0.13013698630136986</v>
      </c>
      <c r="M813" s="9"/>
      <c r="N813" s="9"/>
    </row>
    <row r="814" spans="1:14">
      <c r="A814" s="15" t="str">
        <f>'[18]2. BM Database'!B601</f>
        <v>OTTAWA RIVER POWER CORPORATION</v>
      </c>
      <c r="B814" s="15">
        <v>3049</v>
      </c>
      <c r="C814" s="43">
        <f>'[18]2. BM Database'!C601</f>
        <v>2006</v>
      </c>
      <c r="D814" s="15">
        <v>3</v>
      </c>
      <c r="E814" s="17">
        <f>'[18]2. BM Database'!F601/1000</f>
        <v>2016.0363400000001</v>
      </c>
      <c r="F814" s="41">
        <f t="shared" si="164"/>
        <v>1.0181607380073696</v>
      </c>
      <c r="G814" s="44">
        <f>'[18]2. BM Database'!P601/1000</f>
        <v>37.265999999999998</v>
      </c>
      <c r="H814" s="16">
        <f>MAX(G814,H813)</f>
        <v>41.386000000000003</v>
      </c>
      <c r="I814" s="18">
        <f>'[18]2. BM Database'!L601</f>
        <v>10230</v>
      </c>
      <c r="J814" s="18">
        <f>'[18]2. BM Database'!R601</f>
        <v>146</v>
      </c>
      <c r="K814" s="18">
        <f t="shared" si="165"/>
        <v>19</v>
      </c>
      <c r="L814" s="19">
        <f>'[18]2. BM Database'!T601</f>
        <v>0.13013698630136986</v>
      </c>
      <c r="M814" s="9"/>
      <c r="N814" s="9"/>
    </row>
    <row r="815" spans="1:14">
      <c r="A815" s="15" t="str">
        <f>'[18]2. BM Database'!B602</f>
        <v>OTTAWA RIVER POWER CORPORATION</v>
      </c>
      <c r="B815" s="15">
        <v>3049</v>
      </c>
      <c r="C815" s="43">
        <f>'[18]2. BM Database'!C602</f>
        <v>2007</v>
      </c>
      <c r="D815" s="15">
        <v>3</v>
      </c>
      <c r="E815" s="17">
        <f>'[18]2. BM Database'!F602/1000</f>
        <v>2304.4243199999996</v>
      </c>
      <c r="F815" s="41">
        <f t="shared" si="164"/>
        <v>1.0531931014872313</v>
      </c>
      <c r="G815" s="44">
        <f>'[18]2. BM Database'!P602/1000</f>
        <v>38.695</v>
      </c>
      <c r="H815" s="16">
        <f t="shared" ref="H815:H827" si="166">MAX(G815,H814)</f>
        <v>41.386000000000003</v>
      </c>
      <c r="I815" s="18">
        <f>'[18]2. BM Database'!L602</f>
        <v>10230</v>
      </c>
      <c r="J815" s="18">
        <f>'[18]2. BM Database'!R602</f>
        <v>146</v>
      </c>
      <c r="K815" s="18">
        <f t="shared" si="165"/>
        <v>19</v>
      </c>
      <c r="L815" s="19">
        <f>'[18]2. BM Database'!T602</f>
        <v>0.13013698630136986</v>
      </c>
      <c r="M815" s="9"/>
      <c r="N815" s="9"/>
    </row>
    <row r="816" spans="1:14">
      <c r="A816" s="15" t="str">
        <f>'[18]2. BM Database'!B603</f>
        <v>OTTAWA RIVER POWER CORPORATION</v>
      </c>
      <c r="B816" s="15">
        <v>3049</v>
      </c>
      <c r="C816" s="43">
        <f>'[18]2. BM Database'!C603</f>
        <v>2008</v>
      </c>
      <c r="D816" s="15">
        <v>3</v>
      </c>
      <c r="E816" s="17">
        <f>'[18]2. BM Database'!F603/1000</f>
        <v>2367.8362000000002</v>
      </c>
      <c r="F816" s="41">
        <f t="shared" si="164"/>
        <v>1.078564603993923</v>
      </c>
      <c r="G816" s="44">
        <f>'[18]2. BM Database'!P603/1000</f>
        <v>37.481999999999999</v>
      </c>
      <c r="H816" s="16">
        <f t="shared" si="166"/>
        <v>41.386000000000003</v>
      </c>
      <c r="I816" s="18">
        <f>'[18]2. BM Database'!L603</f>
        <v>10381</v>
      </c>
      <c r="J816" s="18">
        <f>'[18]2. BM Database'!R603</f>
        <v>146</v>
      </c>
      <c r="K816" s="18">
        <f t="shared" si="165"/>
        <v>19</v>
      </c>
      <c r="L816" s="19">
        <f>'[18]2. BM Database'!T603</f>
        <v>0.13013698630136986</v>
      </c>
      <c r="M816" s="9"/>
      <c r="N816" s="9"/>
    </row>
    <row r="817" spans="1:14">
      <c r="A817" s="15" t="str">
        <f>'[18]2. BM Database'!B604</f>
        <v>OTTAWA RIVER POWER CORPORATION</v>
      </c>
      <c r="B817" s="15">
        <v>3049</v>
      </c>
      <c r="C817" s="43">
        <f>'[18]2. BM Database'!C604</f>
        <v>2009</v>
      </c>
      <c r="D817" s="15">
        <v>3</v>
      </c>
      <c r="E817" s="17">
        <f>'[18]2. BM Database'!F604/1000</f>
        <v>2408.8192400000003</v>
      </c>
      <c r="F817" s="41">
        <f t="shared" si="164"/>
        <v>1.0915070880241431</v>
      </c>
      <c r="G817" s="44">
        <f>'[18]2. BM Database'!P604/1000</f>
        <v>36.924999999999997</v>
      </c>
      <c r="H817" s="16">
        <f t="shared" si="166"/>
        <v>41.386000000000003</v>
      </c>
      <c r="I817" s="18">
        <f>'[18]2. BM Database'!L604</f>
        <v>10389</v>
      </c>
      <c r="J817" s="18">
        <f>'[18]2. BM Database'!R604</f>
        <v>146</v>
      </c>
      <c r="K817" s="18">
        <f t="shared" si="165"/>
        <v>19</v>
      </c>
      <c r="L817" s="19">
        <f>'[18]2. BM Database'!T604</f>
        <v>0.13013698630136986</v>
      </c>
      <c r="M817" s="9"/>
      <c r="N817" s="9"/>
    </row>
    <row r="818" spans="1:14">
      <c r="A818" s="15" t="str">
        <f>'[18]2. BM Database'!B605</f>
        <v>OTTAWA RIVER POWER CORPORATION</v>
      </c>
      <c r="B818" s="15">
        <v>3049</v>
      </c>
      <c r="C818" s="43">
        <f>'[18]2. BM Database'!C605</f>
        <v>2010</v>
      </c>
      <c r="D818" s="15">
        <v>3</v>
      </c>
      <c r="E818" s="17">
        <f>'[18]2. BM Database'!F605/1000</f>
        <v>2304.5013900000004</v>
      </c>
      <c r="F818" s="41">
        <f t="shared" si="164"/>
        <v>1.1243125351578573</v>
      </c>
      <c r="G818" s="44">
        <f>'[18]2. BM Database'!P605/1000</f>
        <v>33.526000000000003</v>
      </c>
      <c r="H818" s="16">
        <f t="shared" si="166"/>
        <v>41.386000000000003</v>
      </c>
      <c r="I818" s="18">
        <f>'[18]2. BM Database'!L605</f>
        <v>10475</v>
      </c>
      <c r="J818" s="18">
        <f>'[18]2. BM Database'!R605</f>
        <v>148</v>
      </c>
      <c r="K818" s="18">
        <f t="shared" si="165"/>
        <v>19</v>
      </c>
      <c r="L818" s="19">
        <f>'[18]2. BM Database'!T605</f>
        <v>0.12837837837837837</v>
      </c>
      <c r="M818" s="9"/>
      <c r="N818" s="9"/>
    </row>
    <row r="819" spans="1:14">
      <c r="A819" s="15" t="str">
        <f>'[18]2. BM Database'!B606</f>
        <v>OTTAWA RIVER POWER CORPORATION</v>
      </c>
      <c r="B819" s="15">
        <v>3049</v>
      </c>
      <c r="C819" s="43">
        <f>'[18]2. BM Database'!C606</f>
        <v>2011</v>
      </c>
      <c r="D819" s="15">
        <v>3</v>
      </c>
      <c r="E819" s="17">
        <f>'[18]2. BM Database'!F606/1000</f>
        <v>2685.5455300000003</v>
      </c>
      <c r="F819" s="41">
        <f t="shared" si="164"/>
        <v>1.1430978626415853</v>
      </c>
      <c r="G819" s="44">
        <f>'[18]2. BM Database'!P606/1000</f>
        <v>37.173000000000002</v>
      </c>
      <c r="H819" s="16">
        <f t="shared" si="166"/>
        <v>41.386000000000003</v>
      </c>
      <c r="I819" s="18">
        <f>'[18]2. BM Database'!L606</f>
        <v>10555</v>
      </c>
      <c r="J819" s="18">
        <f>'[18]2. BM Database'!R606</f>
        <v>148</v>
      </c>
      <c r="K819" s="18">
        <f t="shared" si="165"/>
        <v>19</v>
      </c>
      <c r="L819" s="19">
        <f>'[18]2. BM Database'!T606</f>
        <v>0.12837837837837837</v>
      </c>
      <c r="M819" s="9"/>
      <c r="N819" s="9"/>
    </row>
    <row r="820" spans="1:14">
      <c r="A820" s="15" t="str">
        <f>'[18]2. BM Database'!B607</f>
        <v>OTTAWA RIVER POWER CORPORATION</v>
      </c>
      <c r="B820" s="15">
        <v>3049</v>
      </c>
      <c r="C820" s="43">
        <f>'[18]2. BM Database'!C607</f>
        <v>2012</v>
      </c>
      <c r="D820" s="15">
        <v>3</v>
      </c>
      <c r="E820" s="17">
        <f>'[18]2. BM Database'!F607/1000</f>
        <v>2683.6110800000006</v>
      </c>
      <c r="F820" s="41">
        <f t="shared" si="164"/>
        <v>1.160126854517312</v>
      </c>
      <c r="G820" s="44">
        <f>'[18]2. BM Database'!P607/1000</f>
        <v>35.963000000000001</v>
      </c>
      <c r="H820" s="16">
        <f t="shared" si="166"/>
        <v>41.386000000000003</v>
      </c>
      <c r="I820" s="18">
        <f>'[18]2. BM Database'!L607</f>
        <v>10633</v>
      </c>
      <c r="J820" s="18">
        <f>'[18]2. BM Database'!R607</f>
        <v>148</v>
      </c>
      <c r="K820" s="18">
        <f t="shared" si="165"/>
        <v>19</v>
      </c>
      <c r="L820" s="19">
        <f>'[18]2. BM Database'!T607</f>
        <v>0.12837837837837837</v>
      </c>
      <c r="M820" s="9"/>
      <c r="N820" s="9"/>
    </row>
    <row r="821" spans="1:14" s="15" customFormat="1">
      <c r="A821" s="15" t="s">
        <v>75</v>
      </c>
      <c r="B821" s="15">
        <v>3049</v>
      </c>
      <c r="C821" s="43">
        <v>2013</v>
      </c>
      <c r="D821" s="15">
        <v>3</v>
      </c>
      <c r="E821" s="17">
        <f>HLOOKUP(A821,'[19]2013 Benchmarking Calculations'!$I$3:$CC$76,6,FALSE)/1000</f>
        <v>3114.7328499999999</v>
      </c>
      <c r="F821" s="41">
        <f t="shared" si="164"/>
        <v>1.178602141578931</v>
      </c>
      <c r="G821" s="44">
        <f>HLOOKUP(A821,'[19]2013 Benchmarking Calculations'!$I$3:$CC$76,57,FALSE)/1000</f>
        <v>47.94</v>
      </c>
      <c r="H821" s="16">
        <f t="shared" si="166"/>
        <v>47.94</v>
      </c>
      <c r="I821" s="18">
        <f>HLOOKUP(A821,'[19]2013 Benchmarking Calculations'!$I$3:$CC$76,53,FALSE)</f>
        <v>10724</v>
      </c>
      <c r="J821" s="18">
        <f>HLOOKUP(A821,'[19]2013 Benchmarking Calculations'!$I$3:$CC$76,71,FALSE)</f>
        <v>167</v>
      </c>
      <c r="K821" s="18">
        <f t="shared" si="165"/>
        <v>24</v>
      </c>
      <c r="L821" s="19">
        <f>HLOOKUP(A821,'[19]2013 PBR data '!B$42:BV$68,15,FALSE)/HLOOKUP(A821,'[19]2013 PBR data '!B$42:BV$68,13,FALSE)</f>
        <v>0.1437125748502994</v>
      </c>
      <c r="M821" s="9"/>
      <c r="N821" s="9"/>
    </row>
    <row r="822" spans="1:14" s="15" customFormat="1">
      <c r="A822" s="15" t="s">
        <v>75</v>
      </c>
      <c r="B822" s="15">
        <v>3049</v>
      </c>
      <c r="C822" s="43">
        <v>2014</v>
      </c>
      <c r="D822" s="15">
        <v>3</v>
      </c>
      <c r="E822" s="17">
        <f>VLOOKUP(A822,[20]Result!$B$12:$D$84,2,FALSE)/10^3</f>
        <v>2867.9050000000002</v>
      </c>
      <c r="F822" s="41">
        <f t="shared" si="164"/>
        <v>1.2030671041042156</v>
      </c>
      <c r="G822" s="44">
        <f>VLOOKUP(A822,'[21]General transpose'!$A$1:$AF$73,26,FALSE)/10^3</f>
        <v>43.158000000000001</v>
      </c>
      <c r="H822" s="16">
        <f t="shared" si="166"/>
        <v>47.94</v>
      </c>
      <c r="I822" s="18">
        <f>VLOOKUP(A822,'[21]General transpose'!$A$1:$AF$73,8,FALSE)</f>
        <v>10820</v>
      </c>
      <c r="J822" s="18">
        <f>VLOOKUP(A822,'[21]General transpose'!$A$1:$AF$73,16,FALSE)</f>
        <v>167</v>
      </c>
      <c r="K822" s="18">
        <f t="shared" si="165"/>
        <v>24</v>
      </c>
      <c r="L822" s="19">
        <f>VLOOKUP(A822,'[21]General transpose'!$A$1:$AF$73,17,FALSE)</f>
        <v>0.1437125748502994</v>
      </c>
      <c r="M822" s="9"/>
      <c r="N822" s="9"/>
    </row>
    <row r="823" spans="1:14" s="15" customFormat="1">
      <c r="A823" s="15" t="s">
        <v>75</v>
      </c>
      <c r="B823" s="15">
        <v>3049</v>
      </c>
      <c r="C823" s="43">
        <v>2015</v>
      </c>
      <c r="D823" s="15">
        <v>3</v>
      </c>
      <c r="E823" s="17">
        <f>VLOOKUP(A822,[20]Result!$B$12:$D$84,3,FALSE)/10^3</f>
        <v>2770.875</v>
      </c>
      <c r="F823" s="41">
        <f t="shared" si="164"/>
        <v>1.2312762402864634</v>
      </c>
      <c r="G823" s="44">
        <f>VLOOKUP(A822,'[22]General transpose'!$A$1:$AF$73,26,FALSE)/10^3</f>
        <v>34.706000000000003</v>
      </c>
      <c r="H823" s="16">
        <f t="shared" si="166"/>
        <v>47.94</v>
      </c>
      <c r="I823" s="18">
        <f>VLOOKUP(A822,'[22]General transpose'!$A$1:$AF$73,8,FALSE)</f>
        <v>10892</v>
      </c>
      <c r="J823" s="18">
        <f>VLOOKUP(A822,'[22]General transpose'!$A$1:$AF$73,16,FALSE)</f>
        <v>178</v>
      </c>
      <c r="K823" s="18">
        <f t="shared" si="165"/>
        <v>26</v>
      </c>
      <c r="L823" s="19">
        <f>VLOOKUP(A822,'[22]General transpose'!$A$1:$AF$73,17,FALSE)</f>
        <v>0.14606741573033707</v>
      </c>
      <c r="M823" s="9"/>
      <c r="N823" s="9"/>
    </row>
    <row r="824" spans="1:14" s="15" customFormat="1">
      <c r="A824" s="15" t="s">
        <v>75</v>
      </c>
      <c r="B824" s="15">
        <v>3049</v>
      </c>
      <c r="C824" s="43">
        <v>2016</v>
      </c>
      <c r="D824" s="15">
        <v>3</v>
      </c>
      <c r="E824" s="17">
        <f>'[14]2016 Benchmarking Calculations'!$BI$8/1000</f>
        <v>2904.0151899999996</v>
      </c>
      <c r="F824" s="41">
        <f t="shared" si="164"/>
        <v>1.2455044937824149</v>
      </c>
      <c r="G824" s="44">
        <f>HLOOKUP(A824,[23]General!$A$1:$BQ$23,22,FALSE)/10^3</f>
        <v>37.046999999999997</v>
      </c>
      <c r="H824" s="16">
        <f t="shared" si="166"/>
        <v>47.94</v>
      </c>
      <c r="I824" s="18">
        <f>HLOOKUP(A824,[23]General!$A$1:$BQ$23,9,FALSE)</f>
        <v>10994</v>
      </c>
      <c r="J824" s="18">
        <f>HLOOKUP(A824,[23]General!$A$1:$BQ$23,17,FALSE)</f>
        <v>178</v>
      </c>
      <c r="K824" s="18">
        <f t="shared" si="165"/>
        <v>26</v>
      </c>
      <c r="L824" s="19">
        <f>HLOOKUP(A824,[23]General!$A$1:$BQ$23,18,FALSE)</f>
        <v>0.14606741573033707</v>
      </c>
      <c r="M824" s="9"/>
      <c r="N824" s="9"/>
    </row>
    <row r="825" spans="1:14" s="15" customFormat="1">
      <c r="A825" s="15" t="s">
        <v>75</v>
      </c>
      <c r="B825" s="15">
        <v>3049</v>
      </c>
      <c r="C825" s="43">
        <v>2017</v>
      </c>
      <c r="D825" s="15">
        <v>3</v>
      </c>
      <c r="E825" s="17">
        <f>'[14]2017 Benchmarking Calculations'!$BK$9/1000</f>
        <v>3169.0867299999995</v>
      </c>
      <c r="F825" s="41">
        <f t="shared" si="164"/>
        <v>1.2674505553724562</v>
      </c>
      <c r="G825" s="44">
        <f>'[14]2017 Benchmarking Calculations'!$BK$60/1000</f>
        <v>34.902999999999999</v>
      </c>
      <c r="H825" s="16">
        <f t="shared" si="166"/>
        <v>47.94</v>
      </c>
      <c r="I825" s="18">
        <f>'[14]2017 Benchmarking Calculations'!$BK$56</f>
        <v>11109</v>
      </c>
      <c r="J825" s="18">
        <f>'[14]2017 Utility Characteristics'!$BB$79</f>
        <v>490</v>
      </c>
      <c r="K825" s="15">
        <f>'[14]2017 Utility Characteristics'!$BB$81</f>
        <v>126</v>
      </c>
      <c r="L825" s="19">
        <f>K825/J825</f>
        <v>0.25714285714285712</v>
      </c>
      <c r="M825" s="9"/>
      <c r="N825" s="9"/>
    </row>
    <row r="826" spans="1:14" s="15" customFormat="1">
      <c r="A826" s="15" t="s">
        <v>75</v>
      </c>
      <c r="B826" s="15">
        <v>3049</v>
      </c>
      <c r="C826" s="43">
        <v>2018</v>
      </c>
      <c r="D826" s="15">
        <v>3</v>
      </c>
      <c r="E826" s="17">
        <f>'[16]2018 Benchmarking Calculations'!$BK$10/1000</f>
        <v>2855.2163399999999</v>
      </c>
      <c r="F826" s="41">
        <f t="shared" si="164"/>
        <v>1.2994718602728874</v>
      </c>
      <c r="G826" s="44">
        <f>'[16]2018 Benchmarking Calculations'!$BK$61/1000</f>
        <v>42.344000000000001</v>
      </c>
      <c r="H826" s="16">
        <f t="shared" si="166"/>
        <v>47.94</v>
      </c>
      <c r="I826" s="18">
        <f>'[16]2018 Benchmarking Calculations'!$BK$57</f>
        <v>11247</v>
      </c>
      <c r="J826" s="18">
        <f>'[16]2018 Utility Characteristics'!$BE$103</f>
        <v>490</v>
      </c>
      <c r="K826" s="18">
        <f>'[16]2018 Utility Characteristics'!$BE$105</f>
        <v>126</v>
      </c>
      <c r="L826" s="19">
        <f>K826/J826</f>
        <v>0.25714285714285712</v>
      </c>
      <c r="M826" s="9"/>
      <c r="N826" s="9"/>
    </row>
    <row r="827" spans="1:14" s="15" customFormat="1">
      <c r="A827" s="15" t="s">
        <v>75</v>
      </c>
      <c r="B827" s="15">
        <v>3049</v>
      </c>
      <c r="C827" s="43">
        <v>2019</v>
      </c>
      <c r="D827" s="15">
        <v>3</v>
      </c>
      <c r="E827" s="17">
        <f>'[17]2019 Benchmarking Calculations'!$BK$10/1000</f>
        <v>3337.2032400000003</v>
      </c>
      <c r="F827" s="41">
        <f t="shared" si="164"/>
        <v>1.3352608354138498</v>
      </c>
      <c r="G827" s="44">
        <f>'[17]2019 Benchmarking Calculations'!$BK$61/1000</f>
        <v>35.701999999999998</v>
      </c>
      <c r="H827" s="16">
        <f t="shared" si="166"/>
        <v>47.94</v>
      </c>
      <c r="I827" s="18">
        <f>'[17]2019 Benchmarking Calculations'!$BK$57</f>
        <v>11320</v>
      </c>
      <c r="J827" s="18">
        <f>'[17]2019 Utility Characteristics'!$BE$13</f>
        <v>510</v>
      </c>
      <c r="K827" s="18">
        <f>'[17]2019 Utility Characteristics'!$BE$15</f>
        <v>144</v>
      </c>
      <c r="L827" s="19">
        <f>K827/J827</f>
        <v>0.28235294117647058</v>
      </c>
      <c r="M827" s="9"/>
      <c r="N827" s="9"/>
    </row>
    <row r="828" spans="1:14">
      <c r="A828" s="15" t="str">
        <f>'[18]2. BM Database'!B611</f>
        <v>PARRY SOUND POWER CORPORATION</v>
      </c>
      <c r="B828" s="15">
        <v>3066</v>
      </c>
      <c r="C828" s="43">
        <f>'[18]2. BM Database'!C611</f>
        <v>2005</v>
      </c>
      <c r="D828" s="15">
        <v>3</v>
      </c>
      <c r="E828" s="17">
        <f>'[18]2. BM Database'!F611/1000</f>
        <v>984.57889000000011</v>
      </c>
      <c r="F828" s="41">
        <f t="shared" ref="F828:F842" si="167">F813</f>
        <v>1</v>
      </c>
      <c r="G828" s="44">
        <f>'[18]2. BM Database'!P611/1000</f>
        <v>20</v>
      </c>
      <c r="H828" s="16">
        <f>G828</f>
        <v>20</v>
      </c>
      <c r="I828" s="18">
        <f>'[18]2. BM Database'!L611</f>
        <v>3265</v>
      </c>
      <c r="J828" s="18">
        <f>'[18]2. BM Database'!R611</f>
        <v>128</v>
      </c>
      <c r="K828" s="18">
        <f t="shared" ref="K828:K836" si="168">J828*L828</f>
        <v>11</v>
      </c>
      <c r="L828" s="19">
        <f>'[18]2. BM Database'!T611</f>
        <v>8.59375E-2</v>
      </c>
      <c r="M828" s="9"/>
      <c r="N828" s="9"/>
    </row>
    <row r="829" spans="1:14">
      <c r="A829" s="15" t="str">
        <f>'[18]2. BM Database'!B612</f>
        <v>PARRY SOUND POWER CORPORATION</v>
      </c>
      <c r="B829" s="15">
        <v>3066</v>
      </c>
      <c r="C829" s="43">
        <f>'[18]2. BM Database'!C612</f>
        <v>2006</v>
      </c>
      <c r="D829" s="15">
        <v>3</v>
      </c>
      <c r="E829" s="17">
        <f>'[18]2. BM Database'!F612/1000</f>
        <v>1000.7440899999998</v>
      </c>
      <c r="F829" s="41">
        <f t="shared" si="167"/>
        <v>1.0181607380073696</v>
      </c>
      <c r="G829" s="44">
        <f>'[18]2. BM Database'!P612/1000</f>
        <v>17.75</v>
      </c>
      <c r="H829" s="16">
        <f>MAX(G829,H828)</f>
        <v>20</v>
      </c>
      <c r="I829" s="18">
        <f>'[18]2. BM Database'!L612</f>
        <v>3271</v>
      </c>
      <c r="J829" s="18">
        <f>'[18]2. BM Database'!R612</f>
        <v>128</v>
      </c>
      <c r="K829" s="18">
        <f t="shared" si="168"/>
        <v>11</v>
      </c>
      <c r="L829" s="19">
        <f>'[18]2. BM Database'!T612</f>
        <v>8.59375E-2</v>
      </c>
      <c r="M829" s="9"/>
      <c r="N829" s="9"/>
    </row>
    <row r="830" spans="1:14">
      <c r="A830" s="15" t="str">
        <f>'[18]2. BM Database'!B613</f>
        <v>PARRY SOUND POWER CORPORATION</v>
      </c>
      <c r="B830" s="15">
        <v>3066</v>
      </c>
      <c r="C830" s="43">
        <f>'[18]2. BM Database'!C613</f>
        <v>2007</v>
      </c>
      <c r="D830" s="15">
        <v>3</v>
      </c>
      <c r="E830" s="17">
        <f>'[18]2. BM Database'!F613/1000</f>
        <v>1033.6278699999998</v>
      </c>
      <c r="F830" s="41">
        <f t="shared" si="167"/>
        <v>1.0531931014872313</v>
      </c>
      <c r="G830" s="44">
        <f>'[18]2. BM Database'!P613/1000</f>
        <v>19.170000000000002</v>
      </c>
      <c r="H830" s="16">
        <f t="shared" ref="H830:H836" si="169">MAX(G830,H829)</f>
        <v>20</v>
      </c>
      <c r="I830" s="18">
        <f>'[18]2. BM Database'!L613</f>
        <v>3365</v>
      </c>
      <c r="J830" s="18">
        <f>'[18]2. BM Database'!R613</f>
        <v>128</v>
      </c>
      <c r="K830" s="18">
        <f t="shared" si="168"/>
        <v>11</v>
      </c>
      <c r="L830" s="19">
        <f>'[18]2. BM Database'!T613</f>
        <v>8.59375E-2</v>
      </c>
      <c r="M830" s="9"/>
      <c r="N830" s="9"/>
    </row>
    <row r="831" spans="1:14">
      <c r="A831" s="15" t="str">
        <f>'[18]2. BM Database'!B614</f>
        <v>PARRY SOUND POWER CORPORATION</v>
      </c>
      <c r="B831" s="15">
        <v>3066</v>
      </c>
      <c r="C831" s="43">
        <f>'[18]2. BM Database'!C614</f>
        <v>2008</v>
      </c>
      <c r="D831" s="15">
        <v>3</v>
      </c>
      <c r="E831" s="17">
        <f>'[18]2. BM Database'!F614/1000</f>
        <v>1171.6447499999999</v>
      </c>
      <c r="F831" s="41">
        <f t="shared" si="167"/>
        <v>1.078564603993923</v>
      </c>
      <c r="G831" s="44">
        <f>'[18]2. BM Database'!P614/1000</f>
        <v>18.670000000000002</v>
      </c>
      <c r="H831" s="16">
        <f t="shared" si="169"/>
        <v>20</v>
      </c>
      <c r="I831" s="18">
        <f>'[18]2. BM Database'!L614</f>
        <v>3356</v>
      </c>
      <c r="J831" s="18">
        <f>'[18]2. BM Database'!R614</f>
        <v>128</v>
      </c>
      <c r="K831" s="18">
        <f t="shared" si="168"/>
        <v>11</v>
      </c>
      <c r="L831" s="19">
        <f>'[18]2. BM Database'!T614</f>
        <v>8.59375E-2</v>
      </c>
      <c r="M831" s="9"/>
      <c r="N831" s="9"/>
    </row>
    <row r="832" spans="1:14">
      <c r="A832" s="15" t="str">
        <f>'[18]2. BM Database'!B615</f>
        <v>PARRY SOUND POWER CORPORATION</v>
      </c>
      <c r="B832" s="15">
        <v>3066</v>
      </c>
      <c r="C832" s="43">
        <f>'[18]2. BM Database'!C615</f>
        <v>2009</v>
      </c>
      <c r="D832" s="15">
        <v>3</v>
      </c>
      <c r="E832" s="17">
        <f>'[18]2. BM Database'!F615/1000</f>
        <v>1210.0591100000001</v>
      </c>
      <c r="F832" s="41">
        <f t="shared" si="167"/>
        <v>1.0915070880241431</v>
      </c>
      <c r="G832" s="44">
        <f>'[18]2. BM Database'!P615/1000</f>
        <v>20.6</v>
      </c>
      <c r="H832" s="16">
        <f t="shared" si="169"/>
        <v>20.6</v>
      </c>
      <c r="I832" s="18">
        <f>'[18]2. BM Database'!L615</f>
        <v>3359</v>
      </c>
      <c r="J832" s="18">
        <f>'[18]2. BM Database'!R615</f>
        <v>128</v>
      </c>
      <c r="K832" s="18">
        <f t="shared" si="168"/>
        <v>11</v>
      </c>
      <c r="L832" s="19">
        <f>'[18]2. BM Database'!T615</f>
        <v>8.59375E-2</v>
      </c>
      <c r="M832" s="9"/>
      <c r="N832" s="9"/>
    </row>
    <row r="833" spans="1:14">
      <c r="A833" s="15" t="str">
        <f>'[18]2. BM Database'!B616</f>
        <v>PARRY SOUND POWER CORPORATION</v>
      </c>
      <c r="B833" s="15">
        <v>3066</v>
      </c>
      <c r="C833" s="43">
        <f>'[18]2. BM Database'!C616</f>
        <v>2010</v>
      </c>
      <c r="D833" s="15">
        <v>3</v>
      </c>
      <c r="E833" s="17">
        <f>'[18]2. BM Database'!F616/1000</f>
        <v>1204.4578900000001</v>
      </c>
      <c r="F833" s="41">
        <f t="shared" si="167"/>
        <v>1.1243125351578573</v>
      </c>
      <c r="G833" s="44">
        <f>'[18]2. BM Database'!P616/1000</f>
        <v>17.870999999999999</v>
      </c>
      <c r="H833" s="16">
        <f t="shared" si="169"/>
        <v>20.6</v>
      </c>
      <c r="I833" s="18">
        <f>'[18]2. BM Database'!L616</f>
        <v>3377</v>
      </c>
      <c r="J833" s="18">
        <f>'[18]2. BM Database'!R616</f>
        <v>129</v>
      </c>
      <c r="K833" s="18">
        <f t="shared" si="168"/>
        <v>11</v>
      </c>
      <c r="L833" s="19">
        <f>'[18]2. BM Database'!T616</f>
        <v>8.5271317829457363E-2</v>
      </c>
      <c r="M833" s="9"/>
      <c r="N833" s="9"/>
    </row>
    <row r="834" spans="1:14">
      <c r="A834" s="15" t="str">
        <f>'[18]2. BM Database'!B617</f>
        <v>PARRY SOUND POWER CORPORATION</v>
      </c>
      <c r="B834" s="15">
        <v>3066</v>
      </c>
      <c r="C834" s="43">
        <f>'[18]2. BM Database'!C617</f>
        <v>2011</v>
      </c>
      <c r="D834" s="15">
        <v>3</v>
      </c>
      <c r="E834" s="17">
        <f>'[18]2. BM Database'!F617/1000</f>
        <v>1301.89139</v>
      </c>
      <c r="F834" s="41">
        <f t="shared" si="167"/>
        <v>1.1430978626415853</v>
      </c>
      <c r="G834" s="44">
        <f>'[18]2. BM Database'!P617/1000</f>
        <v>19.7</v>
      </c>
      <c r="H834" s="16">
        <f t="shared" si="169"/>
        <v>20.6</v>
      </c>
      <c r="I834" s="18">
        <f>'[18]2. BM Database'!L617</f>
        <v>3441</v>
      </c>
      <c r="J834" s="18">
        <f>'[18]2. BM Database'!R617</f>
        <v>129</v>
      </c>
      <c r="K834" s="18">
        <f t="shared" si="168"/>
        <v>11</v>
      </c>
      <c r="L834" s="19">
        <f>'[18]2. BM Database'!T617</f>
        <v>8.5271317829457363E-2</v>
      </c>
      <c r="M834" s="9"/>
      <c r="N834" s="9"/>
    </row>
    <row r="835" spans="1:14">
      <c r="A835" s="15" t="str">
        <f>'[18]2. BM Database'!B618</f>
        <v>PARRY SOUND POWER CORPORATION</v>
      </c>
      <c r="B835" s="15">
        <v>3066</v>
      </c>
      <c r="C835" s="43">
        <f>'[18]2. BM Database'!C618</f>
        <v>2012</v>
      </c>
      <c r="D835" s="15">
        <v>3</v>
      </c>
      <c r="E835" s="17">
        <f>'[18]2. BM Database'!F618/1000</f>
        <v>1362.93292</v>
      </c>
      <c r="F835" s="41">
        <f t="shared" si="167"/>
        <v>1.160126854517312</v>
      </c>
      <c r="G835" s="44">
        <f>'[18]2. BM Database'!P618/1000</f>
        <v>17.100000000000001</v>
      </c>
      <c r="H835" s="16">
        <f t="shared" si="169"/>
        <v>20.6</v>
      </c>
      <c r="I835" s="18">
        <f>'[18]2. BM Database'!L618</f>
        <v>3480</v>
      </c>
      <c r="J835" s="18">
        <f>'[18]2. BM Database'!R618</f>
        <v>129</v>
      </c>
      <c r="K835" s="18">
        <f t="shared" si="168"/>
        <v>11</v>
      </c>
      <c r="L835" s="19">
        <f>'[18]2. BM Database'!T618</f>
        <v>8.5271317829457363E-2</v>
      </c>
      <c r="M835" s="9"/>
      <c r="N835" s="9"/>
    </row>
    <row r="836" spans="1:14" s="15" customFormat="1">
      <c r="A836" s="15" t="s">
        <v>76</v>
      </c>
      <c r="B836" s="15">
        <v>3066</v>
      </c>
      <c r="C836" s="43">
        <v>2013</v>
      </c>
      <c r="D836" s="15">
        <v>3</v>
      </c>
      <c r="E836" s="17">
        <f>HLOOKUP(A836,'[19]2013 Benchmarking Calculations'!$I$3:$CC$76,6,FALSE)/1000</f>
        <v>1616.0808599999998</v>
      </c>
      <c r="F836" s="41">
        <f t="shared" si="167"/>
        <v>1.178602141578931</v>
      </c>
      <c r="G836" s="44">
        <f>HLOOKUP(A836,'[19]2013 Benchmarking Calculations'!$I$3:$CC$76,57,FALSE)/1000</f>
        <v>18.178999999999998</v>
      </c>
      <c r="H836" s="16">
        <f t="shared" si="169"/>
        <v>20.6</v>
      </c>
      <c r="I836" s="18">
        <f>HLOOKUP(A836,'[19]2013 Benchmarking Calculations'!$I$3:$CC$76,53,FALSE)</f>
        <v>3463</v>
      </c>
      <c r="J836" s="18">
        <f>HLOOKUP(A836,'[19]2013 Benchmarking Calculations'!$I$3:$CC$76,71,FALSE)</f>
        <v>129</v>
      </c>
      <c r="K836" s="18">
        <f t="shared" si="168"/>
        <v>11</v>
      </c>
      <c r="L836" s="19">
        <f>HLOOKUP(A836,'[19]2013 PBR data '!B$42:BV$68,15,FALSE)/HLOOKUP(A836,'[19]2013 PBR data '!B$42:BV$68,13,FALSE)</f>
        <v>8.5271317829457363E-2</v>
      </c>
      <c r="M836" s="9"/>
      <c r="N836" s="9"/>
    </row>
    <row r="837" spans="1:14" s="15" customFormat="1">
      <c r="A837" s="15" t="s">
        <v>76</v>
      </c>
      <c r="B837" s="15">
        <v>3066</v>
      </c>
      <c r="C837" s="43">
        <v>2014</v>
      </c>
      <c r="D837" s="15">
        <v>3</v>
      </c>
      <c r="E837" s="17"/>
      <c r="F837" s="41">
        <f t="shared" si="167"/>
        <v>1.2030671041042156</v>
      </c>
      <c r="G837" s="44"/>
      <c r="H837" s="16"/>
      <c r="I837" s="18"/>
      <c r="J837" s="18"/>
      <c r="L837" s="19"/>
      <c r="M837" s="9"/>
      <c r="N837" s="9"/>
    </row>
    <row r="838" spans="1:14" s="15" customFormat="1">
      <c r="A838" s="15" t="s">
        <v>76</v>
      </c>
      <c r="B838" s="15">
        <v>3066</v>
      </c>
      <c r="C838" s="43">
        <v>2015</v>
      </c>
      <c r="D838" s="15">
        <v>3</v>
      </c>
      <c r="E838" s="17"/>
      <c r="F838" s="41">
        <f t="shared" si="167"/>
        <v>1.2312762402864634</v>
      </c>
      <c r="G838" s="44"/>
      <c r="H838" s="16"/>
      <c r="I838" s="18"/>
      <c r="J838" s="18"/>
      <c r="L838" s="19"/>
      <c r="M838" s="9"/>
      <c r="N838" s="9"/>
    </row>
    <row r="839" spans="1:14" s="15" customFormat="1">
      <c r="A839" s="15" t="s">
        <v>76</v>
      </c>
      <c r="B839" s="15">
        <v>3066</v>
      </c>
      <c r="C839" s="43">
        <v>2016</v>
      </c>
      <c r="D839" s="15">
        <v>3</v>
      </c>
      <c r="E839" s="17"/>
      <c r="F839" s="41">
        <f t="shared" si="167"/>
        <v>1.2455044937824149</v>
      </c>
      <c r="G839" s="44"/>
      <c r="H839" s="16"/>
      <c r="I839" s="18"/>
      <c r="J839" s="18"/>
      <c r="L839" s="19"/>
      <c r="M839" s="9"/>
      <c r="N839" s="9"/>
    </row>
    <row r="840" spans="1:14" s="15" customFormat="1">
      <c r="A840" s="15" t="s">
        <v>76</v>
      </c>
      <c r="B840" s="15">
        <v>3066</v>
      </c>
      <c r="C840" s="43">
        <v>2017</v>
      </c>
      <c r="D840" s="15">
        <v>3</v>
      </c>
      <c r="E840" s="17"/>
      <c r="F840" s="41">
        <f t="shared" si="167"/>
        <v>1.2674505553724562</v>
      </c>
      <c r="G840" s="44"/>
      <c r="H840" s="16"/>
      <c r="I840" s="18"/>
      <c r="J840" s="18"/>
      <c r="L840" s="19"/>
      <c r="M840" s="9"/>
      <c r="N840" s="9"/>
    </row>
    <row r="841" spans="1:14" s="15" customFormat="1">
      <c r="A841" s="15" t="s">
        <v>76</v>
      </c>
      <c r="B841" s="15">
        <v>3066</v>
      </c>
      <c r="C841" s="43">
        <v>2018</v>
      </c>
      <c r="D841" s="15">
        <v>3</v>
      </c>
      <c r="E841" s="17"/>
      <c r="F841" s="41">
        <f t="shared" si="167"/>
        <v>1.2994718602728874</v>
      </c>
      <c r="G841" s="44"/>
      <c r="H841" s="16"/>
      <c r="I841" s="18"/>
      <c r="J841" s="18"/>
      <c r="L841" s="19"/>
      <c r="M841" s="9"/>
      <c r="N841" s="9"/>
    </row>
    <row r="842" spans="1:14" s="15" customFormat="1">
      <c r="A842" s="15" t="s">
        <v>76</v>
      </c>
      <c r="B842" s="15">
        <v>3066</v>
      </c>
      <c r="C842" s="43">
        <v>2019</v>
      </c>
      <c r="D842" s="15">
        <v>3</v>
      </c>
      <c r="E842" s="17"/>
      <c r="F842" s="41">
        <f t="shared" si="167"/>
        <v>1.3352608354138498</v>
      </c>
      <c r="G842" s="44"/>
      <c r="H842" s="16"/>
      <c r="I842" s="18"/>
      <c r="J842" s="18"/>
      <c r="L842" s="19"/>
      <c r="M842" s="9"/>
      <c r="N842" s="9"/>
    </row>
    <row r="843" spans="1:14">
      <c r="A843" s="15" t="str">
        <f>'[18]2. BM Database'!B622</f>
        <v>PETERBOROUGH DISTRIBUTION INCORPORATED</v>
      </c>
      <c r="B843" s="15">
        <v>3025</v>
      </c>
      <c r="C843" s="43">
        <f>'[18]2. BM Database'!C622</f>
        <v>2005</v>
      </c>
      <c r="D843" s="15">
        <v>3</v>
      </c>
      <c r="E843" s="17">
        <f>'[18]2. BM Database'!F622/1000</f>
        <v>5271.8235800000002</v>
      </c>
      <c r="F843" s="41">
        <f t="shared" ref="F843:F857" si="170">F828</f>
        <v>1</v>
      </c>
      <c r="G843" s="44">
        <f>'[18]2. BM Database'!P622/1000</f>
        <v>154.667</v>
      </c>
      <c r="H843" s="16">
        <f>G843</f>
        <v>154.667</v>
      </c>
      <c r="I843" s="18">
        <f>'[18]2. BM Database'!L622</f>
        <v>33531</v>
      </c>
      <c r="J843" s="18">
        <f>'[18]2. BM Database'!R622</f>
        <v>536</v>
      </c>
      <c r="K843" s="18">
        <f t="shared" ref="K843:K854" si="171">J843*L843</f>
        <v>156</v>
      </c>
      <c r="L843" s="19">
        <f>'[18]2. BM Database'!T622</f>
        <v>0.29104477611940299</v>
      </c>
      <c r="M843" s="9"/>
      <c r="N843" s="9"/>
    </row>
    <row r="844" spans="1:14">
      <c r="A844" s="15" t="str">
        <f>'[18]2. BM Database'!B623</f>
        <v>PETERBOROUGH DISTRIBUTION INCORPORATED</v>
      </c>
      <c r="B844" s="15">
        <v>3025</v>
      </c>
      <c r="C844" s="43">
        <f>'[18]2. BM Database'!C623</f>
        <v>2006</v>
      </c>
      <c r="D844" s="15">
        <v>3</v>
      </c>
      <c r="E844" s="17">
        <f>'[18]2. BM Database'!F623/1000</f>
        <v>6166.8574700000008</v>
      </c>
      <c r="F844" s="41">
        <f t="shared" si="170"/>
        <v>1.0181607380073696</v>
      </c>
      <c r="G844" s="44">
        <f>'[18]2. BM Database'!P623/1000</f>
        <v>157.90899999999999</v>
      </c>
      <c r="H844" s="16">
        <f>MAX(G844,H843)</f>
        <v>157.90899999999999</v>
      </c>
      <c r="I844" s="18">
        <f>'[18]2. BM Database'!L623</f>
        <v>33866</v>
      </c>
      <c r="J844" s="18">
        <f>'[18]2. BM Database'!R623</f>
        <v>545</v>
      </c>
      <c r="K844" s="18">
        <f t="shared" si="171"/>
        <v>161</v>
      </c>
      <c r="L844" s="19">
        <f>'[18]2. BM Database'!T623</f>
        <v>0.29541284403669726</v>
      </c>
      <c r="M844" s="9"/>
      <c r="N844" s="9"/>
    </row>
    <row r="845" spans="1:14">
      <c r="A845" s="15" t="str">
        <f>'[18]2. BM Database'!B624</f>
        <v>PETERBOROUGH DISTRIBUTION INCORPORATED</v>
      </c>
      <c r="B845" s="15">
        <v>3025</v>
      </c>
      <c r="C845" s="43">
        <f>'[18]2. BM Database'!C624</f>
        <v>2007</v>
      </c>
      <c r="D845" s="15">
        <v>3</v>
      </c>
      <c r="E845" s="17">
        <f>'[18]2. BM Database'!F624/1000</f>
        <v>6430.5863799999997</v>
      </c>
      <c r="F845" s="41">
        <f t="shared" si="170"/>
        <v>1.0531931014872313</v>
      </c>
      <c r="G845" s="44">
        <f>'[18]2. BM Database'!P624/1000</f>
        <v>152.21899999999999</v>
      </c>
      <c r="H845" s="16">
        <f t="shared" ref="H845:H857" si="172">MAX(G845,H844)</f>
        <v>157.90899999999999</v>
      </c>
      <c r="I845" s="18">
        <f>'[18]2. BM Database'!L624</f>
        <v>34161</v>
      </c>
      <c r="J845" s="18">
        <f>'[18]2. BM Database'!R624</f>
        <v>545</v>
      </c>
      <c r="K845" s="18">
        <f t="shared" si="171"/>
        <v>161</v>
      </c>
      <c r="L845" s="19">
        <f>'[18]2. BM Database'!T624</f>
        <v>0.29541284403669726</v>
      </c>
      <c r="M845" s="9"/>
      <c r="N845" s="9"/>
    </row>
    <row r="846" spans="1:14">
      <c r="A846" s="15" t="str">
        <f>'[18]2. BM Database'!B625</f>
        <v>PETERBOROUGH DISTRIBUTION INCORPORATED</v>
      </c>
      <c r="B846" s="15">
        <v>3025</v>
      </c>
      <c r="C846" s="43">
        <f>'[18]2. BM Database'!C625</f>
        <v>2008</v>
      </c>
      <c r="D846" s="15">
        <v>3</v>
      </c>
      <c r="E846" s="17">
        <f>'[18]2. BM Database'!F625/1000</f>
        <v>7017.3372199999994</v>
      </c>
      <c r="F846" s="41">
        <f t="shared" si="170"/>
        <v>1.078564603993923</v>
      </c>
      <c r="G846" s="44">
        <f>'[18]2. BM Database'!P625/1000</f>
        <v>148.39500000000001</v>
      </c>
      <c r="H846" s="16">
        <f t="shared" si="172"/>
        <v>157.90899999999999</v>
      </c>
      <c r="I846" s="18">
        <f>'[18]2. BM Database'!L625</f>
        <v>34349</v>
      </c>
      <c r="J846" s="18">
        <f>'[18]2. BM Database'!R625</f>
        <v>550</v>
      </c>
      <c r="K846" s="18">
        <f t="shared" si="171"/>
        <v>166</v>
      </c>
      <c r="L846" s="19">
        <f>'[18]2. BM Database'!T625</f>
        <v>0.30181818181818182</v>
      </c>
      <c r="M846" s="9"/>
      <c r="N846" s="9"/>
    </row>
    <row r="847" spans="1:14">
      <c r="A847" s="15" t="str">
        <f>'[18]2. BM Database'!B626</f>
        <v>PETERBOROUGH DISTRIBUTION INCORPORATED</v>
      </c>
      <c r="B847" s="15">
        <v>3025</v>
      </c>
      <c r="C847" s="43">
        <f>'[18]2. BM Database'!C626</f>
        <v>2009</v>
      </c>
      <c r="D847" s="15">
        <v>3</v>
      </c>
      <c r="E847" s="17">
        <f>'[18]2. BM Database'!F626/1000</f>
        <v>6359.26109</v>
      </c>
      <c r="F847" s="41">
        <f t="shared" si="170"/>
        <v>1.0915070880241431</v>
      </c>
      <c r="G847" s="44">
        <f>'[18]2. BM Database'!P626/1000</f>
        <v>153.78700000000001</v>
      </c>
      <c r="H847" s="16">
        <f t="shared" si="172"/>
        <v>157.90899999999999</v>
      </c>
      <c r="I847" s="18">
        <f>'[18]2. BM Database'!L626</f>
        <v>34654</v>
      </c>
      <c r="J847" s="18">
        <f>'[18]2. BM Database'!R626</f>
        <v>550</v>
      </c>
      <c r="K847" s="18">
        <f t="shared" si="171"/>
        <v>166</v>
      </c>
      <c r="L847" s="19">
        <f>'[18]2. BM Database'!T626</f>
        <v>0.30181818181818182</v>
      </c>
      <c r="M847" s="9"/>
      <c r="N847" s="9"/>
    </row>
    <row r="848" spans="1:14">
      <c r="A848" s="15" t="str">
        <f>'[18]2. BM Database'!B627</f>
        <v>PETERBOROUGH DISTRIBUTION INCORPORATED</v>
      </c>
      <c r="B848" s="15">
        <v>3025</v>
      </c>
      <c r="C848" s="43">
        <f>'[18]2. BM Database'!C627</f>
        <v>2010</v>
      </c>
      <c r="D848" s="15">
        <v>3</v>
      </c>
      <c r="E848" s="17">
        <f>'[18]2. BM Database'!F627/1000</f>
        <v>6041.2717999999995</v>
      </c>
      <c r="F848" s="41">
        <f t="shared" si="170"/>
        <v>1.1243125351578573</v>
      </c>
      <c r="G848" s="44">
        <f>'[18]2. BM Database'!P627/1000</f>
        <v>150.10300000000001</v>
      </c>
      <c r="H848" s="16">
        <f t="shared" si="172"/>
        <v>157.90899999999999</v>
      </c>
      <c r="I848" s="18">
        <f>'[18]2. BM Database'!L627</f>
        <v>35012</v>
      </c>
      <c r="J848" s="18">
        <f>'[18]2. BM Database'!R627</f>
        <v>552</v>
      </c>
      <c r="K848" s="18">
        <f t="shared" si="171"/>
        <v>168</v>
      </c>
      <c r="L848" s="19">
        <f>'[18]2. BM Database'!T627</f>
        <v>0.30434782608695654</v>
      </c>
      <c r="M848" s="9"/>
      <c r="N848" s="9"/>
    </row>
    <row r="849" spans="1:14">
      <c r="A849" s="15" t="str">
        <f>'[18]2. BM Database'!B628</f>
        <v>PETERBOROUGH DISTRIBUTION INCORPORATED</v>
      </c>
      <c r="B849" s="15">
        <v>3025</v>
      </c>
      <c r="C849" s="43">
        <f>'[18]2. BM Database'!C628</f>
        <v>2011</v>
      </c>
      <c r="D849" s="15">
        <v>3</v>
      </c>
      <c r="E849" s="17">
        <f>'[18]2. BM Database'!F628/1000</f>
        <v>6763.9671500000004</v>
      </c>
      <c r="F849" s="41">
        <f t="shared" si="170"/>
        <v>1.1430978626415853</v>
      </c>
      <c r="G849" s="44">
        <f>'[18]2. BM Database'!P628/1000</f>
        <v>161.697</v>
      </c>
      <c r="H849" s="16">
        <f t="shared" si="172"/>
        <v>161.697</v>
      </c>
      <c r="I849" s="18">
        <f>'[18]2. BM Database'!L628</f>
        <v>35270</v>
      </c>
      <c r="J849" s="18">
        <f>'[18]2. BM Database'!R628</f>
        <v>553</v>
      </c>
      <c r="K849" s="18">
        <f t="shared" si="171"/>
        <v>168</v>
      </c>
      <c r="L849" s="19">
        <f>'[18]2. BM Database'!T628</f>
        <v>0.30379746835443039</v>
      </c>
      <c r="M849" s="9"/>
      <c r="N849" s="9"/>
    </row>
    <row r="850" spans="1:14">
      <c r="A850" s="15" t="str">
        <f>'[18]2. BM Database'!B629</f>
        <v>PETERBOROUGH DISTRIBUTION INCORPORATED</v>
      </c>
      <c r="B850" s="15">
        <v>3025</v>
      </c>
      <c r="C850" s="43">
        <f>'[18]2. BM Database'!C629</f>
        <v>2012</v>
      </c>
      <c r="D850" s="15">
        <v>3</v>
      </c>
      <c r="E850" s="17">
        <f>'[18]2. BM Database'!F629/1000</f>
        <v>6408.7294407999998</v>
      </c>
      <c r="F850" s="41">
        <f t="shared" si="170"/>
        <v>1.160126854517312</v>
      </c>
      <c r="G850" s="44">
        <f>'[18]2. BM Database'!P629/1000</f>
        <v>147.149</v>
      </c>
      <c r="H850" s="16">
        <f t="shared" si="172"/>
        <v>161.697</v>
      </c>
      <c r="I850" s="18">
        <f>'[18]2. BM Database'!L629</f>
        <v>35436</v>
      </c>
      <c r="J850" s="18">
        <f>'[18]2. BM Database'!R629</f>
        <v>560</v>
      </c>
      <c r="K850" s="18">
        <f t="shared" si="171"/>
        <v>172</v>
      </c>
      <c r="L850" s="19">
        <f>'[18]2. BM Database'!T629</f>
        <v>0.30714285714285716</v>
      </c>
      <c r="M850" s="9"/>
      <c r="N850" s="9"/>
    </row>
    <row r="851" spans="1:14" s="15" customFormat="1">
      <c r="A851" s="15" t="s">
        <v>77</v>
      </c>
      <c r="B851" s="15">
        <v>3025</v>
      </c>
      <c r="C851" s="43">
        <v>2013</v>
      </c>
      <c r="D851" s="15">
        <v>3</v>
      </c>
      <c r="E851" s="17">
        <f>HLOOKUP(A851,'[19]2013 Benchmarking Calculations'!$I$3:$CC$76,6,FALSE)/1000</f>
        <v>7788.1138600000004</v>
      </c>
      <c r="F851" s="41">
        <f t="shared" si="170"/>
        <v>1.178602141578931</v>
      </c>
      <c r="G851" s="44">
        <f>HLOOKUP(A851,'[19]2013 Benchmarking Calculations'!$I$3:$CC$76,57,FALSE)/1000</f>
        <v>158.06</v>
      </c>
      <c r="H851" s="16">
        <f t="shared" si="172"/>
        <v>161.697</v>
      </c>
      <c r="I851" s="18">
        <f>HLOOKUP(A851,'[19]2013 Benchmarking Calculations'!$I$3:$CC$76,53,FALSE)</f>
        <v>35845</v>
      </c>
      <c r="J851" s="18">
        <f>HLOOKUP(A851,'[19]2013 Benchmarking Calculations'!$I$3:$CC$76,71,FALSE)</f>
        <v>564</v>
      </c>
      <c r="K851" s="18">
        <f t="shared" si="171"/>
        <v>177</v>
      </c>
      <c r="L851" s="19">
        <f>HLOOKUP(A851,'[19]2013 PBR data '!B$42:BV$68,15,FALSE)/HLOOKUP(A851,'[19]2013 PBR data '!B$42:BV$68,13,FALSE)</f>
        <v>0.31382978723404253</v>
      </c>
      <c r="M851" s="9"/>
      <c r="N851" s="9"/>
    </row>
    <row r="852" spans="1:14" s="15" customFormat="1">
      <c r="A852" s="15" t="s">
        <v>77</v>
      </c>
      <c r="B852" s="15">
        <v>3025</v>
      </c>
      <c r="C852" s="43">
        <v>2014</v>
      </c>
      <c r="D852" s="15">
        <v>3</v>
      </c>
      <c r="E852" s="17">
        <f>VLOOKUP(A852,[20]Result!$B$12:$D$84,2,FALSE)/10^3</f>
        <v>8381</v>
      </c>
      <c r="F852" s="41">
        <f t="shared" si="170"/>
        <v>1.2030671041042156</v>
      </c>
      <c r="G852" s="44">
        <f>VLOOKUP(A852,'[21]General transpose'!$A$1:$AF$73,26,FALSE)/10^3</f>
        <v>148.42599999999999</v>
      </c>
      <c r="H852" s="16">
        <f t="shared" si="172"/>
        <v>161.697</v>
      </c>
      <c r="I852" s="18">
        <f>VLOOKUP(A852,'[21]General transpose'!$A$1:$AF$73,8,FALSE)</f>
        <v>36058</v>
      </c>
      <c r="J852" s="18">
        <f>VLOOKUP(A852,'[21]General transpose'!$A$1:$AF$73,16,FALSE)</f>
        <v>564</v>
      </c>
      <c r="K852" s="18">
        <f t="shared" si="171"/>
        <v>178</v>
      </c>
      <c r="L852" s="19">
        <f>VLOOKUP(A852,'[21]General transpose'!$A$1:$AF$73,17,FALSE)</f>
        <v>0.31560283687943264</v>
      </c>
      <c r="M852" s="9"/>
      <c r="N852" s="9"/>
    </row>
    <row r="853" spans="1:14" s="15" customFormat="1">
      <c r="A853" s="15" t="s">
        <v>77</v>
      </c>
      <c r="B853" s="15">
        <v>3025</v>
      </c>
      <c r="C853" s="43">
        <v>2015</v>
      </c>
      <c r="D853" s="15">
        <v>3</v>
      </c>
      <c r="E853" s="17">
        <f>VLOOKUP(A852,[20]Result!$B$12:$D$84,3,FALSE)/10^3</f>
        <v>7951.7820000000002</v>
      </c>
      <c r="F853" s="41">
        <f t="shared" si="170"/>
        <v>1.2312762402864634</v>
      </c>
      <c r="G853" s="44">
        <f>VLOOKUP(A852,'[22]General transpose'!$A$1:$AF$73,26,FALSE)/10^3</f>
        <v>142.93899999999999</v>
      </c>
      <c r="H853" s="16">
        <f t="shared" si="172"/>
        <v>161.697</v>
      </c>
      <c r="I853" s="18">
        <f>VLOOKUP(A852,'[22]General transpose'!$A$1:$AF$73,8,FALSE)</f>
        <v>36317</v>
      </c>
      <c r="J853" s="18">
        <f>VLOOKUP(A852,'[22]General transpose'!$A$1:$AF$73,16,FALSE)</f>
        <v>563</v>
      </c>
      <c r="K853" s="18">
        <f t="shared" si="171"/>
        <v>180</v>
      </c>
      <c r="L853" s="19">
        <f>VLOOKUP(A852,'[22]General transpose'!$A$1:$AF$73,17,FALSE)</f>
        <v>0.31971580817051509</v>
      </c>
      <c r="M853" s="9"/>
      <c r="N853" s="9"/>
    </row>
    <row r="854" spans="1:14" s="15" customFormat="1">
      <c r="A854" s="15" t="s">
        <v>77</v>
      </c>
      <c r="B854" s="15">
        <v>3025</v>
      </c>
      <c r="C854" s="43">
        <v>2016</v>
      </c>
      <c r="D854" s="15">
        <v>3</v>
      </c>
      <c r="E854" s="17">
        <f>'[14]2016 Benchmarking Calculations'!$BK$8/1000</f>
        <v>8836.4923599999984</v>
      </c>
      <c r="F854" s="41">
        <f t="shared" si="170"/>
        <v>1.2455044937824149</v>
      </c>
      <c r="G854" s="44">
        <f>HLOOKUP(A854,[23]General!$A$1:$BQ$23,22,FALSE)/10^3</f>
        <v>145.20500000000001</v>
      </c>
      <c r="H854" s="16">
        <f t="shared" si="172"/>
        <v>161.697</v>
      </c>
      <c r="I854" s="18">
        <f>HLOOKUP(A854,[23]General!$A$1:$BQ$23,9,FALSE)</f>
        <v>36574</v>
      </c>
      <c r="J854" s="18">
        <f>HLOOKUP(A854,[23]General!$A$1:$BQ$23,17,FALSE)</f>
        <v>564</v>
      </c>
      <c r="K854" s="18">
        <f t="shared" si="171"/>
        <v>181</v>
      </c>
      <c r="L854" s="19">
        <f>HLOOKUP(A854,[23]General!$A$1:$BQ$23,18,FALSE)</f>
        <v>0.32092198581560283</v>
      </c>
      <c r="M854" s="9"/>
      <c r="N854" s="9"/>
    </row>
    <row r="855" spans="1:14" s="15" customFormat="1">
      <c r="A855" s="15" t="s">
        <v>77</v>
      </c>
      <c r="B855" s="15">
        <v>3025</v>
      </c>
      <c r="C855" s="43">
        <v>2017</v>
      </c>
      <c r="D855" s="15">
        <v>3</v>
      </c>
      <c r="E855" s="17">
        <f>'[14]2017 Benchmarking Calculations'!$BM$9/1000</f>
        <v>8616.7901100000017</v>
      </c>
      <c r="F855" s="41">
        <f t="shared" si="170"/>
        <v>1.2674505553724562</v>
      </c>
      <c r="G855" s="44">
        <f>[15]General!$AX$20/1000</f>
        <v>126.759</v>
      </c>
      <c r="H855" s="16">
        <f t="shared" si="172"/>
        <v>161.697</v>
      </c>
      <c r="I855" s="18">
        <f>[15]General!$AX$9</f>
        <v>37349</v>
      </c>
      <c r="J855" s="18">
        <f>[15]General!$AX$17</f>
        <v>571</v>
      </c>
      <c r="K855" s="18">
        <f>J855*L855</f>
        <v>187</v>
      </c>
      <c r="L855" s="19">
        <f>[15]General!$AX$16/[15]General!$AX$17</f>
        <v>0.32749562171628721</v>
      </c>
      <c r="M855" s="9"/>
      <c r="N855" s="9"/>
    </row>
    <row r="856" spans="1:14" s="15" customFormat="1">
      <c r="A856" s="15" t="s">
        <v>77</v>
      </c>
      <c r="B856" s="15">
        <v>3025</v>
      </c>
      <c r="C856" s="43">
        <v>2018</v>
      </c>
      <c r="D856" s="15">
        <v>3</v>
      </c>
      <c r="E856" s="17">
        <f>'[16]2018 Benchmarking Calculations'!$BM$10/1000</f>
        <v>8748.4463099999994</v>
      </c>
      <c r="F856" s="41">
        <f t="shared" si="170"/>
        <v>1.2994718602728874</v>
      </c>
      <c r="G856" s="44">
        <f>'[16]2018 Benchmarking Calculations'!$BM$61/1000</f>
        <v>148.86799999999999</v>
      </c>
      <c r="H856" s="16">
        <f t="shared" si="172"/>
        <v>161.697</v>
      </c>
      <c r="I856" s="18">
        <f>'[16]2018 Benchmarking Calculations'!$BM$57</f>
        <v>37139</v>
      </c>
      <c r="J856" s="18">
        <f>'[16]2018 Utility Characteristics'!$BG$103</f>
        <v>573</v>
      </c>
      <c r="K856" s="18">
        <f>'[16]2018 Utility Characteristics'!$BG$105</f>
        <v>188</v>
      </c>
      <c r="L856" s="19">
        <f>K856/J856</f>
        <v>0.32809773123909247</v>
      </c>
      <c r="M856" s="9"/>
      <c r="N856" s="9"/>
    </row>
    <row r="857" spans="1:14" s="15" customFormat="1">
      <c r="A857" s="15" t="s">
        <v>77</v>
      </c>
      <c r="B857" s="15">
        <v>3025</v>
      </c>
      <c r="C857" s="43">
        <v>2019</v>
      </c>
      <c r="D857" s="15">
        <v>3</v>
      </c>
      <c r="E857" s="17">
        <f>'[17]2019 Benchmarking Calculations'!$BM$10/1000</f>
        <v>8467.4134200000008</v>
      </c>
      <c r="F857" s="41">
        <f t="shared" si="170"/>
        <v>1.3352608354138498</v>
      </c>
      <c r="G857" s="44">
        <f>'[17]2019 Benchmarking Calculations'!$BM$61/1000</f>
        <v>136.31700000000001</v>
      </c>
      <c r="H857" s="16">
        <f t="shared" si="172"/>
        <v>161.697</v>
      </c>
      <c r="I857" s="18">
        <f>'[17]2019 Benchmarking Calculations'!$BM$57</f>
        <v>37250</v>
      </c>
      <c r="J857" s="18">
        <f>'[17]2019 Utility Characteristics'!$BG$13</f>
        <v>573</v>
      </c>
      <c r="K857" s="18">
        <f>'[17]2019 Utility Characteristics'!$BG$15</f>
        <v>188</v>
      </c>
      <c r="L857" s="19">
        <f>K857/J857</f>
        <v>0.32809773123909247</v>
      </c>
      <c r="M857" s="9"/>
      <c r="N857" s="9"/>
    </row>
    <row r="858" spans="1:14">
      <c r="A858" s="15" t="str">
        <f>'[18]2. BM Database'!B633</f>
        <v>POWERSTREAM INC.</v>
      </c>
      <c r="B858" s="15">
        <v>3003</v>
      </c>
      <c r="C858" s="43">
        <f>'[18]2. BM Database'!C633</f>
        <v>2005</v>
      </c>
      <c r="D858" s="15">
        <v>3</v>
      </c>
      <c r="E858" s="17">
        <f>'[18]2. BM Database'!F633/1000</f>
        <v>44920.078160000005</v>
      </c>
      <c r="F858" s="41">
        <f t="shared" ref="F858:F872" si="173">F843</f>
        <v>1</v>
      </c>
      <c r="G858" s="44">
        <f>'[18]2. BM Database'!P633/1000</f>
        <v>1802.105</v>
      </c>
      <c r="H858" s="16">
        <f>G858</f>
        <v>1802.105</v>
      </c>
      <c r="I858" s="18">
        <f>'[18]2. BM Database'!L633</f>
        <v>285600</v>
      </c>
      <c r="J858" s="18">
        <f>'[18]2. BM Database'!R633</f>
        <v>7342</v>
      </c>
      <c r="K858" s="18">
        <f t="shared" ref="K858:K869" si="174">J858*L858</f>
        <v>4736</v>
      </c>
      <c r="L858" s="19">
        <f>'[18]2. BM Database'!T633</f>
        <v>0.64505584309452468</v>
      </c>
      <c r="M858" s="9"/>
      <c r="N858" s="9"/>
    </row>
    <row r="859" spans="1:14">
      <c r="A859" s="15" t="str">
        <f>'[18]2. BM Database'!B634</f>
        <v>POWERSTREAM INC.</v>
      </c>
      <c r="B859" s="15">
        <v>3003</v>
      </c>
      <c r="C859" s="43">
        <f>'[18]2. BM Database'!C634</f>
        <v>2006</v>
      </c>
      <c r="D859" s="15">
        <v>3</v>
      </c>
      <c r="E859" s="17">
        <f>'[18]2. BM Database'!F634/1000</f>
        <v>42313.30384</v>
      </c>
      <c r="F859" s="41">
        <f t="shared" si="173"/>
        <v>1.0181607380073696</v>
      </c>
      <c r="G859" s="44">
        <f>'[18]2. BM Database'!P634/1000</f>
        <v>1901.048</v>
      </c>
      <c r="H859" s="16">
        <f>MAX(G859,H858)</f>
        <v>1901.048</v>
      </c>
      <c r="I859" s="18">
        <f>'[18]2. BM Database'!L634</f>
        <v>295994</v>
      </c>
      <c r="J859" s="18">
        <f>'[18]2. BM Database'!R634</f>
        <v>7465</v>
      </c>
      <c r="K859" s="18">
        <f t="shared" si="174"/>
        <v>4943</v>
      </c>
      <c r="L859" s="19">
        <f>'[18]2. BM Database'!T634</f>
        <v>0.66215673141326192</v>
      </c>
      <c r="M859" s="9"/>
      <c r="N859" s="9"/>
    </row>
    <row r="860" spans="1:14">
      <c r="A860" s="15" t="str">
        <f>'[18]2. BM Database'!B635</f>
        <v>POWERSTREAM INC.</v>
      </c>
      <c r="B860" s="15">
        <v>3003</v>
      </c>
      <c r="C860" s="43">
        <f>'[18]2. BM Database'!C635</f>
        <v>2007</v>
      </c>
      <c r="D860" s="15">
        <v>3</v>
      </c>
      <c r="E860" s="17">
        <f>'[18]2. BM Database'!F635/1000</f>
        <v>45684.28069</v>
      </c>
      <c r="F860" s="41">
        <f t="shared" si="173"/>
        <v>1.0531931014872313</v>
      </c>
      <c r="G860" s="44">
        <f>'[18]2. BM Database'!P635/1000</f>
        <v>1827.7370000000001</v>
      </c>
      <c r="H860" s="16">
        <f t="shared" ref="H860:H869" si="175">MAX(G860,H859)</f>
        <v>1901.048</v>
      </c>
      <c r="I860" s="18">
        <f>'[18]2. BM Database'!L635</f>
        <v>304755</v>
      </c>
      <c r="J860" s="18">
        <f>'[18]2. BM Database'!R635</f>
        <v>7645</v>
      </c>
      <c r="K860" s="18">
        <f t="shared" si="174"/>
        <v>5087</v>
      </c>
      <c r="L860" s="19">
        <f>'[18]2. BM Database'!T635</f>
        <v>0.66540222367560498</v>
      </c>
      <c r="M860" s="9"/>
      <c r="N860" s="9"/>
    </row>
    <row r="861" spans="1:14">
      <c r="A861" s="15" t="str">
        <f>'[18]2. BM Database'!B636</f>
        <v>POWERSTREAM INC.</v>
      </c>
      <c r="B861" s="15">
        <v>3003</v>
      </c>
      <c r="C861" s="43">
        <f>'[18]2. BM Database'!C636</f>
        <v>2008</v>
      </c>
      <c r="D861" s="15">
        <v>3</v>
      </c>
      <c r="E861" s="17">
        <f>'[18]2. BM Database'!F636/1000</f>
        <v>52247.509760000001</v>
      </c>
      <c r="F861" s="41">
        <f t="shared" si="173"/>
        <v>1.078564603993923</v>
      </c>
      <c r="G861" s="44">
        <f>'[18]2. BM Database'!P636/1000</f>
        <v>1762.5129999999999</v>
      </c>
      <c r="H861" s="16">
        <f t="shared" si="175"/>
        <v>1901.048</v>
      </c>
      <c r="I861" s="18">
        <f>'[18]2. BM Database'!L636</f>
        <v>314201</v>
      </c>
      <c r="J861" s="18">
        <f>'[18]2. BM Database'!R636</f>
        <v>7591</v>
      </c>
      <c r="K861" s="18">
        <f t="shared" si="174"/>
        <v>4999</v>
      </c>
      <c r="L861" s="19">
        <f>'[18]2. BM Database'!T636</f>
        <v>0.65854301146094063</v>
      </c>
      <c r="M861" s="9"/>
      <c r="N861" s="9"/>
    </row>
    <row r="862" spans="1:14">
      <c r="A862" s="15" t="str">
        <f>'[18]2. BM Database'!B637</f>
        <v>POWERSTREAM INC.</v>
      </c>
      <c r="B862" s="15">
        <v>3003</v>
      </c>
      <c r="C862" s="43">
        <f>'[18]2. BM Database'!C637</f>
        <v>2009</v>
      </c>
      <c r="D862" s="15">
        <v>3</v>
      </c>
      <c r="E862" s="17">
        <f>'[18]2. BM Database'!F637/1000</f>
        <v>54413.951179999996</v>
      </c>
      <c r="F862" s="41">
        <f t="shared" si="173"/>
        <v>1.0915070880241431</v>
      </c>
      <c r="G862" s="44">
        <f>'[18]2. BM Database'!P637/1000</f>
        <v>1762.8340000000001</v>
      </c>
      <c r="H862" s="16">
        <f t="shared" si="175"/>
        <v>1901.048</v>
      </c>
      <c r="I862" s="18">
        <f>'[18]2. BM Database'!L637</f>
        <v>317914</v>
      </c>
      <c r="J862" s="18">
        <f>'[18]2. BM Database'!R637</f>
        <v>7681</v>
      </c>
      <c r="K862" s="18">
        <f t="shared" si="174"/>
        <v>4926</v>
      </c>
      <c r="L862" s="19">
        <f>'[18]2. BM Database'!T637</f>
        <v>0.64132274443431847</v>
      </c>
      <c r="M862" s="9"/>
      <c r="N862" s="9"/>
    </row>
    <row r="863" spans="1:14">
      <c r="A863" s="15" t="str">
        <f>'[18]2. BM Database'!B638</f>
        <v>POWERSTREAM INC.</v>
      </c>
      <c r="B863" s="15">
        <v>3003</v>
      </c>
      <c r="C863" s="43">
        <f>'[18]2. BM Database'!C638</f>
        <v>2010</v>
      </c>
      <c r="D863" s="15">
        <v>3</v>
      </c>
      <c r="E863" s="17">
        <f>'[18]2. BM Database'!F638/1000</f>
        <v>51331.97638273843</v>
      </c>
      <c r="F863" s="41">
        <f t="shared" si="173"/>
        <v>1.1243125351578573</v>
      </c>
      <c r="G863" s="44">
        <f>'[18]2. BM Database'!P638/1000</f>
        <v>1895.989</v>
      </c>
      <c r="H863" s="16">
        <f t="shared" si="175"/>
        <v>1901.048</v>
      </c>
      <c r="I863" s="18">
        <f>'[18]2. BM Database'!L638</f>
        <v>325540</v>
      </c>
      <c r="J863" s="18">
        <f>'[18]2. BM Database'!R638</f>
        <v>7381</v>
      </c>
      <c r="K863" s="18">
        <f t="shared" si="174"/>
        <v>4830</v>
      </c>
      <c r="L863" s="19">
        <f>'[18]2. BM Database'!T638</f>
        <v>0.65438287494919389</v>
      </c>
      <c r="M863" s="9"/>
      <c r="N863" s="9"/>
    </row>
    <row r="864" spans="1:14">
      <c r="A864" s="15" t="str">
        <f>'[18]2. BM Database'!B639</f>
        <v>POWERSTREAM INC.</v>
      </c>
      <c r="B864" s="15">
        <v>3003</v>
      </c>
      <c r="C864" s="43">
        <f>'[18]2. BM Database'!C639</f>
        <v>2011</v>
      </c>
      <c r="D864" s="15">
        <v>3</v>
      </c>
      <c r="E864" s="17">
        <f>'[18]2. BM Database'!F639/1000</f>
        <v>54881.976237251925</v>
      </c>
      <c r="F864" s="41">
        <f t="shared" si="173"/>
        <v>1.1430978626415853</v>
      </c>
      <c r="G864" s="44">
        <f>'[18]2. BM Database'!P639/1000</f>
        <v>1961.144</v>
      </c>
      <c r="H864" s="16">
        <f t="shared" si="175"/>
        <v>1961.144</v>
      </c>
      <c r="I864" s="18">
        <f>'[18]2. BM Database'!L639</f>
        <v>332993</v>
      </c>
      <c r="J864" s="18">
        <f>'[18]2. BM Database'!R639</f>
        <v>7431</v>
      </c>
      <c r="K864" s="18">
        <f t="shared" si="174"/>
        <v>4847</v>
      </c>
      <c r="L864" s="19">
        <f>'[18]2. BM Database'!T639</f>
        <v>0.65226752792356346</v>
      </c>
      <c r="M864" s="9"/>
      <c r="N864" s="9"/>
    </row>
    <row r="865" spans="1:14">
      <c r="A865" s="15" t="str">
        <f>'[18]2. BM Database'!B640</f>
        <v>POWERSTREAM INC.</v>
      </c>
      <c r="B865" s="15">
        <v>3003</v>
      </c>
      <c r="C865" s="43">
        <f>'[18]2. BM Database'!C640</f>
        <v>2012</v>
      </c>
      <c r="D865" s="15">
        <v>3</v>
      </c>
      <c r="E865" s="17">
        <f>'[18]2. BM Database'!F640/1000</f>
        <v>72205.853489759102</v>
      </c>
      <c r="F865" s="41">
        <f t="shared" si="173"/>
        <v>1.160126854517312</v>
      </c>
      <c r="G865" s="44">
        <f>'[18]2. BM Database'!P640/1000</f>
        <v>1940.7929999999999</v>
      </c>
      <c r="H865" s="16">
        <f t="shared" si="175"/>
        <v>1961.144</v>
      </c>
      <c r="I865" s="18">
        <f>'[18]2. BM Database'!L640</f>
        <v>340343</v>
      </c>
      <c r="J865" s="18">
        <f>'[18]2. BM Database'!R640</f>
        <v>7466</v>
      </c>
      <c r="K865" s="18">
        <f t="shared" si="174"/>
        <v>4944</v>
      </c>
      <c r="L865" s="19">
        <f>'[18]2. BM Database'!T640</f>
        <v>0.66220198231984995</v>
      </c>
      <c r="M865" s="9"/>
      <c r="N865" s="9"/>
    </row>
    <row r="866" spans="1:14" s="15" customFormat="1">
      <c r="A866" s="15" t="s">
        <v>78</v>
      </c>
      <c r="B866" s="15">
        <v>3003</v>
      </c>
      <c r="C866" s="43">
        <v>2013</v>
      </c>
      <c r="D866" s="15">
        <v>3</v>
      </c>
      <c r="E866" s="17">
        <f>HLOOKUP(A866,'[19]2013 Benchmarking Calculations'!$I$3:$CC$76,6,FALSE)/1000</f>
        <v>77277.916590000008</v>
      </c>
      <c r="F866" s="41">
        <f t="shared" si="173"/>
        <v>1.178602141578931</v>
      </c>
      <c r="G866" s="44">
        <f>HLOOKUP(A866,'[19]2013 Benchmarking Calculations'!$I$3:$CC$76,57,FALSE)/1000</f>
        <v>1971.7650000000001</v>
      </c>
      <c r="H866" s="16">
        <f t="shared" si="175"/>
        <v>1971.7650000000001</v>
      </c>
      <c r="I866" s="18">
        <f>HLOOKUP(A866,'[19]2013 Benchmarking Calculations'!$I$3:$CC$76,53,FALSE)</f>
        <v>346618</v>
      </c>
      <c r="J866" s="18">
        <f>HLOOKUP(A866,'[19]2013 Benchmarking Calculations'!$I$3:$CC$76,71,FALSE)</f>
        <v>7569</v>
      </c>
      <c r="K866" s="18">
        <f t="shared" si="174"/>
        <v>5034</v>
      </c>
      <c r="L866" s="19">
        <f>HLOOKUP(A866,'[19]2013 PBR data '!B$42:BV$68,15,FALSE)/HLOOKUP(A866,'[19]2013 PBR data '!B$42:BV$68,13,FALSE)</f>
        <v>0.66508125247720962</v>
      </c>
      <c r="M866" s="9"/>
      <c r="N866" s="9"/>
    </row>
    <row r="867" spans="1:14" s="15" customFormat="1">
      <c r="A867" s="15" t="s">
        <v>78</v>
      </c>
      <c r="B867" s="15">
        <v>3003</v>
      </c>
      <c r="C867" s="43">
        <v>2014</v>
      </c>
      <c r="D867" s="15">
        <v>3</v>
      </c>
      <c r="E867" s="17">
        <f>VLOOKUP(A867,[20]Result!$B$12:$D$84,2,FALSE)/10^3</f>
        <v>81488.866999999998</v>
      </c>
      <c r="F867" s="41">
        <f t="shared" si="173"/>
        <v>1.2030671041042156</v>
      </c>
      <c r="G867" s="44">
        <f>VLOOKUP(A867,'[21]General transpose'!$A$1:$AF$73,26,FALSE)/10^3</f>
        <v>1677.375</v>
      </c>
      <c r="H867" s="16">
        <f t="shared" si="175"/>
        <v>1971.7650000000001</v>
      </c>
      <c r="I867" s="18">
        <f>VLOOKUP(A867,'[21]General transpose'!$A$1:$AF$73,8,FALSE)</f>
        <v>353284</v>
      </c>
      <c r="J867" s="18">
        <f>VLOOKUP(A867,'[21]General transpose'!$A$1:$AF$73,16,FALSE)</f>
        <v>7601</v>
      </c>
      <c r="K867" s="18">
        <f t="shared" si="174"/>
        <v>5070</v>
      </c>
      <c r="L867" s="19">
        <f>VLOOKUP(A867,'[21]General transpose'!$A$1:$AF$73,17,FALSE)</f>
        <v>0.66701749769767138</v>
      </c>
      <c r="M867" s="9"/>
      <c r="N867" s="9"/>
    </row>
    <row r="868" spans="1:14" s="15" customFormat="1">
      <c r="A868" s="15" t="s">
        <v>78</v>
      </c>
      <c r="B868" s="15">
        <v>3003</v>
      </c>
      <c r="C868" s="43">
        <v>2015</v>
      </c>
      <c r="D868" s="15">
        <v>3</v>
      </c>
      <c r="E868" s="17">
        <f>VLOOKUP(A867,[20]Result!$B$12:$D$84,3,FALSE)/10^3</f>
        <v>87218.39</v>
      </c>
      <c r="F868" s="41">
        <f t="shared" si="173"/>
        <v>1.2312762402864634</v>
      </c>
      <c r="G868" s="44">
        <f>VLOOKUP(A867,'[22]General transpose'!$A$1:$AF$73,26,FALSE)/10^3</f>
        <v>1781.4839999999999</v>
      </c>
      <c r="H868" s="16">
        <f t="shared" si="175"/>
        <v>1971.7650000000001</v>
      </c>
      <c r="I868" s="18">
        <f>VLOOKUP(A867,'[22]General transpose'!$A$1:$AF$73,8,FALSE)</f>
        <v>358772</v>
      </c>
      <c r="J868" s="18">
        <f>VLOOKUP(A867,'[22]General transpose'!$A$1:$AF$73,16,FALSE)</f>
        <v>7662</v>
      </c>
      <c r="K868" s="18">
        <f t="shared" si="174"/>
        <v>5157</v>
      </c>
      <c r="L868" s="19">
        <f>VLOOKUP(A867,'[22]General transpose'!$A$1:$AF$73,17,FALSE)</f>
        <v>0.67306186374314803</v>
      </c>
      <c r="M868" s="9"/>
      <c r="N868" s="9"/>
    </row>
    <row r="869" spans="1:14" s="15" customFormat="1">
      <c r="A869" s="15" t="s">
        <v>78</v>
      </c>
      <c r="B869" s="15">
        <v>3003</v>
      </c>
      <c r="C869" s="43">
        <v>2016</v>
      </c>
      <c r="D869" s="15">
        <v>3</v>
      </c>
      <c r="E869" s="17">
        <f>'[14]2016 Benchmarking Calculations'!$BL$8/1000</f>
        <v>86719.085359999997</v>
      </c>
      <c r="F869" s="41">
        <f t="shared" si="173"/>
        <v>1.2455044937824149</v>
      </c>
      <c r="G869" s="44">
        <f>HLOOKUP(A869,[23]General!$A$1:$BQ$23,22,FALSE)/10^3</f>
        <v>1874.8330000000001</v>
      </c>
      <c r="H869" s="16">
        <f t="shared" si="175"/>
        <v>1971.7650000000001</v>
      </c>
      <c r="I869" s="18">
        <f>HLOOKUP(A869,[23]General!$A$1:$BQ$23,9,FALSE)</f>
        <v>364505</v>
      </c>
      <c r="J869" s="18">
        <f>HLOOKUP(A869,[23]General!$A$1:$BQ$23,17,FALSE)</f>
        <v>7744</v>
      </c>
      <c r="K869" s="18">
        <f t="shared" si="174"/>
        <v>5240</v>
      </c>
      <c r="L869" s="19">
        <f>HLOOKUP(A869,[23]General!$A$1:$BQ$23,18,FALSE)</f>
        <v>0.67665289256198347</v>
      </c>
      <c r="M869" s="9"/>
      <c r="N869" s="9"/>
    </row>
    <row r="870" spans="1:14" s="15" customFormat="1">
      <c r="A870" s="15" t="s">
        <v>78</v>
      </c>
      <c r="B870" s="15">
        <v>3003</v>
      </c>
      <c r="C870" s="43">
        <v>2017</v>
      </c>
      <c r="D870" s="15">
        <v>3</v>
      </c>
      <c r="E870" s="17"/>
      <c r="F870" s="41">
        <f t="shared" si="173"/>
        <v>1.2674505553724562</v>
      </c>
      <c r="G870" s="44"/>
      <c r="H870" s="16"/>
      <c r="I870" s="18"/>
      <c r="J870" s="18"/>
      <c r="L870" s="19"/>
      <c r="M870" s="9"/>
      <c r="N870" s="9"/>
    </row>
    <row r="871" spans="1:14" s="15" customFormat="1">
      <c r="A871" s="15" t="s">
        <v>78</v>
      </c>
      <c r="B871" s="15">
        <v>3003</v>
      </c>
      <c r="C871" s="43">
        <v>2018</v>
      </c>
      <c r="D871" s="15">
        <v>3</v>
      </c>
      <c r="E871" s="17"/>
      <c r="F871" s="41">
        <f t="shared" si="173"/>
        <v>1.2994718602728874</v>
      </c>
      <c r="G871" s="44"/>
      <c r="H871" s="16"/>
      <c r="I871" s="18"/>
      <c r="J871" s="18"/>
      <c r="L871" s="19"/>
      <c r="M871" s="9"/>
      <c r="N871" s="9"/>
    </row>
    <row r="872" spans="1:14" s="15" customFormat="1">
      <c r="A872" s="15" t="s">
        <v>78</v>
      </c>
      <c r="B872" s="15">
        <v>3003</v>
      </c>
      <c r="C872" s="43">
        <v>2019</v>
      </c>
      <c r="D872" s="15">
        <v>3</v>
      </c>
      <c r="E872" s="17"/>
      <c r="F872" s="41">
        <f t="shared" si="173"/>
        <v>1.3352608354138498</v>
      </c>
      <c r="G872" s="44"/>
      <c r="H872" s="16"/>
      <c r="I872" s="18"/>
      <c r="J872" s="18"/>
      <c r="L872" s="19"/>
      <c r="M872" s="9"/>
      <c r="N872" s="9"/>
    </row>
    <row r="873" spans="1:14">
      <c r="A873" s="15" t="str">
        <f>'[18]2. BM Database'!B644</f>
        <v>PUC DISTRIBUTION INC.</v>
      </c>
      <c r="B873" s="15">
        <v>3027</v>
      </c>
      <c r="C873" s="43">
        <f>'[18]2. BM Database'!C644</f>
        <v>2005</v>
      </c>
      <c r="D873" s="15">
        <v>3</v>
      </c>
      <c r="E873" s="17">
        <f>'[18]2. BM Database'!F644/1000</f>
        <v>6720.7463900000002</v>
      </c>
      <c r="F873" s="41">
        <f t="shared" ref="F873:F887" si="176">F858</f>
        <v>1</v>
      </c>
      <c r="G873" s="44">
        <f>'[18]2. BM Database'!P644/1000</f>
        <v>156.33600000000001</v>
      </c>
      <c r="H873" s="16">
        <f>G873</f>
        <v>156.33600000000001</v>
      </c>
      <c r="I873" s="18">
        <f>'[18]2. BM Database'!L644</f>
        <v>32497</v>
      </c>
      <c r="J873" s="18">
        <f>'[18]2. BM Database'!R644</f>
        <v>715</v>
      </c>
      <c r="K873" s="18">
        <f t="shared" ref="K873:K884" si="177">J873*L873</f>
        <v>111.00000000000001</v>
      </c>
      <c r="L873" s="19">
        <f>'[18]2. BM Database'!T644</f>
        <v>0.15524475524475526</v>
      </c>
      <c r="M873" s="9"/>
      <c r="N873" s="9"/>
    </row>
    <row r="874" spans="1:14">
      <c r="A874" s="15" t="str">
        <f>'[18]2. BM Database'!B645</f>
        <v>PUC DISTRIBUTION INC.</v>
      </c>
      <c r="B874" s="15">
        <v>3027</v>
      </c>
      <c r="C874" s="43">
        <f>'[18]2. BM Database'!C645</f>
        <v>2006</v>
      </c>
      <c r="D874" s="15">
        <v>3</v>
      </c>
      <c r="E874" s="17">
        <f>'[18]2. BM Database'!F645/1000</f>
        <v>6531.643680000001</v>
      </c>
      <c r="F874" s="41">
        <f t="shared" si="176"/>
        <v>1.0181607380073696</v>
      </c>
      <c r="G874" s="44">
        <f>'[18]2. BM Database'!P645/1000</f>
        <v>137.316</v>
      </c>
      <c r="H874" s="16">
        <f>MAX(G874,H873)</f>
        <v>156.33600000000001</v>
      </c>
      <c r="I874" s="18">
        <f>'[18]2. BM Database'!L645</f>
        <v>32438</v>
      </c>
      <c r="J874" s="18">
        <f>'[18]2. BM Database'!R645</f>
        <v>722</v>
      </c>
      <c r="K874" s="18">
        <f t="shared" si="177"/>
        <v>111.99999999999999</v>
      </c>
      <c r="L874" s="19">
        <f>'[18]2. BM Database'!T645</f>
        <v>0.15512465373961218</v>
      </c>
      <c r="M874" s="9"/>
      <c r="N874" s="9"/>
    </row>
    <row r="875" spans="1:14">
      <c r="A875" s="15" t="str">
        <f>'[18]2. BM Database'!B646</f>
        <v>PUC DISTRIBUTION INC.</v>
      </c>
      <c r="B875" s="15">
        <v>3027</v>
      </c>
      <c r="C875" s="43">
        <f>'[18]2. BM Database'!C646</f>
        <v>2007</v>
      </c>
      <c r="D875" s="15">
        <v>3</v>
      </c>
      <c r="E875" s="17">
        <f>'[18]2. BM Database'!F646/1000</f>
        <v>7270.4590099999996</v>
      </c>
      <c r="F875" s="41">
        <f t="shared" si="176"/>
        <v>1.0531931014872313</v>
      </c>
      <c r="G875" s="44">
        <f>'[18]2. BM Database'!P646/1000</f>
        <v>139.708</v>
      </c>
      <c r="H875" s="16">
        <f t="shared" ref="H875:H887" si="178">MAX(G875,H874)</f>
        <v>156.33600000000001</v>
      </c>
      <c r="I875" s="18">
        <f>'[18]2. BM Database'!L646</f>
        <v>32512</v>
      </c>
      <c r="J875" s="18">
        <f>'[18]2. BM Database'!R646</f>
        <v>725</v>
      </c>
      <c r="K875" s="18">
        <f t="shared" si="177"/>
        <v>114</v>
      </c>
      <c r="L875" s="19">
        <f>'[18]2. BM Database'!T646</f>
        <v>0.15724137931034482</v>
      </c>
      <c r="M875" s="9"/>
      <c r="N875" s="9"/>
    </row>
    <row r="876" spans="1:14">
      <c r="A876" s="15" t="str">
        <f>'[18]2. BM Database'!B647</f>
        <v>PUC DISTRIBUTION INC.</v>
      </c>
      <c r="B876" s="15">
        <v>3027</v>
      </c>
      <c r="C876" s="43">
        <f>'[18]2. BM Database'!C647</f>
        <v>2008</v>
      </c>
      <c r="D876" s="15">
        <v>3</v>
      </c>
      <c r="E876" s="17">
        <f>'[18]2. BM Database'!F647/1000</f>
        <v>6969.509</v>
      </c>
      <c r="F876" s="41">
        <f t="shared" si="176"/>
        <v>1.078564603993923</v>
      </c>
      <c r="G876" s="44">
        <f>'[18]2. BM Database'!P647/1000</f>
        <v>139.124</v>
      </c>
      <c r="H876" s="16">
        <f t="shared" si="178"/>
        <v>156.33600000000001</v>
      </c>
      <c r="I876" s="18">
        <f>'[18]2. BM Database'!L647</f>
        <v>32734</v>
      </c>
      <c r="J876" s="18">
        <f>'[18]2. BM Database'!R647</f>
        <v>728</v>
      </c>
      <c r="K876" s="18">
        <f t="shared" si="177"/>
        <v>115.99999999999999</v>
      </c>
      <c r="L876" s="19">
        <f>'[18]2. BM Database'!T647</f>
        <v>0.15934065934065933</v>
      </c>
      <c r="M876" s="9"/>
      <c r="N876" s="9"/>
    </row>
    <row r="877" spans="1:14">
      <c r="A877" s="15" t="str">
        <f>'[18]2. BM Database'!B648</f>
        <v>PUC DISTRIBUTION INC.</v>
      </c>
      <c r="B877" s="15">
        <v>3027</v>
      </c>
      <c r="C877" s="43">
        <f>'[18]2. BM Database'!C648</f>
        <v>2009</v>
      </c>
      <c r="D877" s="15">
        <v>3</v>
      </c>
      <c r="E877" s="17">
        <f>'[18]2. BM Database'!F648/1000</f>
        <v>7679.5353600000017</v>
      </c>
      <c r="F877" s="41">
        <f t="shared" si="176"/>
        <v>1.0915070880241431</v>
      </c>
      <c r="G877" s="44">
        <f>'[18]2. BM Database'!P648/1000</f>
        <v>147.108</v>
      </c>
      <c r="H877" s="16">
        <f t="shared" si="178"/>
        <v>156.33600000000001</v>
      </c>
      <c r="I877" s="18">
        <f>'[18]2. BM Database'!L648</f>
        <v>32808</v>
      </c>
      <c r="J877" s="18">
        <f>'[18]2. BM Database'!R648</f>
        <v>732</v>
      </c>
      <c r="K877" s="18">
        <f t="shared" si="177"/>
        <v>116</v>
      </c>
      <c r="L877" s="19">
        <f>'[18]2. BM Database'!T648</f>
        <v>0.15846994535519127</v>
      </c>
      <c r="M877" s="9"/>
      <c r="N877" s="9"/>
    </row>
    <row r="878" spans="1:14">
      <c r="A878" s="15" t="str">
        <f>'[18]2. BM Database'!B649</f>
        <v>PUC DISTRIBUTION INC.</v>
      </c>
      <c r="B878" s="15">
        <v>3027</v>
      </c>
      <c r="C878" s="43">
        <f>'[18]2. BM Database'!C649</f>
        <v>2010</v>
      </c>
      <c r="D878" s="15">
        <v>3</v>
      </c>
      <c r="E878" s="17">
        <f>'[18]2. BM Database'!F649/1000</f>
        <v>8099.3462799999998</v>
      </c>
      <c r="F878" s="41">
        <f t="shared" si="176"/>
        <v>1.1243125351578573</v>
      </c>
      <c r="G878" s="44">
        <f>'[18]2. BM Database'!P649/1000</f>
        <v>141.244</v>
      </c>
      <c r="H878" s="16">
        <f t="shared" si="178"/>
        <v>156.33600000000001</v>
      </c>
      <c r="I878" s="18">
        <f>'[18]2. BM Database'!L649</f>
        <v>32870</v>
      </c>
      <c r="J878" s="18">
        <f>'[18]2. BM Database'!R649</f>
        <v>733</v>
      </c>
      <c r="K878" s="18">
        <f t="shared" si="177"/>
        <v>116.99999999999999</v>
      </c>
      <c r="L878" s="19">
        <f>'[18]2. BM Database'!T649</f>
        <v>0.15961800818553887</v>
      </c>
      <c r="M878" s="9"/>
      <c r="N878" s="9"/>
    </row>
    <row r="879" spans="1:14">
      <c r="A879" s="15" t="str">
        <f>'[18]2. BM Database'!B650</f>
        <v>PUC DISTRIBUTION INC.</v>
      </c>
      <c r="B879" s="15">
        <v>3027</v>
      </c>
      <c r="C879" s="43">
        <f>'[18]2. BM Database'!C650</f>
        <v>2011</v>
      </c>
      <c r="D879" s="15">
        <v>3</v>
      </c>
      <c r="E879" s="17">
        <f>'[18]2. BM Database'!F650/1000</f>
        <v>8408.5120000000006</v>
      </c>
      <c r="F879" s="41">
        <f t="shared" si="176"/>
        <v>1.1430978626415853</v>
      </c>
      <c r="G879" s="44">
        <f>'[18]2. BM Database'!P650/1000</f>
        <v>149.857</v>
      </c>
      <c r="H879" s="16">
        <f t="shared" si="178"/>
        <v>156.33600000000001</v>
      </c>
      <c r="I879" s="18">
        <f>'[18]2. BM Database'!L650</f>
        <v>32998</v>
      </c>
      <c r="J879" s="18">
        <f>'[18]2. BM Database'!R650</f>
        <v>737</v>
      </c>
      <c r="K879" s="18">
        <f t="shared" si="177"/>
        <v>120</v>
      </c>
      <c r="L879" s="19">
        <f>'[18]2. BM Database'!T650</f>
        <v>0.16282225237449119</v>
      </c>
      <c r="M879" s="9"/>
      <c r="N879" s="9"/>
    </row>
    <row r="880" spans="1:14">
      <c r="A880" s="15" t="str">
        <f>'[18]2. BM Database'!B651</f>
        <v>PUC DISTRIBUTION INC.</v>
      </c>
      <c r="B880" s="15">
        <v>3027</v>
      </c>
      <c r="C880" s="43">
        <f>'[18]2. BM Database'!C651</f>
        <v>2012</v>
      </c>
      <c r="D880" s="15">
        <v>3</v>
      </c>
      <c r="E880" s="17">
        <f>'[18]2. BM Database'!F651/1000</f>
        <v>9300.3177226000025</v>
      </c>
      <c r="F880" s="41">
        <f t="shared" si="176"/>
        <v>1.160126854517312</v>
      </c>
      <c r="G880" s="44">
        <f>'[18]2. BM Database'!P651/1000</f>
        <v>132.09</v>
      </c>
      <c r="H880" s="16">
        <f t="shared" si="178"/>
        <v>156.33600000000001</v>
      </c>
      <c r="I880" s="18">
        <f>'[18]2. BM Database'!L651</f>
        <v>33058</v>
      </c>
      <c r="J880" s="18">
        <f>'[18]2. BM Database'!R651</f>
        <v>739</v>
      </c>
      <c r="K880" s="18">
        <f t="shared" si="177"/>
        <v>120</v>
      </c>
      <c r="L880" s="19">
        <f>'[18]2. BM Database'!T651</f>
        <v>0.16238159675236807</v>
      </c>
      <c r="M880" s="9"/>
      <c r="N880" s="9"/>
    </row>
    <row r="881" spans="1:14" s="15" customFormat="1">
      <c r="A881" s="15" t="s">
        <v>79</v>
      </c>
      <c r="B881" s="15">
        <v>3027</v>
      </c>
      <c r="C881" s="43">
        <v>2013</v>
      </c>
      <c r="D881" s="15">
        <v>3</v>
      </c>
      <c r="E881" s="17">
        <f>HLOOKUP(A881,'[19]2013 Benchmarking Calculations'!$I$3:$CC$76,6,FALSE)/1000</f>
        <v>11448.896359999999</v>
      </c>
      <c r="F881" s="41">
        <f t="shared" si="176"/>
        <v>1.178602141578931</v>
      </c>
      <c r="G881" s="44">
        <f>HLOOKUP(A881,'[19]2013 Benchmarking Calculations'!$I$3:$CC$76,57,FALSE)/1000</f>
        <v>139.36099999999999</v>
      </c>
      <c r="H881" s="16">
        <f t="shared" si="178"/>
        <v>156.33600000000001</v>
      </c>
      <c r="I881" s="18">
        <f>HLOOKUP(A881,'[19]2013 Benchmarking Calculations'!$I$3:$CC$76,53,FALSE)</f>
        <v>33367</v>
      </c>
      <c r="J881" s="18">
        <f>HLOOKUP(A881,'[19]2013 Benchmarking Calculations'!$I$3:$CC$76,71,FALSE)</f>
        <v>741</v>
      </c>
      <c r="K881" s="18">
        <f t="shared" si="177"/>
        <v>120.99999999999999</v>
      </c>
      <c r="L881" s="19">
        <f>HLOOKUP(A881,'[19]2013 PBR data '!B$42:BV$68,15,FALSE)/HLOOKUP(A881,'[19]2013 PBR data '!B$42:BV$68,13,FALSE)</f>
        <v>0.16329284750337381</v>
      </c>
      <c r="M881" s="9"/>
      <c r="N881" s="9"/>
    </row>
    <row r="882" spans="1:14" s="15" customFormat="1">
      <c r="A882" s="15" t="s">
        <v>79</v>
      </c>
      <c r="B882" s="15">
        <v>3027</v>
      </c>
      <c r="C882" s="43">
        <v>2014</v>
      </c>
      <c r="D882" s="15">
        <v>3</v>
      </c>
      <c r="E882" s="17">
        <f>VLOOKUP(A882,[20]Result!$B$12:$D$84,2,FALSE)/10^3</f>
        <v>10634.034</v>
      </c>
      <c r="F882" s="41">
        <f t="shared" si="176"/>
        <v>1.2030671041042156</v>
      </c>
      <c r="G882" s="44">
        <f>VLOOKUP(A882,'[21]General transpose'!$A$1:$AF$73,26,FALSE)/10^3</f>
        <v>143.172</v>
      </c>
      <c r="H882" s="16">
        <f t="shared" si="178"/>
        <v>156.33600000000001</v>
      </c>
      <c r="I882" s="18">
        <f>VLOOKUP(A882,'[21]General transpose'!$A$1:$AF$73,8,FALSE)</f>
        <v>33487</v>
      </c>
      <c r="J882" s="18">
        <f>VLOOKUP(A882,'[21]General transpose'!$A$1:$AF$73,16,FALSE)</f>
        <v>744</v>
      </c>
      <c r="K882" s="18">
        <f t="shared" si="177"/>
        <v>122</v>
      </c>
      <c r="L882" s="19">
        <f>VLOOKUP(A882,'[21]General transpose'!$A$1:$AF$73,17,FALSE)</f>
        <v>0.16397849462365591</v>
      </c>
      <c r="M882" s="9"/>
      <c r="N882" s="9"/>
    </row>
    <row r="883" spans="1:14" s="15" customFormat="1">
      <c r="A883" s="15" t="s">
        <v>79</v>
      </c>
      <c r="B883" s="15">
        <v>3027</v>
      </c>
      <c r="C883" s="43">
        <v>2015</v>
      </c>
      <c r="D883" s="15">
        <v>3</v>
      </c>
      <c r="E883" s="17">
        <f>VLOOKUP(A882,[20]Result!$B$12:$D$84,3,FALSE)/10^3</f>
        <v>10829.422</v>
      </c>
      <c r="F883" s="41">
        <f t="shared" si="176"/>
        <v>1.2312762402864634</v>
      </c>
      <c r="G883" s="44">
        <f>VLOOKUP(A882,'[22]General transpose'!$A$1:$AF$73,26,FALSE)/10^3</f>
        <v>138.33600000000001</v>
      </c>
      <c r="H883" s="16">
        <f t="shared" si="178"/>
        <v>156.33600000000001</v>
      </c>
      <c r="I883" s="18">
        <f>VLOOKUP(A882,'[22]General transpose'!$A$1:$AF$73,8,FALSE)</f>
        <v>33386</v>
      </c>
      <c r="J883" s="18">
        <f>VLOOKUP(A882,'[22]General transpose'!$A$1:$AF$73,16,FALSE)</f>
        <v>744</v>
      </c>
      <c r="K883" s="18">
        <f t="shared" si="177"/>
        <v>122</v>
      </c>
      <c r="L883" s="19">
        <f>VLOOKUP(A882,'[22]General transpose'!$A$1:$AF$73,17,FALSE)</f>
        <v>0.16397849462365591</v>
      </c>
      <c r="M883" s="9"/>
      <c r="N883" s="9"/>
    </row>
    <row r="884" spans="1:14" s="15" customFormat="1">
      <c r="A884" s="15" t="s">
        <v>79</v>
      </c>
      <c r="B884" s="15">
        <v>3027</v>
      </c>
      <c r="C884" s="43">
        <v>2016</v>
      </c>
      <c r="D884" s="15">
        <v>3</v>
      </c>
      <c r="E884" s="17">
        <f>'[14]2016 Benchmarking Calculations'!$BM$8/1000</f>
        <v>10775.065450000002</v>
      </c>
      <c r="F884" s="41">
        <f t="shared" si="176"/>
        <v>1.2455044937824149</v>
      </c>
      <c r="G884" s="44">
        <f>HLOOKUP(A884,[23]General!$A$1:$BQ$23,22,FALSE)/10^3</f>
        <v>125.30500000000001</v>
      </c>
      <c r="H884" s="16">
        <f t="shared" si="178"/>
        <v>156.33600000000001</v>
      </c>
      <c r="I884" s="18">
        <f>HLOOKUP(A884,[23]General!$A$1:$BQ$23,9,FALSE)</f>
        <v>33487</v>
      </c>
      <c r="J884" s="18">
        <f>HLOOKUP(A884,[23]General!$A$1:$BQ$23,17,FALSE)</f>
        <v>743</v>
      </c>
      <c r="K884" s="18">
        <f t="shared" si="177"/>
        <v>122</v>
      </c>
      <c r="L884" s="19">
        <f>HLOOKUP(A884,[23]General!$A$1:$BQ$23,18,FALSE)</f>
        <v>0.16419919246298789</v>
      </c>
      <c r="M884" s="9"/>
      <c r="N884" s="9"/>
    </row>
    <row r="885" spans="1:14" s="15" customFormat="1">
      <c r="A885" s="15" t="s">
        <v>79</v>
      </c>
      <c r="B885" s="15">
        <v>3027</v>
      </c>
      <c r="C885" s="43">
        <v>2017</v>
      </c>
      <c r="D885" s="15">
        <v>3</v>
      </c>
      <c r="E885" s="17">
        <f>'[14]2017 Benchmarking Calculations'!$BO$9/1000</f>
        <v>10685.84814</v>
      </c>
      <c r="F885" s="41">
        <f t="shared" si="176"/>
        <v>1.2674505553724562</v>
      </c>
      <c r="G885" s="44">
        <f>[15]General!$AY$19/1000</f>
        <v>125.68300000000001</v>
      </c>
      <c r="H885" s="16">
        <f t="shared" si="178"/>
        <v>156.33600000000001</v>
      </c>
      <c r="I885" s="18">
        <f>[15]General!$AY$9</f>
        <v>33579</v>
      </c>
      <c r="J885" s="18">
        <f>[15]General!$AY$17</f>
        <v>740</v>
      </c>
      <c r="K885" s="18">
        <f>J885*L885</f>
        <v>123</v>
      </c>
      <c r="L885" s="19">
        <f>[15]General!$AY$16/[15]General!$AY$17</f>
        <v>0.16621621621621621</v>
      </c>
      <c r="M885" s="9"/>
      <c r="N885" s="9"/>
    </row>
    <row r="886" spans="1:14" s="15" customFormat="1">
      <c r="A886" s="15" t="s">
        <v>79</v>
      </c>
      <c r="B886" s="15">
        <v>3027</v>
      </c>
      <c r="C886" s="43">
        <v>2018</v>
      </c>
      <c r="D886" s="15">
        <v>3</v>
      </c>
      <c r="E886" s="17">
        <f>'[16]2018 Benchmarking Calculations'!$BO$10/1000</f>
        <v>10701.654550000001</v>
      </c>
      <c r="F886" s="41">
        <f t="shared" si="176"/>
        <v>1.2994718602728874</v>
      </c>
      <c r="G886" s="44">
        <f>'[16]2018 Benchmarking Calculations'!$BO$61/1000</f>
        <v>128.53800000000001</v>
      </c>
      <c r="H886" s="16">
        <f t="shared" si="178"/>
        <v>156.33600000000001</v>
      </c>
      <c r="I886" s="18">
        <f>'[16]2018 Benchmarking Calculations'!$BO$57</f>
        <v>33613</v>
      </c>
      <c r="J886" s="18">
        <f>'[16]2018 Utility Characteristics'!$BI$103</f>
        <v>740</v>
      </c>
      <c r="K886" s="18">
        <f>'[16]2018 Utility Characteristics'!$BI$105</f>
        <v>122</v>
      </c>
      <c r="L886" s="19">
        <f>K886/J886</f>
        <v>0.16486486486486487</v>
      </c>
      <c r="M886" s="9"/>
      <c r="N886" s="9"/>
    </row>
    <row r="887" spans="1:14" s="15" customFormat="1">
      <c r="A887" s="15" t="s">
        <v>79</v>
      </c>
      <c r="B887" s="15">
        <v>3027</v>
      </c>
      <c r="C887" s="43">
        <v>2019</v>
      </c>
      <c r="D887" s="15">
        <v>3</v>
      </c>
      <c r="E887" s="17">
        <f>'[17]2019 Benchmarking Calculations'!$BO$10/1000</f>
        <v>10740.394319999998</v>
      </c>
      <c r="F887" s="41">
        <f t="shared" si="176"/>
        <v>1.3352608354138498</v>
      </c>
      <c r="G887" s="44">
        <f>'[17]2019 Benchmarking Calculations'!$BO$61/1000</f>
        <v>132.81800000000001</v>
      </c>
      <c r="H887" s="16">
        <f t="shared" si="178"/>
        <v>156.33600000000001</v>
      </c>
      <c r="I887" s="18">
        <f>'[17]2019 Benchmarking Calculations'!$BO$57</f>
        <v>33647</v>
      </c>
      <c r="J887" s="18">
        <f>'[17]2019 Utility Characteristics'!$BI$13</f>
        <v>738</v>
      </c>
      <c r="K887" s="18">
        <f>'[17]2019 Utility Characteristics'!$BI$18</f>
        <v>122</v>
      </c>
      <c r="L887" s="19">
        <f>K887/J887</f>
        <v>0.16531165311653118</v>
      </c>
      <c r="M887" s="9"/>
      <c r="N887" s="9"/>
    </row>
    <row r="888" spans="1:14">
      <c r="A888" s="15" t="str">
        <f>'[18]2. BM Database'!B655</f>
        <v>RENFREW HYDRO INC.</v>
      </c>
      <c r="B888" s="15">
        <v>3062</v>
      </c>
      <c r="C888" s="43">
        <f>'[18]2. BM Database'!C655</f>
        <v>2005</v>
      </c>
      <c r="D888" s="15">
        <v>3</v>
      </c>
      <c r="E888" s="17">
        <f>'[18]2. BM Database'!F655/1000</f>
        <v>697.69537000000003</v>
      </c>
      <c r="F888" s="41">
        <f t="shared" ref="F888:F902" si="179">F873</f>
        <v>1</v>
      </c>
      <c r="G888" s="44">
        <f>'[18]2. BM Database'!P655/1000</f>
        <v>19.030999999999999</v>
      </c>
      <c r="H888" s="16">
        <f>G888</f>
        <v>19.030999999999999</v>
      </c>
      <c r="I888" s="18">
        <f>'[18]2. BM Database'!L655</f>
        <v>4116</v>
      </c>
      <c r="J888" s="18">
        <f>'[18]2. BM Database'!R655</f>
        <v>70</v>
      </c>
      <c r="K888" s="18">
        <f t="shared" ref="K888:K899" si="180">J888*L888</f>
        <v>2</v>
      </c>
      <c r="L888" s="19">
        <f>'[18]2. BM Database'!T655</f>
        <v>2.8571428571428571E-2</v>
      </c>
      <c r="M888" s="9"/>
      <c r="N888" s="9"/>
    </row>
    <row r="889" spans="1:14">
      <c r="A889" s="15" t="str">
        <f>'[18]2. BM Database'!B656</f>
        <v>RENFREW HYDRO INC.</v>
      </c>
      <c r="B889" s="15">
        <v>3062</v>
      </c>
      <c r="C889" s="43">
        <f>'[18]2. BM Database'!C656</f>
        <v>2006</v>
      </c>
      <c r="D889" s="15">
        <v>3</v>
      </c>
      <c r="E889" s="17">
        <f>'[18]2. BM Database'!F656/1000</f>
        <v>872.13311999999985</v>
      </c>
      <c r="F889" s="41">
        <f t="shared" si="179"/>
        <v>1.0181607380073696</v>
      </c>
      <c r="G889" s="44">
        <f>'[18]2. BM Database'!P656/1000</f>
        <v>19.050999999999998</v>
      </c>
      <c r="H889" s="16">
        <f>MAX(G889,H888)</f>
        <v>19.050999999999998</v>
      </c>
      <c r="I889" s="18">
        <f>'[18]2. BM Database'!L656</f>
        <v>4133</v>
      </c>
      <c r="J889" s="18">
        <f>'[18]2. BM Database'!R656</f>
        <v>55</v>
      </c>
      <c r="K889" s="18">
        <f t="shared" si="180"/>
        <v>2</v>
      </c>
      <c r="L889" s="19">
        <f>'[18]2. BM Database'!T656</f>
        <v>3.6363636363636362E-2</v>
      </c>
      <c r="M889" s="9"/>
      <c r="N889" s="9"/>
    </row>
    <row r="890" spans="1:14">
      <c r="A890" s="15" t="str">
        <f>'[18]2. BM Database'!B657</f>
        <v>RENFREW HYDRO INC.</v>
      </c>
      <c r="B890" s="15">
        <v>3062</v>
      </c>
      <c r="C890" s="43">
        <f>'[18]2. BM Database'!C657</f>
        <v>2007</v>
      </c>
      <c r="D890" s="15">
        <v>3</v>
      </c>
      <c r="E890" s="17">
        <f>'[18]2. BM Database'!F657/1000</f>
        <v>940.51067999999998</v>
      </c>
      <c r="F890" s="41">
        <f t="shared" si="179"/>
        <v>1.0531931014872313</v>
      </c>
      <c r="G890" s="44">
        <f>'[18]2. BM Database'!P657/1000</f>
        <v>19.154</v>
      </c>
      <c r="H890" s="16">
        <f t="shared" ref="H890:H902" si="181">MAX(G890,H889)</f>
        <v>19.154</v>
      </c>
      <c r="I890" s="18">
        <f>'[18]2. BM Database'!L657</f>
        <v>4149</v>
      </c>
      <c r="J890" s="18">
        <f>'[18]2. BM Database'!R657</f>
        <v>55</v>
      </c>
      <c r="K890" s="18">
        <f t="shared" si="180"/>
        <v>2</v>
      </c>
      <c r="L890" s="19">
        <f>'[18]2. BM Database'!T657</f>
        <v>3.6363636363636362E-2</v>
      </c>
      <c r="M890" s="9"/>
      <c r="N890" s="9"/>
    </row>
    <row r="891" spans="1:14">
      <c r="A891" s="15" t="str">
        <f>'[18]2. BM Database'!B658</f>
        <v>RENFREW HYDRO INC.</v>
      </c>
      <c r="B891" s="15">
        <v>3062</v>
      </c>
      <c r="C891" s="43">
        <f>'[18]2. BM Database'!C658</f>
        <v>2008</v>
      </c>
      <c r="D891" s="15">
        <v>3</v>
      </c>
      <c r="E891" s="17">
        <f>'[18]2. BM Database'!F658/1000</f>
        <v>1027.9392700000001</v>
      </c>
      <c r="F891" s="41">
        <f t="shared" si="179"/>
        <v>1.078564603993923</v>
      </c>
      <c r="G891" s="44">
        <f>'[18]2. BM Database'!P658/1000</f>
        <v>19.183</v>
      </c>
      <c r="H891" s="16">
        <f t="shared" si="181"/>
        <v>19.183</v>
      </c>
      <c r="I891" s="18">
        <f>'[18]2. BM Database'!L658</f>
        <v>4194</v>
      </c>
      <c r="J891" s="18">
        <f>'[18]2. BM Database'!R658</f>
        <v>55</v>
      </c>
      <c r="K891" s="18">
        <f t="shared" si="180"/>
        <v>2</v>
      </c>
      <c r="L891" s="19">
        <f>'[18]2. BM Database'!T658</f>
        <v>3.6363636363636362E-2</v>
      </c>
      <c r="M891" s="9"/>
      <c r="N891" s="9"/>
    </row>
    <row r="892" spans="1:14">
      <c r="A892" s="15" t="str">
        <f>'[18]2. BM Database'!B659</f>
        <v>RENFREW HYDRO INC.</v>
      </c>
      <c r="B892" s="15">
        <v>3062</v>
      </c>
      <c r="C892" s="43">
        <f>'[18]2. BM Database'!C659</f>
        <v>2009</v>
      </c>
      <c r="D892" s="15">
        <v>3</v>
      </c>
      <c r="E892" s="17">
        <f>'[18]2. BM Database'!F659/1000</f>
        <v>1018.9694800000001</v>
      </c>
      <c r="F892" s="41">
        <f t="shared" si="179"/>
        <v>1.0915070880241431</v>
      </c>
      <c r="G892" s="44">
        <f>'[18]2. BM Database'!P659/1000</f>
        <v>19.806999999999999</v>
      </c>
      <c r="H892" s="16">
        <f t="shared" si="181"/>
        <v>19.806999999999999</v>
      </c>
      <c r="I892" s="18">
        <f>'[18]2. BM Database'!L659</f>
        <v>4180</v>
      </c>
      <c r="J892" s="18">
        <f>'[18]2. BM Database'!R659</f>
        <v>55</v>
      </c>
      <c r="K892" s="18">
        <f t="shared" si="180"/>
        <v>2</v>
      </c>
      <c r="L892" s="19">
        <f>'[18]2. BM Database'!T659</f>
        <v>3.6363636363636362E-2</v>
      </c>
      <c r="M892" s="9"/>
      <c r="N892" s="9"/>
    </row>
    <row r="893" spans="1:14">
      <c r="A893" s="15" t="str">
        <f>'[18]2. BM Database'!B660</f>
        <v>RENFREW HYDRO INC.</v>
      </c>
      <c r="B893" s="15">
        <v>3062</v>
      </c>
      <c r="C893" s="43">
        <f>'[18]2. BM Database'!C660</f>
        <v>2010</v>
      </c>
      <c r="D893" s="15">
        <v>3</v>
      </c>
      <c r="E893" s="17">
        <f>'[18]2. BM Database'!F660/1000</f>
        <v>971.48731999999984</v>
      </c>
      <c r="F893" s="41">
        <f t="shared" si="179"/>
        <v>1.1243125351578573</v>
      </c>
      <c r="G893" s="44">
        <f>'[18]2. BM Database'!P660/1000</f>
        <v>18.704999999999998</v>
      </c>
      <c r="H893" s="16">
        <f t="shared" si="181"/>
        <v>19.806999999999999</v>
      </c>
      <c r="I893" s="18">
        <f>'[18]2. BM Database'!L660</f>
        <v>4155</v>
      </c>
      <c r="J893" s="18">
        <f>'[18]2. BM Database'!R660</f>
        <v>55</v>
      </c>
      <c r="K893" s="18">
        <f t="shared" si="180"/>
        <v>2</v>
      </c>
      <c r="L893" s="19">
        <f>'[18]2. BM Database'!T660</f>
        <v>3.6363636363636362E-2</v>
      </c>
      <c r="M893" s="9"/>
      <c r="N893" s="9"/>
    </row>
    <row r="894" spans="1:14">
      <c r="A894" s="15" t="str">
        <f>'[18]2. BM Database'!B661</f>
        <v>RENFREW HYDRO INC.</v>
      </c>
      <c r="B894" s="15">
        <v>3062</v>
      </c>
      <c r="C894" s="43">
        <f>'[18]2. BM Database'!C661</f>
        <v>2011</v>
      </c>
      <c r="D894" s="15">
        <v>3</v>
      </c>
      <c r="E894" s="17">
        <f>'[18]2. BM Database'!F661/1000</f>
        <v>1098.7690700000001</v>
      </c>
      <c r="F894" s="41">
        <f t="shared" si="179"/>
        <v>1.1430978626415853</v>
      </c>
      <c r="G894" s="44">
        <f>'[18]2. BM Database'!P661/1000</f>
        <v>18.295000000000002</v>
      </c>
      <c r="H894" s="16">
        <f t="shared" si="181"/>
        <v>19.806999999999999</v>
      </c>
      <c r="I894" s="18">
        <f>'[18]2. BM Database'!L661</f>
        <v>4183</v>
      </c>
      <c r="J894" s="18">
        <f>'[18]2. BM Database'!R661</f>
        <v>55</v>
      </c>
      <c r="K894" s="18">
        <f t="shared" si="180"/>
        <v>2</v>
      </c>
      <c r="L894" s="19">
        <f>'[18]2. BM Database'!T661</f>
        <v>3.6363636363636362E-2</v>
      </c>
      <c r="M894" s="9"/>
      <c r="N894" s="9"/>
    </row>
    <row r="895" spans="1:14">
      <c r="A895" s="15" t="str">
        <f>'[18]2. BM Database'!B662</f>
        <v>RENFREW HYDRO INC.</v>
      </c>
      <c r="B895" s="15">
        <v>3062</v>
      </c>
      <c r="C895" s="43">
        <f>'[18]2. BM Database'!C662</f>
        <v>2012</v>
      </c>
      <c r="D895" s="15">
        <v>3</v>
      </c>
      <c r="E895" s="17">
        <f>'[18]2. BM Database'!F662/1000</f>
        <v>1193.5481199999999</v>
      </c>
      <c r="F895" s="41">
        <f t="shared" si="179"/>
        <v>1.160126854517312</v>
      </c>
      <c r="G895" s="44">
        <f>'[18]2. BM Database'!P662/1000</f>
        <v>16.739000000000001</v>
      </c>
      <c r="H895" s="16">
        <f t="shared" si="181"/>
        <v>19.806999999999999</v>
      </c>
      <c r="I895" s="18">
        <f>'[18]2. BM Database'!L662</f>
        <v>4215</v>
      </c>
      <c r="J895" s="18">
        <f>'[18]2. BM Database'!R662</f>
        <v>55</v>
      </c>
      <c r="K895" s="18">
        <f t="shared" si="180"/>
        <v>2</v>
      </c>
      <c r="L895" s="19">
        <f>'[18]2. BM Database'!T662</f>
        <v>3.6363636363636362E-2</v>
      </c>
      <c r="M895" s="9"/>
      <c r="N895" s="9"/>
    </row>
    <row r="896" spans="1:14" s="15" customFormat="1">
      <c r="A896" s="15" t="s">
        <v>80</v>
      </c>
      <c r="B896" s="15">
        <v>3062</v>
      </c>
      <c r="C896" s="43">
        <v>2013</v>
      </c>
      <c r="D896" s="15">
        <v>3</v>
      </c>
      <c r="E896" s="17">
        <f>HLOOKUP(A896,'[19]2013 Benchmarking Calculations'!$I$3:$CC$76,6,FALSE)/1000</f>
        <v>1238.8887299999999</v>
      </c>
      <c r="F896" s="41">
        <f t="shared" si="179"/>
        <v>1.178602141578931</v>
      </c>
      <c r="G896" s="44">
        <f>HLOOKUP(A896,'[19]2013 Benchmarking Calculations'!$I$3:$CC$76,57,FALSE)/1000</f>
        <v>17.149999999999999</v>
      </c>
      <c r="H896" s="16">
        <f t="shared" si="181"/>
        <v>19.806999999999999</v>
      </c>
      <c r="I896" s="18">
        <f>HLOOKUP(A896,'[19]2013 Benchmarking Calculations'!$I$3:$CC$76,53,FALSE)</f>
        <v>4225</v>
      </c>
      <c r="J896" s="18">
        <f>HLOOKUP(A896,'[19]2013 Benchmarking Calculations'!$I$3:$CC$76,71,FALSE)</f>
        <v>60</v>
      </c>
      <c r="K896" s="18">
        <f t="shared" si="180"/>
        <v>4</v>
      </c>
      <c r="L896" s="19">
        <f>HLOOKUP(A896,'[19]2013 PBR data '!B$42:BV$68,15,FALSE)/HLOOKUP(A896,'[19]2013 PBR data '!B$42:BV$68,13,FALSE)</f>
        <v>6.6666666666666666E-2</v>
      </c>
      <c r="M896" s="9"/>
      <c r="N896" s="9"/>
    </row>
    <row r="897" spans="1:14" s="15" customFormat="1">
      <c r="A897" s="15" t="s">
        <v>80</v>
      </c>
      <c r="B897" s="15">
        <v>3062</v>
      </c>
      <c r="C897" s="43">
        <v>2014</v>
      </c>
      <c r="D897" s="15">
        <v>3</v>
      </c>
      <c r="E897" s="17">
        <f>VLOOKUP(A897,[20]Result!$B$12:$D$84,2,FALSE)/10^3</f>
        <v>1218.576</v>
      </c>
      <c r="F897" s="41">
        <f t="shared" si="179"/>
        <v>1.2030671041042156</v>
      </c>
      <c r="G897" s="44">
        <f>VLOOKUP(A897,'[21]General transpose'!$A$1:$AF$73,26,FALSE)/10^3</f>
        <v>16.114000000000001</v>
      </c>
      <c r="H897" s="16">
        <f t="shared" si="181"/>
        <v>19.806999999999999</v>
      </c>
      <c r="I897" s="18">
        <f>VLOOKUP(A897,'[21]General transpose'!$A$1:$AF$73,8,FALSE)</f>
        <v>4246</v>
      </c>
      <c r="J897" s="18">
        <f>VLOOKUP(A897,'[21]General transpose'!$A$1:$AF$73,16,FALSE)</f>
        <v>79</v>
      </c>
      <c r="K897" s="18">
        <f t="shared" si="180"/>
        <v>7</v>
      </c>
      <c r="L897" s="19">
        <f>VLOOKUP(A897,'[21]General transpose'!$A$1:$AF$73,17,FALSE)</f>
        <v>8.8607594936708861E-2</v>
      </c>
      <c r="M897" s="9"/>
      <c r="N897" s="9"/>
    </row>
    <row r="898" spans="1:14" s="15" customFormat="1">
      <c r="A898" s="15" t="s">
        <v>80</v>
      </c>
      <c r="B898" s="15">
        <v>3062</v>
      </c>
      <c r="C898" s="43">
        <v>2015</v>
      </c>
      <c r="D898" s="15">
        <v>3</v>
      </c>
      <c r="E898" s="17">
        <f>VLOOKUP(A897,[20]Result!$B$12:$D$84,3,FALSE)/10^3</f>
        <v>1313.914</v>
      </c>
      <c r="F898" s="41">
        <f t="shared" si="179"/>
        <v>1.2312762402864634</v>
      </c>
      <c r="G898" s="44">
        <f>VLOOKUP(A897,'[22]General transpose'!$A$1:$AF$73,26,FALSE)/10^3</f>
        <v>16.079999999999998</v>
      </c>
      <c r="H898" s="16">
        <f t="shared" si="181"/>
        <v>19.806999999999999</v>
      </c>
      <c r="I898" s="18">
        <f>VLOOKUP(A897,'[22]General transpose'!$A$1:$AF$73,8,FALSE)</f>
        <v>4270</v>
      </c>
      <c r="J898" s="18">
        <f>VLOOKUP(A897,'[22]General transpose'!$A$1:$AF$73,16,FALSE)</f>
        <v>79</v>
      </c>
      <c r="K898" s="18">
        <f t="shared" si="180"/>
        <v>7</v>
      </c>
      <c r="L898" s="19">
        <f>VLOOKUP(A897,'[22]General transpose'!$A$1:$AF$73,17,FALSE)</f>
        <v>8.8607594936708861E-2</v>
      </c>
      <c r="M898" s="9"/>
      <c r="N898" s="9"/>
    </row>
    <row r="899" spans="1:14" s="15" customFormat="1">
      <c r="A899" s="15" t="s">
        <v>80</v>
      </c>
      <c r="B899" s="15">
        <v>3062</v>
      </c>
      <c r="C899" s="43">
        <v>2016</v>
      </c>
      <c r="D899" s="15">
        <v>3</v>
      </c>
      <c r="E899" s="17">
        <f>'[14]2016 Benchmarking Calculations'!$BN$8/1000</f>
        <v>1393.6005600000001</v>
      </c>
      <c r="F899" s="41">
        <f t="shared" si="179"/>
        <v>1.2455044937824149</v>
      </c>
      <c r="G899" s="44">
        <f>HLOOKUP(A899,[23]General!$A$1:$BQ$23,22,FALSE)/10^3</f>
        <v>15.052</v>
      </c>
      <c r="H899" s="16">
        <f t="shared" si="181"/>
        <v>19.806999999999999</v>
      </c>
      <c r="I899" s="18">
        <f>HLOOKUP(A899,[23]General!$A$1:$BQ$23,9,FALSE)</f>
        <v>4275</v>
      </c>
      <c r="J899" s="18">
        <f>HLOOKUP(A899,[23]General!$A$1:$BQ$23,17,FALSE)</f>
        <v>80</v>
      </c>
      <c r="K899" s="18">
        <f t="shared" si="180"/>
        <v>8</v>
      </c>
      <c r="L899" s="19">
        <f>HLOOKUP(A899,[23]General!$A$1:$BQ$23,18,FALSE)</f>
        <v>0.1</v>
      </c>
      <c r="M899" s="9"/>
      <c r="N899" s="9"/>
    </row>
    <row r="900" spans="1:14" s="15" customFormat="1">
      <c r="A900" s="15" t="s">
        <v>80</v>
      </c>
      <c r="B900" s="15">
        <v>3062</v>
      </c>
      <c r="C900" s="43">
        <v>2017</v>
      </c>
      <c r="D900" s="15">
        <v>3</v>
      </c>
      <c r="E900" s="17">
        <f>'[14]2017 Benchmarking Calculations'!$BP$9/1000</f>
        <v>1406.7415099999998</v>
      </c>
      <c r="F900" s="41">
        <f t="shared" si="179"/>
        <v>1.2674505553724562</v>
      </c>
      <c r="G900" s="44">
        <f>'[14]2017 Benchmarking Calculations'!$BP$60/1000</f>
        <v>13.888</v>
      </c>
      <c r="H900" s="16">
        <f t="shared" si="181"/>
        <v>19.806999999999999</v>
      </c>
      <c r="I900" s="18">
        <f>'[14]2017 Benchmarking Calculations'!$BP$56</f>
        <v>4300</v>
      </c>
      <c r="J900" s="18">
        <f>'[14]2017 Utility Characteristics'!$BG$79</f>
        <v>80</v>
      </c>
      <c r="K900" s="15">
        <f>'[14]2017 Utility Characteristics'!$BG$81</f>
        <v>8</v>
      </c>
      <c r="L900" s="19">
        <f>K900/J900</f>
        <v>0.1</v>
      </c>
      <c r="M900" s="9"/>
      <c r="N900" s="9"/>
    </row>
    <row r="901" spans="1:14" s="15" customFormat="1">
      <c r="A901" s="15" t="s">
        <v>80</v>
      </c>
      <c r="B901" s="15">
        <v>3062</v>
      </c>
      <c r="C901" s="43">
        <v>2018</v>
      </c>
      <c r="D901" s="15">
        <v>3</v>
      </c>
      <c r="E901" s="17">
        <f>'[16]2018 Benchmarking Calculations'!$BP$10/1000</f>
        <v>1440.44643</v>
      </c>
      <c r="F901" s="41">
        <f t="shared" si="179"/>
        <v>1.2994718602728874</v>
      </c>
      <c r="G901" s="44">
        <f>'[16]2018 Benchmarking Calculations'!$BP$61/1000</f>
        <v>15.625999999999999</v>
      </c>
      <c r="H901" s="16">
        <f t="shared" si="181"/>
        <v>19.806999999999999</v>
      </c>
      <c r="I901" s="18">
        <f>'[16]2018 Benchmarking Calculations'!$BP$57</f>
        <v>4312</v>
      </c>
      <c r="J901" s="18">
        <f>'[16]2018 Utility Characteristics'!$BJ$103</f>
        <v>81</v>
      </c>
      <c r="K901" s="18">
        <f>'[16]2018 Utility Characteristics'!$BJ$105</f>
        <v>8</v>
      </c>
      <c r="L901" s="19">
        <f>K901/J901</f>
        <v>9.8765432098765427E-2</v>
      </c>
      <c r="M901" s="9"/>
      <c r="N901" s="9"/>
    </row>
    <row r="902" spans="1:14" s="15" customFormat="1">
      <c r="A902" s="15" t="s">
        <v>80</v>
      </c>
      <c r="B902" s="15">
        <v>3062</v>
      </c>
      <c r="C902" s="43">
        <v>2019</v>
      </c>
      <c r="D902" s="15">
        <v>3</v>
      </c>
      <c r="E902" s="17">
        <f>'[17]2019 Benchmarking Calculations'!$BP$10/1000</f>
        <v>1355.8651100000002</v>
      </c>
      <c r="F902" s="41">
        <f t="shared" si="179"/>
        <v>1.3352608354138498</v>
      </c>
      <c r="G902" s="44">
        <f>'[17]2019 Benchmarking Calculations'!$BP$61/1000</f>
        <v>14.544</v>
      </c>
      <c r="H902" s="16">
        <f t="shared" si="181"/>
        <v>19.806999999999999</v>
      </c>
      <c r="I902" s="18">
        <f>'[17]2019 Benchmarking Calculations'!$BP$57</f>
        <v>4325</v>
      </c>
      <c r="J902" s="18">
        <f>'[17]2019 Utility Characteristics'!$BJ$13</f>
        <v>81</v>
      </c>
      <c r="K902" s="18">
        <f>'[17]2019 Utility Characteristics'!$BJ$18</f>
        <v>8</v>
      </c>
      <c r="L902" s="19">
        <f>K902/J902</f>
        <v>9.8765432098765427E-2</v>
      </c>
      <c r="M902" s="9"/>
      <c r="N902" s="9"/>
    </row>
    <row r="903" spans="1:14">
      <c r="A903" s="15" t="str">
        <f>'[18]2. BM Database'!B666</f>
        <v>RIDEAU ST. LAWRENCE DISTRIBUTION INC.</v>
      </c>
      <c r="B903" s="15">
        <v>3059</v>
      </c>
      <c r="C903" s="43">
        <f>'[18]2. BM Database'!C666</f>
        <v>2005</v>
      </c>
      <c r="D903" s="15">
        <v>3</v>
      </c>
      <c r="E903" s="17">
        <f>'[18]2. BM Database'!F666/1000</f>
        <v>1177.0515</v>
      </c>
      <c r="F903" s="41">
        <f t="shared" ref="F903:F917" si="182">F888</f>
        <v>1</v>
      </c>
      <c r="G903" s="44">
        <f>'[18]2. BM Database'!P666/1000</f>
        <v>25.475000000000001</v>
      </c>
      <c r="H903" s="16">
        <f>G903</f>
        <v>25.475000000000001</v>
      </c>
      <c r="I903" s="18">
        <f>'[18]2. BM Database'!L666</f>
        <v>5823</v>
      </c>
      <c r="J903" s="18">
        <f>'[18]2. BM Database'!R666</f>
        <v>86</v>
      </c>
      <c r="K903" s="18">
        <f t="shared" ref="K903:K914" si="183">J903*L903</f>
        <v>9</v>
      </c>
      <c r="L903" s="19">
        <f>'[18]2. BM Database'!T666</f>
        <v>0.10465116279069768</v>
      </c>
      <c r="M903" s="9"/>
      <c r="N903" s="9"/>
    </row>
    <row r="904" spans="1:14">
      <c r="A904" s="15" t="str">
        <f>'[18]2. BM Database'!B667</f>
        <v>RIDEAU ST. LAWRENCE DISTRIBUTION INC.</v>
      </c>
      <c r="B904" s="15">
        <v>3059</v>
      </c>
      <c r="C904" s="43">
        <f>'[18]2. BM Database'!C667</f>
        <v>2006</v>
      </c>
      <c r="D904" s="15">
        <v>3</v>
      </c>
      <c r="E904" s="17">
        <f>'[18]2. BM Database'!F667/1000</f>
        <v>1346.42057</v>
      </c>
      <c r="F904" s="41">
        <f t="shared" si="182"/>
        <v>1.0181607380073696</v>
      </c>
      <c r="G904" s="44">
        <f>'[18]2. BM Database'!P667/1000</f>
        <v>29.587</v>
      </c>
      <c r="H904" s="16">
        <f>MAX(G904,H903)</f>
        <v>29.587</v>
      </c>
      <c r="I904" s="18">
        <f>'[18]2. BM Database'!L667</f>
        <v>5839</v>
      </c>
      <c r="J904" s="18">
        <f>'[18]2. BM Database'!R667</f>
        <v>87</v>
      </c>
      <c r="K904" s="18">
        <f t="shared" si="183"/>
        <v>9</v>
      </c>
      <c r="L904" s="19">
        <f>'[18]2. BM Database'!T667</f>
        <v>0.10344827586206896</v>
      </c>
      <c r="M904" s="9"/>
      <c r="N904" s="9"/>
    </row>
    <row r="905" spans="1:14">
      <c r="A905" s="15" t="str">
        <f>'[18]2. BM Database'!B668</f>
        <v>RIDEAU ST. LAWRENCE DISTRIBUTION INC.</v>
      </c>
      <c r="B905" s="15">
        <v>3059</v>
      </c>
      <c r="C905" s="43">
        <f>'[18]2. BM Database'!C668</f>
        <v>2007</v>
      </c>
      <c r="D905" s="15">
        <v>3</v>
      </c>
      <c r="E905" s="17">
        <f>'[18]2. BM Database'!F668/1000</f>
        <v>1411.2559999999999</v>
      </c>
      <c r="F905" s="41">
        <f t="shared" si="182"/>
        <v>1.0531931014872313</v>
      </c>
      <c r="G905" s="44">
        <f>'[18]2. BM Database'!P668/1000</f>
        <v>32.731000000000002</v>
      </c>
      <c r="H905" s="16">
        <f t="shared" ref="H905:H917" si="184">MAX(G905,H904)</f>
        <v>32.731000000000002</v>
      </c>
      <c r="I905" s="18">
        <f>'[18]2. BM Database'!L668</f>
        <v>5864</v>
      </c>
      <c r="J905" s="18">
        <f>'[18]2. BM Database'!R668</f>
        <v>87</v>
      </c>
      <c r="K905" s="18">
        <f t="shared" si="183"/>
        <v>9</v>
      </c>
      <c r="L905" s="19">
        <f>'[18]2. BM Database'!T668</f>
        <v>0.10344827586206896</v>
      </c>
      <c r="M905" s="9"/>
      <c r="N905" s="9"/>
    </row>
    <row r="906" spans="1:14">
      <c r="A906" s="15" t="str">
        <f>'[18]2. BM Database'!B669</f>
        <v>RIDEAU ST. LAWRENCE DISTRIBUTION INC.</v>
      </c>
      <c r="B906" s="15">
        <v>3059</v>
      </c>
      <c r="C906" s="43">
        <f>'[18]2. BM Database'!C669</f>
        <v>2008</v>
      </c>
      <c r="D906" s="15">
        <v>3</v>
      </c>
      <c r="E906" s="17">
        <f>'[18]2. BM Database'!F669/1000</f>
        <v>1512.4326199999998</v>
      </c>
      <c r="F906" s="41">
        <f t="shared" si="182"/>
        <v>1.078564603993923</v>
      </c>
      <c r="G906" s="44">
        <f>'[18]2. BM Database'!P669/1000</f>
        <v>39.622</v>
      </c>
      <c r="H906" s="16">
        <f t="shared" si="184"/>
        <v>39.622</v>
      </c>
      <c r="I906" s="18">
        <f>'[18]2. BM Database'!L669</f>
        <v>5859</v>
      </c>
      <c r="J906" s="18">
        <f>'[18]2. BM Database'!R669</f>
        <v>88</v>
      </c>
      <c r="K906" s="18">
        <f t="shared" si="183"/>
        <v>9</v>
      </c>
      <c r="L906" s="19">
        <f>'[18]2. BM Database'!T669</f>
        <v>0.10227272727272728</v>
      </c>
      <c r="M906" s="9"/>
      <c r="N906" s="9"/>
    </row>
    <row r="907" spans="1:14">
      <c r="A907" s="15" t="str">
        <f>'[18]2. BM Database'!B670</f>
        <v>RIDEAU ST. LAWRENCE DISTRIBUTION INC.</v>
      </c>
      <c r="B907" s="15">
        <v>3059</v>
      </c>
      <c r="C907" s="43">
        <f>'[18]2. BM Database'!C670</f>
        <v>2009</v>
      </c>
      <c r="D907" s="15">
        <v>3</v>
      </c>
      <c r="E907" s="17">
        <f>'[18]2. BM Database'!F670/1000</f>
        <v>1577.1707900000001</v>
      </c>
      <c r="F907" s="41">
        <f t="shared" si="182"/>
        <v>1.0915070880241431</v>
      </c>
      <c r="G907" s="44">
        <f>'[18]2. BM Database'!P670/1000</f>
        <v>26.268000000000001</v>
      </c>
      <c r="H907" s="16">
        <f t="shared" si="184"/>
        <v>39.622</v>
      </c>
      <c r="I907" s="18">
        <f>'[18]2. BM Database'!L670</f>
        <v>5814</v>
      </c>
      <c r="J907" s="18">
        <f>'[18]2. BM Database'!R670</f>
        <v>89</v>
      </c>
      <c r="K907" s="18">
        <f t="shared" si="183"/>
        <v>9</v>
      </c>
      <c r="L907" s="19">
        <f>'[18]2. BM Database'!T670</f>
        <v>0.10112359550561797</v>
      </c>
      <c r="M907" s="9"/>
      <c r="N907" s="9"/>
    </row>
    <row r="908" spans="1:14">
      <c r="A908" s="15" t="str">
        <f>'[18]2. BM Database'!B671</f>
        <v>RIDEAU ST. LAWRENCE DISTRIBUTION INC.</v>
      </c>
      <c r="B908" s="15">
        <v>3059</v>
      </c>
      <c r="C908" s="43">
        <f>'[18]2. BM Database'!C671</f>
        <v>2010</v>
      </c>
      <c r="D908" s="15">
        <v>3</v>
      </c>
      <c r="E908" s="17">
        <f>'[18]2. BM Database'!F671/1000</f>
        <v>1632.8675100000003</v>
      </c>
      <c r="F908" s="41">
        <f t="shared" si="182"/>
        <v>1.1243125351578573</v>
      </c>
      <c r="G908" s="44">
        <f>'[18]2. BM Database'!P671/1000</f>
        <v>32.186999999999998</v>
      </c>
      <c r="H908" s="16">
        <f t="shared" si="184"/>
        <v>39.622</v>
      </c>
      <c r="I908" s="18">
        <f>'[18]2. BM Database'!L671</f>
        <v>5818</v>
      </c>
      <c r="J908" s="18">
        <f>'[18]2. BM Database'!R671</f>
        <v>94</v>
      </c>
      <c r="K908" s="18">
        <f t="shared" si="183"/>
        <v>10</v>
      </c>
      <c r="L908" s="19">
        <f>'[18]2. BM Database'!T671</f>
        <v>0.10638297872340426</v>
      </c>
      <c r="M908" s="9"/>
      <c r="N908" s="9"/>
    </row>
    <row r="909" spans="1:14">
      <c r="A909" s="15" t="str">
        <f>'[18]2. BM Database'!B672</f>
        <v>RIDEAU ST. LAWRENCE DISTRIBUTION INC.</v>
      </c>
      <c r="B909" s="15">
        <v>3059</v>
      </c>
      <c r="C909" s="43">
        <f>'[18]2. BM Database'!C672</f>
        <v>2011</v>
      </c>
      <c r="D909" s="15">
        <v>3</v>
      </c>
      <c r="E909" s="17">
        <f>'[18]2. BM Database'!F672/1000</f>
        <v>1585.72155</v>
      </c>
      <c r="F909" s="41">
        <f t="shared" si="182"/>
        <v>1.1430978626415853</v>
      </c>
      <c r="G909" s="44">
        <f>'[18]2. BM Database'!P672/1000</f>
        <v>32.356000000000002</v>
      </c>
      <c r="H909" s="16">
        <f t="shared" si="184"/>
        <v>39.622</v>
      </c>
      <c r="I909" s="18">
        <f>'[18]2. BM Database'!L672</f>
        <v>5839</v>
      </c>
      <c r="J909" s="18">
        <f>'[18]2. BM Database'!R672</f>
        <v>94</v>
      </c>
      <c r="K909" s="18">
        <f t="shared" si="183"/>
        <v>10</v>
      </c>
      <c r="L909" s="19">
        <f>'[18]2. BM Database'!T672</f>
        <v>0.10638297872340426</v>
      </c>
      <c r="M909" s="9"/>
      <c r="N909" s="9"/>
    </row>
    <row r="910" spans="1:14">
      <c r="A910" s="15" t="str">
        <f>'[18]2. BM Database'!B673</f>
        <v>RIDEAU ST. LAWRENCE DISTRIBUTION INC.</v>
      </c>
      <c r="B910" s="15">
        <v>3059</v>
      </c>
      <c r="C910" s="43">
        <f>'[18]2. BM Database'!C673</f>
        <v>2012</v>
      </c>
      <c r="D910" s="15">
        <v>3</v>
      </c>
      <c r="E910" s="17">
        <f>'[18]2. BM Database'!F673/1000</f>
        <v>1743.3585176000001</v>
      </c>
      <c r="F910" s="41">
        <f t="shared" si="182"/>
        <v>1.160126854517312</v>
      </c>
      <c r="G910" s="44">
        <f>'[18]2. BM Database'!P673/1000</f>
        <v>33.213999999999999</v>
      </c>
      <c r="H910" s="16">
        <f t="shared" si="184"/>
        <v>39.622</v>
      </c>
      <c r="I910" s="18">
        <f>'[18]2. BM Database'!L673</f>
        <v>5862</v>
      </c>
      <c r="J910" s="18">
        <f>'[18]2. BM Database'!R673</f>
        <v>103</v>
      </c>
      <c r="K910" s="18">
        <f t="shared" si="183"/>
        <v>11</v>
      </c>
      <c r="L910" s="19">
        <f>'[18]2. BM Database'!T673</f>
        <v>0.10679611650485436</v>
      </c>
      <c r="M910" s="9"/>
      <c r="N910" s="9"/>
    </row>
    <row r="911" spans="1:14" s="15" customFormat="1">
      <c r="A911" s="15" t="s">
        <v>81</v>
      </c>
      <c r="B911" s="15">
        <v>3059</v>
      </c>
      <c r="C911" s="43">
        <v>2013</v>
      </c>
      <c r="D911" s="15">
        <v>3</v>
      </c>
      <c r="E911" s="17">
        <f>HLOOKUP(A911,'[19]2013 Benchmarking Calculations'!$I$3:$CC$76,6,FALSE)/1000</f>
        <v>1830.0160099999998</v>
      </c>
      <c r="F911" s="41">
        <f t="shared" si="182"/>
        <v>1.178602141578931</v>
      </c>
      <c r="G911" s="44">
        <f>HLOOKUP(A911,'[19]2013 Benchmarking Calculations'!$I$3:$CC$76,57,FALSE)/1000</f>
        <v>38.183</v>
      </c>
      <c r="H911" s="16">
        <f t="shared" si="184"/>
        <v>39.622</v>
      </c>
      <c r="I911" s="18">
        <f>HLOOKUP(A911,'[19]2013 Benchmarking Calculations'!$I$3:$CC$76,53,FALSE)</f>
        <v>5859</v>
      </c>
      <c r="J911" s="18">
        <f>HLOOKUP(A911,'[19]2013 Benchmarking Calculations'!$I$3:$CC$76,71,FALSE)</f>
        <v>104</v>
      </c>
      <c r="K911" s="18">
        <f t="shared" si="183"/>
        <v>11</v>
      </c>
      <c r="L911" s="19">
        <f>HLOOKUP(A911,'[19]2013 PBR data '!B$42:BV$68,15,FALSE)/HLOOKUP(A911,'[19]2013 PBR data '!B$42:BV$68,13,FALSE)</f>
        <v>0.10576923076923077</v>
      </c>
      <c r="M911" s="9"/>
      <c r="N911" s="9"/>
    </row>
    <row r="912" spans="1:14" s="15" customFormat="1">
      <c r="A912" s="15" t="s">
        <v>81</v>
      </c>
      <c r="B912" s="15">
        <v>3059</v>
      </c>
      <c r="C912" s="43">
        <v>2014</v>
      </c>
      <c r="D912" s="15">
        <v>3</v>
      </c>
      <c r="E912" s="17">
        <f>VLOOKUP(A912,[20]Result!$B$12:$D$84,2,FALSE)/10^3</f>
        <v>1921.5530000000001</v>
      </c>
      <c r="F912" s="41">
        <f t="shared" si="182"/>
        <v>1.2030671041042156</v>
      </c>
      <c r="G912" s="44">
        <f>VLOOKUP(A912,'[21]General transpose'!$A$1:$AF$73,26,FALSE)/10^3</f>
        <v>22.997</v>
      </c>
      <c r="H912" s="16">
        <f t="shared" si="184"/>
        <v>39.622</v>
      </c>
      <c r="I912" s="18">
        <f>VLOOKUP(A912,'[21]General transpose'!$A$1:$AF$73,8,FALSE)</f>
        <v>5858</v>
      </c>
      <c r="J912" s="18">
        <f>VLOOKUP(A912,'[21]General transpose'!$A$1:$AF$73,16,FALSE)</f>
        <v>105</v>
      </c>
      <c r="K912" s="18">
        <f t="shared" si="183"/>
        <v>12</v>
      </c>
      <c r="L912" s="19">
        <f>VLOOKUP(A912,'[21]General transpose'!$A$1:$AF$73,17,FALSE)</f>
        <v>0.11428571428571428</v>
      </c>
      <c r="M912" s="9"/>
      <c r="N912" s="9"/>
    </row>
    <row r="913" spans="1:14" s="15" customFormat="1">
      <c r="A913" s="15" t="s">
        <v>81</v>
      </c>
      <c r="B913" s="15">
        <v>3059</v>
      </c>
      <c r="C913" s="43">
        <v>2015</v>
      </c>
      <c r="D913" s="15">
        <v>3</v>
      </c>
      <c r="E913" s="17">
        <f>VLOOKUP(A912,[20]Result!$B$12:$D$84,3,FALSE)/10^3</f>
        <v>2100.7840000000001</v>
      </c>
      <c r="F913" s="41">
        <f t="shared" si="182"/>
        <v>1.2312762402864634</v>
      </c>
      <c r="G913" s="44">
        <f>VLOOKUP(A912,'[22]General transpose'!$A$1:$AF$73,26,FALSE)/10^3</f>
        <v>28.952999999999999</v>
      </c>
      <c r="H913" s="16">
        <f t="shared" si="184"/>
        <v>39.622</v>
      </c>
      <c r="I913" s="18">
        <f>VLOOKUP(A912,'[22]General transpose'!$A$1:$AF$73,8,FALSE)</f>
        <v>5860</v>
      </c>
      <c r="J913" s="18">
        <f>VLOOKUP(A912,'[22]General transpose'!$A$1:$AF$73,16,FALSE)</f>
        <v>105</v>
      </c>
      <c r="K913" s="18">
        <f t="shared" si="183"/>
        <v>12</v>
      </c>
      <c r="L913" s="19">
        <f>VLOOKUP(A912,'[22]General transpose'!$A$1:$AF$73,17,FALSE)</f>
        <v>0.11428571428571428</v>
      </c>
      <c r="M913" s="9"/>
      <c r="N913" s="9"/>
    </row>
    <row r="914" spans="1:14" s="15" customFormat="1">
      <c r="A914" s="15" t="s">
        <v>81</v>
      </c>
      <c r="B914" s="15">
        <v>3059</v>
      </c>
      <c r="C914" s="43">
        <v>2016</v>
      </c>
      <c r="D914" s="15">
        <v>3</v>
      </c>
      <c r="E914" s="17">
        <f>'[14]2016 Benchmarking Calculations'!$BO$8/1000</f>
        <v>2086.6300999999994</v>
      </c>
      <c r="F914" s="41">
        <f t="shared" si="182"/>
        <v>1.2455044937824149</v>
      </c>
      <c r="G914" s="44">
        <f>HLOOKUP(A914,[23]General!$A$1:$BQ$23,22,FALSE)/10^3</f>
        <v>24.788</v>
      </c>
      <c r="H914" s="16">
        <f t="shared" si="184"/>
        <v>39.622</v>
      </c>
      <c r="I914" s="18">
        <f>HLOOKUP(A914,[23]General!$A$1:$BQ$23,9,FALSE)</f>
        <v>5875</v>
      </c>
      <c r="J914" s="18">
        <f>HLOOKUP(A914,[23]General!$A$1:$BQ$23,17,FALSE)</f>
        <v>107</v>
      </c>
      <c r="K914" s="18">
        <f t="shared" si="183"/>
        <v>12</v>
      </c>
      <c r="L914" s="19">
        <f>HLOOKUP(A914,[23]General!$A$1:$BQ$23,18,FALSE)</f>
        <v>0.11214953271028037</v>
      </c>
      <c r="M914" s="9"/>
      <c r="N914" s="9"/>
    </row>
    <row r="915" spans="1:14" s="15" customFormat="1">
      <c r="A915" s="15" t="s">
        <v>81</v>
      </c>
      <c r="B915" s="15">
        <v>3059</v>
      </c>
      <c r="C915" s="43">
        <v>2017</v>
      </c>
      <c r="D915" s="15">
        <v>3</v>
      </c>
      <c r="E915" s="17">
        <f>'[14]2017 Benchmarking Calculations'!$BQ$9/1000</f>
        <v>2228.6318000000006</v>
      </c>
      <c r="F915" s="41">
        <f t="shared" si="182"/>
        <v>1.2674505553724562</v>
      </c>
      <c r="G915" s="44">
        <f>'[14]2017 Benchmarking Calculations'!$BQ$60/1000</f>
        <v>23.593</v>
      </c>
      <c r="H915" s="16">
        <f t="shared" si="184"/>
        <v>39.622</v>
      </c>
      <c r="I915" s="18">
        <f>'[14]2017 Benchmarking Calculations'!$BQ$56</f>
        <v>5893</v>
      </c>
      <c r="J915" s="18">
        <f>'[14]2017 Utility Characteristics'!$BH$79</f>
        <v>107</v>
      </c>
      <c r="K915" s="15">
        <f>'[14]2017 Utility Characteristics'!$BH$81</f>
        <v>12</v>
      </c>
      <c r="L915" s="19">
        <f>K915/J915</f>
        <v>0.11214953271028037</v>
      </c>
      <c r="M915" s="9"/>
      <c r="N915" s="9"/>
    </row>
    <row r="916" spans="1:14" s="15" customFormat="1">
      <c r="A916" s="15" t="s">
        <v>81</v>
      </c>
      <c r="B916" s="15">
        <v>3059</v>
      </c>
      <c r="C916" s="43">
        <v>2018</v>
      </c>
      <c r="D916" s="15">
        <v>3</v>
      </c>
      <c r="E916" s="17">
        <f>'[16]2018 Benchmarking Calculations'!$BQ$10/1000</f>
        <v>2184.47793</v>
      </c>
      <c r="F916" s="41">
        <f t="shared" si="182"/>
        <v>1.2994718602728874</v>
      </c>
      <c r="G916" s="44">
        <f>'[16]2018 Benchmarking Calculations'!$BQ$61/1000</f>
        <v>20.206</v>
      </c>
      <c r="H916" s="16">
        <f t="shared" si="184"/>
        <v>39.622</v>
      </c>
      <c r="I916" s="18">
        <f>'[16]2018 Benchmarking Calculations'!$BQ$57</f>
        <v>5909</v>
      </c>
      <c r="J916" s="18">
        <f>'[16]2018 Utility Characteristics'!$BK$103</f>
        <v>107</v>
      </c>
      <c r="K916" s="18">
        <f>'[16]2018 Utility Characteristics'!$BK$105</f>
        <v>12</v>
      </c>
      <c r="L916" s="19">
        <f>K916/J916</f>
        <v>0.11214953271028037</v>
      </c>
      <c r="M916" s="9"/>
      <c r="N916" s="9"/>
    </row>
    <row r="917" spans="1:14" s="15" customFormat="1">
      <c r="A917" s="15" t="s">
        <v>81</v>
      </c>
      <c r="B917" s="15">
        <v>3059</v>
      </c>
      <c r="C917" s="43">
        <v>2019</v>
      </c>
      <c r="D917" s="15">
        <v>3</v>
      </c>
      <c r="E917" s="17">
        <f>'[17]2019 Benchmarking Calculations'!$BQ$10/1000</f>
        <v>2242.5743600000001</v>
      </c>
      <c r="F917" s="41">
        <f t="shared" si="182"/>
        <v>1.3352608354138498</v>
      </c>
      <c r="G917" s="44">
        <f>'[17]2019 Benchmarking Calculations'!$BQ$61/1000</f>
        <v>20.248000000000001</v>
      </c>
      <c r="H917" s="16">
        <f t="shared" si="184"/>
        <v>39.622</v>
      </c>
      <c r="I917" s="18">
        <f>'[17]2019 Benchmarking Calculations'!$BQ$57</f>
        <v>5910</v>
      </c>
      <c r="J917" s="18">
        <f>'[17]2019 Utility Characteristics'!$BK$13</f>
        <v>107</v>
      </c>
      <c r="K917" s="18">
        <f>'[17]2019 Utility Characteristics'!$BK$18</f>
        <v>12</v>
      </c>
      <c r="L917" s="19">
        <f>K917/J917</f>
        <v>0.11214953271028037</v>
      </c>
      <c r="M917" s="9"/>
      <c r="N917" s="9"/>
    </row>
    <row r="918" spans="1:14">
      <c r="A918" s="15" t="str">
        <f>'[18]2. BM Database'!B677</f>
        <v>SIOUX LOOKOUT HYDRO INC.</v>
      </c>
      <c r="B918" s="15">
        <v>3069</v>
      </c>
      <c r="C918" s="43">
        <f>'[18]2. BM Database'!C677</f>
        <v>2005</v>
      </c>
      <c r="D918" s="15">
        <v>3</v>
      </c>
      <c r="E918" s="17">
        <f>'[18]2. BM Database'!F677/1000</f>
        <v>991.5173299999999</v>
      </c>
      <c r="F918" s="41">
        <f t="shared" ref="F918:F932" si="185">F903</f>
        <v>1</v>
      </c>
      <c r="G918" s="44">
        <f>'[18]2. BM Database'!P677/1000</f>
        <v>22.753</v>
      </c>
      <c r="H918" s="16">
        <f>G918</f>
        <v>22.753</v>
      </c>
      <c r="I918" s="18">
        <f>'[18]2. BM Database'!L677</f>
        <v>2760</v>
      </c>
      <c r="J918" s="18">
        <f>'[18]2. BM Database'!R677</f>
        <v>212</v>
      </c>
      <c r="K918" s="18">
        <f t="shared" ref="K918:K929" si="186">J918*L918</f>
        <v>6</v>
      </c>
      <c r="L918" s="19">
        <f>'[18]2. BM Database'!T677</f>
        <v>2.8301886792452831E-2</v>
      </c>
      <c r="M918" s="9"/>
      <c r="N918" s="9"/>
    </row>
    <row r="919" spans="1:14">
      <c r="A919" s="15" t="str">
        <f>'[18]2. BM Database'!B678</f>
        <v>SIOUX LOOKOUT HYDRO INC.</v>
      </c>
      <c r="B919" s="15">
        <v>3069</v>
      </c>
      <c r="C919" s="43">
        <f>'[18]2. BM Database'!C678</f>
        <v>2006</v>
      </c>
      <c r="D919" s="15">
        <v>3</v>
      </c>
      <c r="E919" s="17">
        <f>'[18]2. BM Database'!F678/1000</f>
        <v>980.52773000000002</v>
      </c>
      <c r="F919" s="41">
        <f t="shared" si="185"/>
        <v>1.0181607380073696</v>
      </c>
      <c r="G919" s="44">
        <f>'[18]2. BM Database'!P678/1000</f>
        <v>22.013000000000002</v>
      </c>
      <c r="H919" s="16">
        <f>MAX(G919,H918)</f>
        <v>22.753</v>
      </c>
      <c r="I919" s="18">
        <f>'[18]2. BM Database'!L678</f>
        <v>2734</v>
      </c>
      <c r="J919" s="18">
        <f>'[18]2. BM Database'!R678</f>
        <v>211</v>
      </c>
      <c r="K919" s="18">
        <f t="shared" si="186"/>
        <v>6</v>
      </c>
      <c r="L919" s="19">
        <f>'[18]2. BM Database'!T678</f>
        <v>2.843601895734597E-2</v>
      </c>
      <c r="M919" s="9"/>
      <c r="N919" s="9"/>
    </row>
    <row r="920" spans="1:14">
      <c r="A920" s="15" t="str">
        <f>'[18]2. BM Database'!B679</f>
        <v>SIOUX LOOKOUT HYDRO INC.</v>
      </c>
      <c r="B920" s="15">
        <v>3069</v>
      </c>
      <c r="C920" s="43">
        <f>'[18]2. BM Database'!C679</f>
        <v>2007</v>
      </c>
      <c r="D920" s="15">
        <v>3</v>
      </c>
      <c r="E920" s="17">
        <f>'[18]2. BM Database'!F679/1000</f>
        <v>1025.14762</v>
      </c>
      <c r="F920" s="41">
        <f t="shared" si="185"/>
        <v>1.0531931014872313</v>
      </c>
      <c r="G920" s="44">
        <f>'[18]2. BM Database'!P679/1000</f>
        <v>22.552</v>
      </c>
      <c r="H920" s="16">
        <f t="shared" ref="H920:H932" si="187">MAX(G920,H919)</f>
        <v>22.753</v>
      </c>
      <c r="I920" s="18">
        <f>'[18]2. BM Database'!L679</f>
        <v>2754</v>
      </c>
      <c r="J920" s="18">
        <f>'[18]2. BM Database'!R679</f>
        <v>211</v>
      </c>
      <c r="K920" s="18">
        <f t="shared" si="186"/>
        <v>6</v>
      </c>
      <c r="L920" s="19">
        <f>'[18]2. BM Database'!T679</f>
        <v>2.843601895734597E-2</v>
      </c>
      <c r="M920" s="9"/>
      <c r="N920" s="9"/>
    </row>
    <row r="921" spans="1:14">
      <c r="A921" s="15" t="str">
        <f>'[18]2. BM Database'!B680</f>
        <v>SIOUX LOOKOUT HYDRO INC.</v>
      </c>
      <c r="B921" s="15">
        <v>3069</v>
      </c>
      <c r="C921" s="43">
        <f>'[18]2. BM Database'!C680</f>
        <v>2008</v>
      </c>
      <c r="D921" s="15">
        <v>3</v>
      </c>
      <c r="E921" s="17">
        <f>'[18]2. BM Database'!F680/1000</f>
        <v>1124.8175599999997</v>
      </c>
      <c r="F921" s="41">
        <f t="shared" si="185"/>
        <v>1.078564603993923</v>
      </c>
      <c r="G921" s="44">
        <f>'[18]2. BM Database'!P680/1000</f>
        <v>18.091000000000001</v>
      </c>
      <c r="H921" s="16">
        <f t="shared" si="187"/>
        <v>22.753</v>
      </c>
      <c r="I921" s="18">
        <f>'[18]2. BM Database'!L680</f>
        <v>2734</v>
      </c>
      <c r="J921" s="18">
        <f>'[18]2. BM Database'!R680</f>
        <v>211</v>
      </c>
      <c r="K921" s="18">
        <f t="shared" si="186"/>
        <v>6</v>
      </c>
      <c r="L921" s="19">
        <f>'[18]2. BM Database'!T680</f>
        <v>2.843601895734597E-2</v>
      </c>
      <c r="M921" s="9"/>
      <c r="N921" s="9"/>
    </row>
    <row r="922" spans="1:14">
      <c r="A922" s="15" t="str">
        <f>'[18]2. BM Database'!B681</f>
        <v>SIOUX LOOKOUT HYDRO INC.</v>
      </c>
      <c r="B922" s="15">
        <v>3069</v>
      </c>
      <c r="C922" s="43">
        <f>'[18]2. BM Database'!C681</f>
        <v>2009</v>
      </c>
      <c r="D922" s="15">
        <v>3</v>
      </c>
      <c r="E922" s="17">
        <f>'[18]2. BM Database'!F681/1000</f>
        <v>1110.4448864852275</v>
      </c>
      <c r="F922" s="41">
        <f t="shared" si="185"/>
        <v>1.0915070880241431</v>
      </c>
      <c r="G922" s="44">
        <f>'[18]2. BM Database'!P681/1000</f>
        <v>18.326000000000001</v>
      </c>
      <c r="H922" s="16">
        <f t="shared" si="187"/>
        <v>22.753</v>
      </c>
      <c r="I922" s="18">
        <f>'[18]2. BM Database'!L681</f>
        <v>2727</v>
      </c>
      <c r="J922" s="18">
        <f>'[18]2. BM Database'!R681</f>
        <v>211</v>
      </c>
      <c r="K922" s="18">
        <f t="shared" si="186"/>
        <v>6</v>
      </c>
      <c r="L922" s="19">
        <f>'[18]2. BM Database'!T681</f>
        <v>2.843601895734597E-2</v>
      </c>
      <c r="M922" s="9"/>
      <c r="N922" s="9"/>
    </row>
    <row r="923" spans="1:14">
      <c r="A923" s="15" t="str">
        <f>'[18]2. BM Database'!B682</f>
        <v>SIOUX LOOKOUT HYDRO INC.</v>
      </c>
      <c r="B923" s="15">
        <v>3069</v>
      </c>
      <c r="C923" s="43">
        <f>'[18]2. BM Database'!C682</f>
        <v>2010</v>
      </c>
      <c r="D923" s="15">
        <v>3</v>
      </c>
      <c r="E923" s="17">
        <f>'[18]2. BM Database'!F682/1000</f>
        <v>1140.5745999999999</v>
      </c>
      <c r="F923" s="41">
        <f t="shared" si="185"/>
        <v>1.1243125351578573</v>
      </c>
      <c r="G923" s="44">
        <f>'[18]2. BM Database'!P682/1000</f>
        <v>17.859000000000002</v>
      </c>
      <c r="H923" s="16">
        <f t="shared" si="187"/>
        <v>22.753</v>
      </c>
      <c r="I923" s="18">
        <f>'[18]2. BM Database'!L682</f>
        <v>2754</v>
      </c>
      <c r="J923" s="18">
        <f>'[18]2. BM Database'!R682</f>
        <v>211</v>
      </c>
      <c r="K923" s="18">
        <f t="shared" si="186"/>
        <v>6</v>
      </c>
      <c r="L923" s="19">
        <f>'[18]2. BM Database'!T682</f>
        <v>2.843601895734597E-2</v>
      </c>
      <c r="M923" s="9"/>
      <c r="N923" s="9"/>
    </row>
    <row r="924" spans="1:14">
      <c r="A924" s="15" t="str">
        <f>'[18]2. BM Database'!B683</f>
        <v>SIOUX LOOKOUT HYDRO INC.</v>
      </c>
      <c r="B924" s="15">
        <v>3069</v>
      </c>
      <c r="C924" s="43">
        <f>'[18]2. BM Database'!C683</f>
        <v>2011</v>
      </c>
      <c r="D924" s="15">
        <v>3</v>
      </c>
      <c r="E924" s="17">
        <f>'[18]2. BM Database'!F683/1000</f>
        <v>1150.1833199999999</v>
      </c>
      <c r="F924" s="41">
        <f t="shared" si="185"/>
        <v>1.1430978626415853</v>
      </c>
      <c r="G924" s="44">
        <f>'[18]2. BM Database'!P683/1000</f>
        <v>18.704000000000001</v>
      </c>
      <c r="H924" s="16">
        <f t="shared" si="187"/>
        <v>22.753</v>
      </c>
      <c r="I924" s="18">
        <f>'[18]2. BM Database'!L683</f>
        <v>2755</v>
      </c>
      <c r="J924" s="18">
        <f>'[18]2. BM Database'!R683</f>
        <v>283</v>
      </c>
      <c r="K924" s="18">
        <f t="shared" si="186"/>
        <v>6</v>
      </c>
      <c r="L924" s="19">
        <f>'[18]2. BM Database'!T683</f>
        <v>2.1201413427561839E-2</v>
      </c>
      <c r="M924" s="9"/>
      <c r="N924" s="9"/>
    </row>
    <row r="925" spans="1:14">
      <c r="A925" s="15" t="str">
        <f>'[18]2. BM Database'!B684</f>
        <v>SIOUX LOOKOUT HYDRO INC.</v>
      </c>
      <c r="B925" s="15">
        <v>3069</v>
      </c>
      <c r="C925" s="43">
        <f>'[18]2. BM Database'!C684</f>
        <v>2012</v>
      </c>
      <c r="D925" s="15">
        <v>3</v>
      </c>
      <c r="E925" s="17">
        <f>'[18]2. BM Database'!F684/1000</f>
        <v>1382.1388795147727</v>
      </c>
      <c r="F925" s="41">
        <f t="shared" si="185"/>
        <v>1.160126854517312</v>
      </c>
      <c r="G925" s="44">
        <f>'[18]2. BM Database'!P684/1000</f>
        <v>18.062999999999999</v>
      </c>
      <c r="H925" s="16">
        <f t="shared" si="187"/>
        <v>22.753</v>
      </c>
      <c r="I925" s="18">
        <f>'[18]2. BM Database'!L684</f>
        <v>2755</v>
      </c>
      <c r="J925" s="18">
        <f>'[18]2. BM Database'!R684</f>
        <v>283</v>
      </c>
      <c r="K925" s="18">
        <f t="shared" si="186"/>
        <v>6</v>
      </c>
      <c r="L925" s="19">
        <f>'[18]2. BM Database'!T684</f>
        <v>2.1201413427561839E-2</v>
      </c>
      <c r="M925" s="9"/>
      <c r="N925" s="9"/>
    </row>
    <row r="926" spans="1:14" s="15" customFormat="1">
      <c r="A926" s="15" t="s">
        <v>82</v>
      </c>
      <c r="B926" s="15">
        <v>3069</v>
      </c>
      <c r="C926" s="43">
        <v>2013</v>
      </c>
      <c r="D926" s="15">
        <v>3</v>
      </c>
      <c r="E926" s="17">
        <f>HLOOKUP(A926,'[19]2013 Benchmarking Calculations'!$I$3:$CC$76,6,FALSE)/1000</f>
        <v>1383.9408100000001</v>
      </c>
      <c r="F926" s="41">
        <f t="shared" si="185"/>
        <v>1.178602141578931</v>
      </c>
      <c r="G926" s="44">
        <f>HLOOKUP(A926,'[19]2013 Benchmarking Calculations'!$I$3:$CC$76,57,FALSE)/1000</f>
        <v>20.657</v>
      </c>
      <c r="H926" s="16">
        <f t="shared" si="187"/>
        <v>22.753</v>
      </c>
      <c r="I926" s="18">
        <f>HLOOKUP(A926,'[19]2013 Benchmarking Calculations'!$I$3:$CC$76,53,FALSE)</f>
        <v>2767</v>
      </c>
      <c r="J926" s="18">
        <f>HLOOKUP(A926,'[19]2013 Benchmarking Calculations'!$I$3:$CC$76,71,FALSE)</f>
        <v>283</v>
      </c>
      <c r="K926" s="18">
        <f t="shared" si="186"/>
        <v>6</v>
      </c>
      <c r="L926" s="19">
        <f>HLOOKUP(A926,'[19]2013 PBR data '!B$42:BV$68,15,FALSE)/HLOOKUP(A926,'[19]2013 PBR data '!B$42:BV$68,13,FALSE)</f>
        <v>2.1201413427561839E-2</v>
      </c>
      <c r="M926" s="9"/>
      <c r="N926" s="9"/>
    </row>
    <row r="927" spans="1:14" s="15" customFormat="1">
      <c r="A927" s="15" t="s">
        <v>82</v>
      </c>
      <c r="B927" s="15">
        <v>3069</v>
      </c>
      <c r="C927" s="43">
        <v>2014</v>
      </c>
      <c r="D927" s="15">
        <v>3</v>
      </c>
      <c r="E927" s="17">
        <f>VLOOKUP(A927,[20]Result!$B$12:$D$84,2,FALSE)/10^3</f>
        <v>1549.444</v>
      </c>
      <c r="F927" s="41">
        <f t="shared" si="185"/>
        <v>1.2030671041042156</v>
      </c>
      <c r="G927" s="44">
        <f>VLOOKUP(A927,'[21]General transpose'!$A$1:$AF$73,26,FALSE)/10^3</f>
        <v>20.858000000000001</v>
      </c>
      <c r="H927" s="16">
        <f t="shared" si="187"/>
        <v>22.753</v>
      </c>
      <c r="I927" s="18">
        <f>VLOOKUP(A927,'[21]General transpose'!$A$1:$AF$73,8,FALSE)</f>
        <v>2779</v>
      </c>
      <c r="J927" s="18">
        <f>VLOOKUP(A927,'[21]General transpose'!$A$1:$AF$73,16,FALSE)</f>
        <v>286</v>
      </c>
      <c r="K927" s="18">
        <f t="shared" si="186"/>
        <v>9</v>
      </c>
      <c r="L927" s="19">
        <f>VLOOKUP(A927,'[21]General transpose'!$A$1:$AF$73,17,FALSE)</f>
        <v>3.1468531468531472E-2</v>
      </c>
      <c r="M927" s="9"/>
      <c r="N927" s="9"/>
    </row>
    <row r="928" spans="1:14" s="15" customFormat="1">
      <c r="A928" s="15" t="s">
        <v>82</v>
      </c>
      <c r="B928" s="15">
        <v>3069</v>
      </c>
      <c r="C928" s="43">
        <v>2015</v>
      </c>
      <c r="D928" s="15">
        <v>3</v>
      </c>
      <c r="E928" s="17">
        <f>VLOOKUP(A927,[20]Result!$B$12:$D$84,3,FALSE)/10^3</f>
        <v>1399.3130000000001</v>
      </c>
      <c r="F928" s="41">
        <f t="shared" si="185"/>
        <v>1.2312762402864634</v>
      </c>
      <c r="G928" s="44">
        <f>VLOOKUP(A927,'[22]General transpose'!$A$1:$AF$73,26,FALSE)/10^3</f>
        <v>21.167000000000002</v>
      </c>
      <c r="H928" s="16">
        <f t="shared" si="187"/>
        <v>22.753</v>
      </c>
      <c r="I928" s="18">
        <f>VLOOKUP(A927,'[22]General transpose'!$A$1:$AF$73,8,FALSE)</f>
        <v>2780</v>
      </c>
      <c r="J928" s="18">
        <f>VLOOKUP(A927,'[22]General transpose'!$A$1:$AF$73,16,FALSE)</f>
        <v>275</v>
      </c>
      <c r="K928" s="18">
        <f t="shared" si="186"/>
        <v>19</v>
      </c>
      <c r="L928" s="19">
        <f>VLOOKUP(A927,'[22]General transpose'!$A$1:$AF$73,17,FALSE)</f>
        <v>6.9090909090909092E-2</v>
      </c>
      <c r="M928" s="9"/>
      <c r="N928" s="9"/>
    </row>
    <row r="929" spans="1:14" s="15" customFormat="1">
      <c r="A929" s="15" t="s">
        <v>82</v>
      </c>
      <c r="B929" s="15">
        <v>3069</v>
      </c>
      <c r="C929" s="43">
        <v>2016</v>
      </c>
      <c r="D929" s="15">
        <v>3</v>
      </c>
      <c r="E929" s="17">
        <f>'[14]2016 Benchmarking Calculations'!$BP$8/1000</f>
        <v>1510.4999200000002</v>
      </c>
      <c r="F929" s="41">
        <f t="shared" si="185"/>
        <v>1.2455044937824149</v>
      </c>
      <c r="G929" s="44">
        <f>HLOOKUP(A929,[23]General!$A$1:$BQ$23,22,FALSE)/10^3</f>
        <v>17.931000000000001</v>
      </c>
      <c r="H929" s="16">
        <f t="shared" si="187"/>
        <v>22.753</v>
      </c>
      <c r="I929" s="18">
        <f>HLOOKUP(A929,[23]General!$A$1:$BQ$23,9,FALSE)</f>
        <v>2790</v>
      </c>
      <c r="J929" s="18">
        <f>HLOOKUP(A929,[23]General!$A$1:$BQ$23,17,FALSE)</f>
        <v>275</v>
      </c>
      <c r="K929" s="18">
        <f t="shared" si="186"/>
        <v>19</v>
      </c>
      <c r="L929" s="19">
        <f>HLOOKUP(A929,[23]General!$A$1:$BQ$23,18,FALSE)</f>
        <v>6.9090909090909092E-2</v>
      </c>
      <c r="M929" s="9"/>
      <c r="N929" s="9"/>
    </row>
    <row r="930" spans="1:14" s="15" customFormat="1">
      <c r="A930" s="15" t="s">
        <v>82</v>
      </c>
      <c r="B930" s="15">
        <v>3069</v>
      </c>
      <c r="C930" s="43">
        <v>2017</v>
      </c>
      <c r="D930" s="15">
        <v>3</v>
      </c>
      <c r="E930" s="17">
        <f>'[14]2017 Benchmarking Calculations'!$BR$9/1000</f>
        <v>1559.9872999999995</v>
      </c>
      <c r="F930" s="41">
        <f t="shared" si="185"/>
        <v>1.2674505553724562</v>
      </c>
      <c r="G930" s="44">
        <f>'[14]2017 Benchmarking Calculations'!$BR$60/1000</f>
        <v>19.015000000000001</v>
      </c>
      <c r="H930" s="16">
        <f t="shared" si="187"/>
        <v>22.753</v>
      </c>
      <c r="I930" s="18">
        <f>'[14]2017 Benchmarking Calculations'!$BR$56</f>
        <v>2842</v>
      </c>
      <c r="J930" s="18">
        <f>'[14]2017 Utility Characteristics'!$BI$79</f>
        <v>711</v>
      </c>
      <c r="K930" s="15">
        <f>'[14]2017 Utility Characteristics'!$BI$81</f>
        <v>67</v>
      </c>
      <c r="L930" s="19">
        <f>K930/J930</f>
        <v>9.4233473980309429E-2</v>
      </c>
      <c r="M930" s="9"/>
      <c r="N930" s="9"/>
    </row>
    <row r="931" spans="1:14" s="15" customFormat="1">
      <c r="A931" s="15" t="s">
        <v>82</v>
      </c>
      <c r="B931" s="15">
        <v>3069</v>
      </c>
      <c r="C931" s="43">
        <v>2018</v>
      </c>
      <c r="D931" s="15">
        <v>3</v>
      </c>
      <c r="E931" s="17">
        <f>'[16]2018 Benchmarking Calculations'!$BR$10/1000</f>
        <v>1454.2632800000001</v>
      </c>
      <c r="F931" s="41">
        <f t="shared" si="185"/>
        <v>1.2994718602728874</v>
      </c>
      <c r="G931" s="44">
        <f>'[16]2018 Benchmarking Calculations'!$BR$61/1000</f>
        <v>19.081</v>
      </c>
      <c r="H931" s="16">
        <f t="shared" si="187"/>
        <v>22.753</v>
      </c>
      <c r="I931" s="18">
        <f>'[16]2018 Benchmarking Calculations'!$BR$57</f>
        <v>2839</v>
      </c>
      <c r="J931" s="18">
        <f>'[16]2018 Utility Characteristics'!$BL$103</f>
        <v>711</v>
      </c>
      <c r="K931" s="18">
        <f>'[16]2018 Utility Characteristics'!$BL$105</f>
        <v>67</v>
      </c>
      <c r="L931" s="19">
        <f>K931/J931</f>
        <v>9.4233473980309429E-2</v>
      </c>
      <c r="M931" s="9"/>
      <c r="N931" s="9"/>
    </row>
    <row r="932" spans="1:14" s="15" customFormat="1">
      <c r="A932" s="15" t="s">
        <v>82</v>
      </c>
      <c r="B932" s="15">
        <v>3069</v>
      </c>
      <c r="C932" s="43">
        <v>2019</v>
      </c>
      <c r="D932" s="15">
        <v>3</v>
      </c>
      <c r="E932" s="17">
        <f>'[17]2019 Benchmarking Calculations'!$BR$10/1000</f>
        <v>1546.22381</v>
      </c>
      <c r="F932" s="41">
        <f t="shared" si="185"/>
        <v>1.3352608354138498</v>
      </c>
      <c r="G932" s="44">
        <f>'[17]2019 Benchmarking Calculations'!$BR$61/1000</f>
        <v>21.742999999999999</v>
      </c>
      <c r="H932" s="16">
        <f t="shared" si="187"/>
        <v>22.753</v>
      </c>
      <c r="I932" s="18">
        <f>'[17]2019 Benchmarking Calculations'!$BR$57</f>
        <v>2848</v>
      </c>
      <c r="J932" s="18">
        <f>'[17]2019 Utility Characteristics'!$BL$13</f>
        <v>712</v>
      </c>
      <c r="K932" s="18">
        <f>'[17]2019 Utility Characteristics'!$BL$15</f>
        <v>67</v>
      </c>
      <c r="L932" s="19">
        <f>K932/J932</f>
        <v>9.4101123595505612E-2</v>
      </c>
      <c r="M932" s="9"/>
      <c r="N932" s="9"/>
    </row>
    <row r="933" spans="1:14">
      <c r="A933" s="15" t="str">
        <f>'[18]2. BM Database'!B688</f>
        <v>ST. THOMAS ENERGY INC.</v>
      </c>
      <c r="B933" s="15">
        <v>3040</v>
      </c>
      <c r="C933" s="43">
        <f>'[18]2. BM Database'!C688</f>
        <v>2005</v>
      </c>
      <c r="D933" s="15">
        <v>3</v>
      </c>
      <c r="E933" s="17">
        <f>'[18]2. BM Database'!F688/1000</f>
        <v>2904.0429699999995</v>
      </c>
      <c r="F933" s="41">
        <f t="shared" ref="F933:F947" si="188">F918</f>
        <v>1</v>
      </c>
      <c r="G933" s="44">
        <f>'[18]2. BM Database'!P688/1000</f>
        <v>74.620999999999995</v>
      </c>
      <c r="H933" s="16">
        <f>G933</f>
        <v>74.620999999999995</v>
      </c>
      <c r="I933" s="18">
        <f>'[18]2. BM Database'!L688</f>
        <v>15243</v>
      </c>
      <c r="J933" s="18">
        <f>'[18]2. BM Database'!R688</f>
        <v>239</v>
      </c>
      <c r="K933" s="18">
        <f t="shared" ref="K933:K944" si="189">J933*L933</f>
        <v>67</v>
      </c>
      <c r="L933" s="19">
        <f>'[18]2. BM Database'!T688</f>
        <v>0.28033472803347281</v>
      </c>
      <c r="M933" s="9"/>
      <c r="N933" s="9"/>
    </row>
    <row r="934" spans="1:14">
      <c r="A934" s="15" t="str">
        <f>'[18]2. BM Database'!B689</f>
        <v>ST. THOMAS ENERGY INC.</v>
      </c>
      <c r="B934" s="15">
        <v>3040</v>
      </c>
      <c r="C934" s="43">
        <f>'[18]2. BM Database'!C689</f>
        <v>2006</v>
      </c>
      <c r="D934" s="15">
        <v>3</v>
      </c>
      <c r="E934" s="17">
        <f>'[18]2. BM Database'!F689/1000</f>
        <v>3300.0946400000003</v>
      </c>
      <c r="F934" s="41">
        <f t="shared" si="188"/>
        <v>1.0181607380073696</v>
      </c>
      <c r="G934" s="44">
        <f>'[18]2. BM Database'!P689/1000</f>
        <v>77.5</v>
      </c>
      <c r="H934" s="16">
        <f>MAX(G934,H933)</f>
        <v>77.5</v>
      </c>
      <c r="I934" s="18">
        <f>'[18]2. BM Database'!L689</f>
        <v>15597</v>
      </c>
      <c r="J934" s="18">
        <f>'[18]2. BM Database'!R689</f>
        <v>246</v>
      </c>
      <c r="K934" s="18">
        <f t="shared" si="189"/>
        <v>75</v>
      </c>
      <c r="L934" s="19">
        <f>'[18]2. BM Database'!T689</f>
        <v>0.3048780487804878</v>
      </c>
      <c r="M934" s="9"/>
      <c r="N934" s="9"/>
    </row>
    <row r="935" spans="1:14">
      <c r="A935" s="15" t="str">
        <f>'[18]2. BM Database'!B690</f>
        <v>ST. THOMAS ENERGY INC.</v>
      </c>
      <c r="B935" s="15">
        <v>3040</v>
      </c>
      <c r="C935" s="43">
        <f>'[18]2. BM Database'!C690</f>
        <v>2007</v>
      </c>
      <c r="D935" s="15">
        <v>3</v>
      </c>
      <c r="E935" s="17">
        <f>'[18]2. BM Database'!F690/1000</f>
        <v>3226.9735000000001</v>
      </c>
      <c r="F935" s="41">
        <f t="shared" si="188"/>
        <v>1.0531931014872313</v>
      </c>
      <c r="G935" s="44">
        <f>'[18]2. BM Database'!P690/1000</f>
        <v>73.561000000000007</v>
      </c>
      <c r="H935" s="16">
        <f t="shared" ref="H935:H945" si="190">MAX(G935,H934)</f>
        <v>77.5</v>
      </c>
      <c r="I935" s="18">
        <f>'[18]2. BM Database'!L690</f>
        <v>15919</v>
      </c>
      <c r="J935" s="18">
        <f>'[18]2. BM Database'!R690</f>
        <v>240</v>
      </c>
      <c r="K935" s="18">
        <f t="shared" si="189"/>
        <v>80</v>
      </c>
      <c r="L935" s="19">
        <f>'[18]2. BM Database'!T690</f>
        <v>0.33333333333333331</v>
      </c>
      <c r="M935" s="9"/>
      <c r="N935" s="9"/>
    </row>
    <row r="936" spans="1:14">
      <c r="A936" s="15" t="str">
        <f>'[18]2. BM Database'!B691</f>
        <v>ST. THOMAS ENERGY INC.</v>
      </c>
      <c r="B936" s="15">
        <v>3040</v>
      </c>
      <c r="C936" s="43">
        <f>'[18]2. BM Database'!C691</f>
        <v>2008</v>
      </c>
      <c r="D936" s="15">
        <v>3</v>
      </c>
      <c r="E936" s="17">
        <f>'[18]2. BM Database'!F691/1000</f>
        <v>3075.6014</v>
      </c>
      <c r="F936" s="41">
        <f t="shared" si="188"/>
        <v>1.078564603993923</v>
      </c>
      <c r="G936" s="44">
        <f>'[18]2. BM Database'!P691/1000</f>
        <v>67.027000000000001</v>
      </c>
      <c r="H936" s="16">
        <f t="shared" si="190"/>
        <v>77.5</v>
      </c>
      <c r="I936" s="18">
        <f>'[18]2. BM Database'!L691</f>
        <v>16133</v>
      </c>
      <c r="J936" s="18">
        <f>'[18]2. BM Database'!R691</f>
        <v>244</v>
      </c>
      <c r="K936" s="18">
        <f t="shared" si="189"/>
        <v>86</v>
      </c>
      <c r="L936" s="19">
        <f>'[18]2. BM Database'!T691</f>
        <v>0.35245901639344263</v>
      </c>
      <c r="M936" s="9"/>
      <c r="N936" s="9"/>
    </row>
    <row r="937" spans="1:14">
      <c r="A937" s="15" t="str">
        <f>'[18]2. BM Database'!B692</f>
        <v>ST. THOMAS ENERGY INC.</v>
      </c>
      <c r="B937" s="15">
        <v>3040</v>
      </c>
      <c r="C937" s="43">
        <f>'[18]2. BM Database'!C692</f>
        <v>2009</v>
      </c>
      <c r="D937" s="15">
        <v>3</v>
      </c>
      <c r="E937" s="17">
        <f>'[18]2. BM Database'!F692/1000</f>
        <v>3152.0555900000004</v>
      </c>
      <c r="F937" s="41">
        <f t="shared" si="188"/>
        <v>1.0915070880241431</v>
      </c>
      <c r="G937" s="44">
        <f>'[18]2. BM Database'!P692/1000</f>
        <v>61.895000000000003</v>
      </c>
      <c r="H937" s="16">
        <f t="shared" si="190"/>
        <v>77.5</v>
      </c>
      <c r="I937" s="18">
        <f>'[18]2. BM Database'!L692</f>
        <v>16238</v>
      </c>
      <c r="J937" s="18">
        <f>'[18]2. BM Database'!R692</f>
        <v>243</v>
      </c>
      <c r="K937" s="18">
        <f t="shared" si="189"/>
        <v>87</v>
      </c>
      <c r="L937" s="19">
        <f>'[18]2. BM Database'!T692</f>
        <v>0.35802469135802467</v>
      </c>
      <c r="M937" s="9"/>
      <c r="N937" s="9"/>
    </row>
    <row r="938" spans="1:14">
      <c r="A938" s="15" t="str">
        <f>'[18]2. BM Database'!B693</f>
        <v>ST. THOMAS ENERGY INC.</v>
      </c>
      <c r="B938" s="15">
        <v>3040</v>
      </c>
      <c r="C938" s="43">
        <f>'[18]2. BM Database'!C693</f>
        <v>2010</v>
      </c>
      <c r="D938" s="15">
        <v>3</v>
      </c>
      <c r="E938" s="17">
        <f>'[18]2. BM Database'!F693/1000</f>
        <v>3215.89401</v>
      </c>
      <c r="F938" s="41">
        <f t="shared" si="188"/>
        <v>1.1243125351578573</v>
      </c>
      <c r="G938" s="44">
        <f>'[18]2. BM Database'!P693/1000</f>
        <v>62.046999999999997</v>
      </c>
      <c r="H938" s="16">
        <f t="shared" si="190"/>
        <v>77.5</v>
      </c>
      <c r="I938" s="18">
        <f>'[18]2. BM Database'!L693</f>
        <v>16419</v>
      </c>
      <c r="J938" s="18">
        <f>'[18]2. BM Database'!R693</f>
        <v>247</v>
      </c>
      <c r="K938" s="18">
        <f t="shared" si="189"/>
        <v>89</v>
      </c>
      <c r="L938" s="19">
        <f>'[18]2. BM Database'!T693</f>
        <v>0.36032388663967613</v>
      </c>
      <c r="M938" s="9"/>
      <c r="N938" s="9"/>
    </row>
    <row r="939" spans="1:14">
      <c r="A939" s="15" t="str">
        <f>'[18]2. BM Database'!B694</f>
        <v>ST. THOMAS ENERGY INC.</v>
      </c>
      <c r="B939" s="15">
        <v>3040</v>
      </c>
      <c r="C939" s="43">
        <f>'[18]2. BM Database'!C694</f>
        <v>2011</v>
      </c>
      <c r="D939" s="15">
        <v>3</v>
      </c>
      <c r="E939" s="17">
        <f>'[18]2. BM Database'!F694/1000</f>
        <v>3450.8972899999999</v>
      </c>
      <c r="F939" s="41">
        <f t="shared" si="188"/>
        <v>1.1430978626415853</v>
      </c>
      <c r="G939" s="44">
        <f>'[18]2. BM Database'!P694/1000</f>
        <v>65.534000000000006</v>
      </c>
      <c r="H939" s="16">
        <f t="shared" si="190"/>
        <v>77.5</v>
      </c>
      <c r="I939" s="18">
        <f>'[18]2. BM Database'!L694</f>
        <v>16436</v>
      </c>
      <c r="J939" s="18">
        <f>'[18]2. BM Database'!R694</f>
        <v>248</v>
      </c>
      <c r="K939" s="18">
        <f t="shared" si="189"/>
        <v>92</v>
      </c>
      <c r="L939" s="19">
        <f>'[18]2. BM Database'!T694</f>
        <v>0.37096774193548387</v>
      </c>
      <c r="M939" s="9"/>
      <c r="N939" s="9"/>
    </row>
    <row r="940" spans="1:14">
      <c r="A940" s="15" t="str">
        <f>'[18]2. BM Database'!B695</f>
        <v>ST. THOMAS ENERGY INC.</v>
      </c>
      <c r="B940" s="15">
        <v>3040</v>
      </c>
      <c r="C940" s="43">
        <f>'[18]2. BM Database'!C695</f>
        <v>2012</v>
      </c>
      <c r="D940" s="15">
        <v>3</v>
      </c>
      <c r="E940" s="17">
        <f>'[18]2. BM Database'!F695/1000</f>
        <v>4701.995997</v>
      </c>
      <c r="F940" s="41">
        <f t="shared" si="188"/>
        <v>1.160126854517312</v>
      </c>
      <c r="G940" s="44">
        <f>'[18]2. BM Database'!P695/1000</f>
        <v>63.087000000000003</v>
      </c>
      <c r="H940" s="16">
        <f t="shared" si="190"/>
        <v>77.5</v>
      </c>
      <c r="I940" s="18">
        <f>'[18]2. BM Database'!L695</f>
        <v>16563</v>
      </c>
      <c r="J940" s="18">
        <f>'[18]2. BM Database'!R695</f>
        <v>252</v>
      </c>
      <c r="K940" s="18">
        <f t="shared" si="189"/>
        <v>98</v>
      </c>
      <c r="L940" s="19">
        <f>'[18]2. BM Database'!T695</f>
        <v>0.3888888888888889</v>
      </c>
      <c r="M940" s="9"/>
      <c r="N940" s="9"/>
    </row>
    <row r="941" spans="1:14" s="15" customFormat="1">
      <c r="A941" s="15" t="s">
        <v>83</v>
      </c>
      <c r="B941" s="15">
        <v>3040</v>
      </c>
      <c r="C941" s="43">
        <v>2013</v>
      </c>
      <c r="D941" s="15">
        <v>3</v>
      </c>
      <c r="E941" s="17">
        <f>HLOOKUP(A941,'[19]2013 Benchmarking Calculations'!$I$3:$CC$76,6,FALSE)/1000</f>
        <v>3817.9841400000005</v>
      </c>
      <c r="F941" s="41">
        <f t="shared" si="188"/>
        <v>1.178602141578931</v>
      </c>
      <c r="G941" s="44">
        <f>HLOOKUP(A941,'[19]2013 Benchmarking Calculations'!$I$3:$CC$76,57,FALSE)/1000</f>
        <v>60.526000000000003</v>
      </c>
      <c r="H941" s="16">
        <f t="shared" si="190"/>
        <v>77.5</v>
      </c>
      <c r="I941" s="18">
        <f>HLOOKUP(A941,'[19]2013 Benchmarking Calculations'!$I$3:$CC$76,53,FALSE)</f>
        <v>15846</v>
      </c>
      <c r="J941" s="18">
        <f>HLOOKUP(A941,'[19]2013 Benchmarking Calculations'!$I$3:$CC$76,71,FALSE)</f>
        <v>253</v>
      </c>
      <c r="K941" s="18">
        <f t="shared" si="189"/>
        <v>104</v>
      </c>
      <c r="L941" s="19">
        <f>HLOOKUP(A941,'[19]2013 PBR data '!B$42:BV$68,15,FALSE)/HLOOKUP(A941,'[19]2013 PBR data '!B$42:BV$68,13,FALSE)</f>
        <v>0.41106719367588934</v>
      </c>
      <c r="M941" s="9"/>
      <c r="N941" s="9"/>
    </row>
    <row r="942" spans="1:14" s="15" customFormat="1">
      <c r="A942" s="15" t="s">
        <v>83</v>
      </c>
      <c r="B942" s="15">
        <v>3040</v>
      </c>
      <c r="C942" s="43">
        <v>2014</v>
      </c>
      <c r="D942" s="15">
        <v>3</v>
      </c>
      <c r="E942" s="17">
        <f>VLOOKUP(A942,[20]Result!$B$12:$D$84,2,FALSE)/10^3</f>
        <v>3911.9929999999999</v>
      </c>
      <c r="F942" s="41">
        <f t="shared" si="188"/>
        <v>1.2030671041042156</v>
      </c>
      <c r="G942" s="44">
        <f>VLOOKUP(A942,'[21]General transpose'!$A$1:$AF$73,26,FALSE)/10^3</f>
        <v>53.886000000000003</v>
      </c>
      <c r="H942" s="16">
        <f t="shared" si="190"/>
        <v>77.5</v>
      </c>
      <c r="I942" s="18">
        <f>VLOOKUP(A942,'[21]General transpose'!$A$1:$AF$73,8,FALSE)</f>
        <v>16918</v>
      </c>
      <c r="J942" s="18">
        <f>VLOOKUP(A942,'[21]General transpose'!$A$1:$AF$73,16,FALSE)</f>
        <v>258</v>
      </c>
      <c r="K942" s="18">
        <f t="shared" si="189"/>
        <v>108</v>
      </c>
      <c r="L942" s="19">
        <f>VLOOKUP(A942,'[21]General transpose'!$A$1:$AF$73,17,FALSE)</f>
        <v>0.41860465116279072</v>
      </c>
      <c r="M942" s="9"/>
      <c r="N942" s="9"/>
    </row>
    <row r="943" spans="1:14" s="15" customFormat="1">
      <c r="A943" s="15" t="s">
        <v>83</v>
      </c>
      <c r="B943" s="15">
        <v>3040</v>
      </c>
      <c r="C943" s="43">
        <v>2015</v>
      </c>
      <c r="D943" s="15">
        <v>3</v>
      </c>
      <c r="E943" s="17">
        <f>VLOOKUP(A942,[20]Result!$B$12:$D$84,3,FALSE)/10^3</f>
        <v>3793.6370000000002</v>
      </c>
      <c r="F943" s="41">
        <f t="shared" si="188"/>
        <v>1.2312762402864634</v>
      </c>
      <c r="G943" s="44">
        <f>VLOOKUP(A942,'[22]General transpose'!$A$1:$AF$73,26,FALSE)/10^3</f>
        <v>57.151000000000003</v>
      </c>
      <c r="H943" s="16">
        <f t="shared" si="190"/>
        <v>77.5</v>
      </c>
      <c r="I943" s="18">
        <f>VLOOKUP(A942,'[22]General transpose'!$A$1:$AF$73,8,FALSE)</f>
        <v>17072</v>
      </c>
      <c r="J943" s="18">
        <f>VLOOKUP(A942,'[22]General transpose'!$A$1:$AF$73,16,FALSE)</f>
        <v>262</v>
      </c>
      <c r="K943" s="18">
        <f t="shared" si="189"/>
        <v>122</v>
      </c>
      <c r="L943" s="19">
        <f>VLOOKUP(A942,'[22]General transpose'!$A$1:$AF$73,17,FALSE)</f>
        <v>0.46564885496183206</v>
      </c>
      <c r="M943" s="9"/>
      <c r="N943" s="9"/>
    </row>
    <row r="944" spans="1:14" s="15" customFormat="1">
      <c r="A944" s="15" t="s">
        <v>83</v>
      </c>
      <c r="B944" s="15">
        <v>3040</v>
      </c>
      <c r="C944" s="43">
        <v>2016</v>
      </c>
      <c r="D944" s="15">
        <v>3</v>
      </c>
      <c r="E944" s="17">
        <f>'[14]2016 Benchmarking Calculations'!$BQ$8/1000</f>
        <v>4219.8222600000008</v>
      </c>
      <c r="F944" s="41">
        <f t="shared" si="188"/>
        <v>1.2455044937824149</v>
      </c>
      <c r="G944" s="44">
        <f>HLOOKUP(A944,[23]General!$A$1:$BQ$23,22,FALSE)/10^3</f>
        <v>58.935000000000002</v>
      </c>
      <c r="H944" s="16">
        <f t="shared" si="190"/>
        <v>77.5</v>
      </c>
      <c r="I944" s="18">
        <f>HLOOKUP(A944,[23]General!$A$1:$BQ$23,9,FALSE)</f>
        <v>17246</v>
      </c>
      <c r="J944" s="18">
        <f>HLOOKUP(A944,[23]General!$A$1:$BQ$23,17,FALSE)</f>
        <v>242</v>
      </c>
      <c r="K944" s="18">
        <f t="shared" si="189"/>
        <v>103</v>
      </c>
      <c r="L944" s="19">
        <f>HLOOKUP(A944,[23]General!$A$1:$BQ$23,18,FALSE)</f>
        <v>0.42561983471074383</v>
      </c>
      <c r="M944" s="9"/>
      <c r="N944" s="9"/>
    </row>
    <row r="945" spans="1:14" s="15" customFormat="1">
      <c r="A945" s="15" t="s">
        <v>83</v>
      </c>
      <c r="B945" s="15">
        <v>3040</v>
      </c>
      <c r="C945" s="43">
        <v>2017</v>
      </c>
      <c r="D945" s="15">
        <v>3</v>
      </c>
      <c r="E945" s="17">
        <f>'[14]2017 Benchmarking Calculations'!$BS$9/1000</f>
        <v>3841.6066500000002</v>
      </c>
      <c r="F945" s="41">
        <f t="shared" si="188"/>
        <v>1.2674505553724562</v>
      </c>
      <c r="G945" s="44">
        <f>'[14]2017 Benchmarking Calculations'!$BS$60/1000</f>
        <v>54.276000000000003</v>
      </c>
      <c r="H945" s="16">
        <f t="shared" si="190"/>
        <v>77.5</v>
      </c>
      <c r="I945" s="18">
        <f>'[14]2017 Benchmarking Calculations'!$BS$56</f>
        <v>17519</v>
      </c>
      <c r="J945" s="18">
        <f>'[14]2017 Utility Characteristics'!$BJ$79</f>
        <v>248</v>
      </c>
      <c r="K945" s="15">
        <f>'[14]2017 Utility Characteristics'!$BJ$81</f>
        <v>109</v>
      </c>
      <c r="L945" s="19">
        <f>K945/J945</f>
        <v>0.43951612903225806</v>
      </c>
      <c r="M945" s="9"/>
      <c r="N945" s="9"/>
    </row>
    <row r="946" spans="1:14" s="15" customFormat="1">
      <c r="A946" s="15" t="s">
        <v>83</v>
      </c>
      <c r="B946" s="15">
        <v>3040</v>
      </c>
      <c r="C946" s="43">
        <v>2018</v>
      </c>
      <c r="D946" s="15">
        <v>3</v>
      </c>
      <c r="E946" s="17"/>
      <c r="F946" s="41">
        <f t="shared" si="188"/>
        <v>1.2994718602728874</v>
      </c>
      <c r="G946" s="44"/>
      <c r="H946" s="16"/>
      <c r="I946" s="18"/>
      <c r="J946" s="18"/>
      <c r="L946" s="19"/>
      <c r="M946" s="9"/>
      <c r="N946" s="9"/>
    </row>
    <row r="947" spans="1:14" s="15" customFormat="1">
      <c r="A947" s="15" t="s">
        <v>83</v>
      </c>
      <c r="B947" s="15">
        <v>3040</v>
      </c>
      <c r="C947" s="43">
        <v>2019</v>
      </c>
      <c r="D947" s="15">
        <v>3</v>
      </c>
      <c r="E947" s="17"/>
      <c r="F947" s="41">
        <f t="shared" si="188"/>
        <v>1.3352608354138498</v>
      </c>
      <c r="G947" s="44"/>
      <c r="H947" s="16"/>
      <c r="I947" s="18"/>
      <c r="J947" s="18"/>
      <c r="L947" s="19"/>
      <c r="M947" s="9"/>
      <c r="N947" s="9"/>
    </row>
    <row r="948" spans="1:14">
      <c r="A948" s="15" t="str">
        <f>'[18]2. BM Database'!B699</f>
        <v>THUNDER BAY HYDRO ELECTRICITY DISTRIBUTION INC.</v>
      </c>
      <c r="B948" s="15">
        <v>3019</v>
      </c>
      <c r="C948" s="43">
        <f>'[18]2. BM Database'!C699</f>
        <v>2005</v>
      </c>
      <c r="D948" s="15">
        <v>3</v>
      </c>
      <c r="E948" s="17">
        <f>'[18]2. BM Database'!F699/1000</f>
        <v>10019.522030000002</v>
      </c>
      <c r="F948" s="41">
        <f t="shared" ref="F948:F962" si="191">F933</f>
        <v>1</v>
      </c>
      <c r="G948" s="44">
        <f>'[18]2. BM Database'!P699/1000</f>
        <v>197</v>
      </c>
      <c r="H948" s="16">
        <f>G948</f>
        <v>197</v>
      </c>
      <c r="I948" s="18">
        <f>'[18]2. BM Database'!L699</f>
        <v>49558</v>
      </c>
      <c r="J948" s="18">
        <f>'[18]2. BM Database'!R699</f>
        <v>1340</v>
      </c>
      <c r="K948" s="18">
        <f t="shared" ref="K948:K959" si="192">J948*L948</f>
        <v>454</v>
      </c>
      <c r="L948" s="19">
        <f>'[18]2. BM Database'!T699</f>
        <v>0.33880597014925373</v>
      </c>
      <c r="M948" s="9"/>
      <c r="N948" s="9"/>
    </row>
    <row r="949" spans="1:14">
      <c r="A949" s="15" t="str">
        <f>'[18]2. BM Database'!B700</f>
        <v>THUNDER BAY HYDRO ELECTRICITY DISTRIBUTION INC.</v>
      </c>
      <c r="B949" s="15">
        <v>3019</v>
      </c>
      <c r="C949" s="43">
        <f>'[18]2. BM Database'!C700</f>
        <v>2006</v>
      </c>
      <c r="D949" s="15">
        <v>3</v>
      </c>
      <c r="E949" s="17">
        <f>'[18]2. BM Database'!F700/1000</f>
        <v>10500.90351</v>
      </c>
      <c r="F949" s="41">
        <f t="shared" si="191"/>
        <v>1.0181607380073696</v>
      </c>
      <c r="G949" s="44">
        <f>'[18]2. BM Database'!P700/1000</f>
        <v>181.9</v>
      </c>
      <c r="H949" s="16">
        <f>MAX(G949,H948)</f>
        <v>197</v>
      </c>
      <c r="I949" s="18">
        <f>'[18]2. BM Database'!L700</f>
        <v>49556</v>
      </c>
      <c r="J949" s="18">
        <f>'[18]2. BM Database'!R700</f>
        <v>1340</v>
      </c>
      <c r="K949" s="18">
        <f t="shared" si="192"/>
        <v>454</v>
      </c>
      <c r="L949" s="19">
        <f>'[18]2. BM Database'!T700</f>
        <v>0.33880597014925373</v>
      </c>
      <c r="M949" s="9"/>
      <c r="N949" s="9"/>
    </row>
    <row r="950" spans="1:14">
      <c r="A950" s="15" t="str">
        <f>'[18]2. BM Database'!B701</f>
        <v>THUNDER BAY HYDRO ELECTRICITY DISTRIBUTION INC.</v>
      </c>
      <c r="B950" s="15">
        <v>3019</v>
      </c>
      <c r="C950" s="43">
        <f>'[18]2. BM Database'!C701</f>
        <v>2007</v>
      </c>
      <c r="D950" s="15">
        <v>3</v>
      </c>
      <c r="E950" s="17">
        <f>'[18]2. BM Database'!F701/1000</f>
        <v>11589.643970000003</v>
      </c>
      <c r="F950" s="41">
        <f t="shared" si="191"/>
        <v>1.0531931014872313</v>
      </c>
      <c r="G950" s="44">
        <f>'[18]2. BM Database'!P701/1000</f>
        <v>190.6</v>
      </c>
      <c r="H950" s="16">
        <f t="shared" ref="H950:H961" si="193">MAX(G950,H949)</f>
        <v>197</v>
      </c>
      <c r="I950" s="18">
        <f>'[18]2. BM Database'!L701</f>
        <v>49421</v>
      </c>
      <c r="J950" s="18">
        <f>'[18]2. BM Database'!R701</f>
        <v>1160</v>
      </c>
      <c r="K950" s="18">
        <f t="shared" si="192"/>
        <v>231</v>
      </c>
      <c r="L950" s="19">
        <f>'[18]2. BM Database'!T701</f>
        <v>0.19913793103448277</v>
      </c>
      <c r="M950" s="9"/>
      <c r="N950" s="9"/>
    </row>
    <row r="951" spans="1:14">
      <c r="A951" s="15" t="str">
        <f>'[18]2. BM Database'!B702</f>
        <v>THUNDER BAY HYDRO ELECTRICITY DISTRIBUTION INC.</v>
      </c>
      <c r="B951" s="15">
        <v>3019</v>
      </c>
      <c r="C951" s="43">
        <f>'[18]2. BM Database'!C702</f>
        <v>2008</v>
      </c>
      <c r="D951" s="15">
        <v>3</v>
      </c>
      <c r="E951" s="17">
        <f>'[18]2. BM Database'!F702/1000</f>
        <v>11457.312399999999</v>
      </c>
      <c r="F951" s="41">
        <f t="shared" si="191"/>
        <v>1.078564603993923</v>
      </c>
      <c r="G951" s="44">
        <f>'[18]2. BM Database'!P702/1000</f>
        <v>186.53</v>
      </c>
      <c r="H951" s="16">
        <f t="shared" si="193"/>
        <v>197</v>
      </c>
      <c r="I951" s="18">
        <f>'[18]2. BM Database'!L702</f>
        <v>49361</v>
      </c>
      <c r="J951" s="18">
        <f>'[18]2. BM Database'!R702</f>
        <v>1172</v>
      </c>
      <c r="K951" s="18">
        <f t="shared" si="192"/>
        <v>232</v>
      </c>
      <c r="L951" s="19">
        <f>'[18]2. BM Database'!T702</f>
        <v>0.19795221843003413</v>
      </c>
      <c r="M951" s="9"/>
      <c r="N951" s="9"/>
    </row>
    <row r="952" spans="1:14">
      <c r="A952" s="15" t="str">
        <f>'[18]2. BM Database'!B703</f>
        <v>THUNDER BAY HYDRO ELECTRICITY DISTRIBUTION INC.</v>
      </c>
      <c r="B952" s="15">
        <v>3019</v>
      </c>
      <c r="C952" s="43">
        <f>'[18]2. BM Database'!C703</f>
        <v>2009</v>
      </c>
      <c r="D952" s="15">
        <v>3</v>
      </c>
      <c r="E952" s="17">
        <f>'[18]2. BM Database'!F703/1000</f>
        <v>11703.465470000001</v>
      </c>
      <c r="F952" s="41">
        <f t="shared" si="191"/>
        <v>1.0915070880241431</v>
      </c>
      <c r="G952" s="44">
        <f>'[18]2. BM Database'!P703/1000</f>
        <v>186.60599999999999</v>
      </c>
      <c r="H952" s="16">
        <f t="shared" si="193"/>
        <v>197</v>
      </c>
      <c r="I952" s="18">
        <f>'[18]2. BM Database'!L703</f>
        <v>49453</v>
      </c>
      <c r="J952" s="18">
        <f>'[18]2. BM Database'!R703</f>
        <v>1186</v>
      </c>
      <c r="K952" s="18">
        <f t="shared" si="192"/>
        <v>234</v>
      </c>
      <c r="L952" s="19">
        <f>'[18]2. BM Database'!T703</f>
        <v>0.1973018549747049</v>
      </c>
      <c r="M952" s="9"/>
      <c r="N952" s="9"/>
    </row>
    <row r="953" spans="1:14">
      <c r="A953" s="15" t="str">
        <f>'[18]2. BM Database'!B704</f>
        <v>THUNDER BAY HYDRO ELECTRICITY DISTRIBUTION INC.</v>
      </c>
      <c r="B953" s="15">
        <v>3019</v>
      </c>
      <c r="C953" s="43">
        <f>'[18]2. BM Database'!C704</f>
        <v>2010</v>
      </c>
      <c r="D953" s="15">
        <v>3</v>
      </c>
      <c r="E953" s="17">
        <f>'[18]2. BM Database'!F704/1000</f>
        <v>12039.742829999999</v>
      </c>
      <c r="F953" s="41">
        <f t="shared" si="191"/>
        <v>1.1243125351578573</v>
      </c>
      <c r="G953" s="44">
        <f>'[18]2. BM Database'!P704/1000</f>
        <v>176.768</v>
      </c>
      <c r="H953" s="16">
        <f t="shared" si="193"/>
        <v>197</v>
      </c>
      <c r="I953" s="18">
        <f>'[18]2. BM Database'!L704</f>
        <v>49508</v>
      </c>
      <c r="J953" s="18">
        <f>'[18]2. BM Database'!R704</f>
        <v>1178</v>
      </c>
      <c r="K953" s="18">
        <f t="shared" si="192"/>
        <v>233.99999999999997</v>
      </c>
      <c r="L953" s="19">
        <f>'[18]2. BM Database'!T704</f>
        <v>0.19864176570458403</v>
      </c>
      <c r="M953" s="9"/>
      <c r="N953" s="9"/>
    </row>
    <row r="954" spans="1:14">
      <c r="A954" s="15" t="str">
        <f>'[18]2. BM Database'!B705</f>
        <v>THUNDER BAY HYDRO ELECTRICITY DISTRIBUTION INC.</v>
      </c>
      <c r="B954" s="15">
        <v>3019</v>
      </c>
      <c r="C954" s="43">
        <f>'[18]2. BM Database'!C705</f>
        <v>2011</v>
      </c>
      <c r="D954" s="15">
        <v>3</v>
      </c>
      <c r="E954" s="17">
        <f>'[18]2. BM Database'!F705/1000</f>
        <v>11965.37218</v>
      </c>
      <c r="F954" s="41">
        <f t="shared" si="191"/>
        <v>1.1430978626415853</v>
      </c>
      <c r="G954" s="44">
        <f>'[18]2. BM Database'!P705/1000</f>
        <v>171.304</v>
      </c>
      <c r="H954" s="16">
        <f t="shared" si="193"/>
        <v>197</v>
      </c>
      <c r="I954" s="18">
        <f>'[18]2. BM Database'!L705</f>
        <v>49765</v>
      </c>
      <c r="J954" s="18">
        <f>'[18]2. BM Database'!R705</f>
        <v>1186</v>
      </c>
      <c r="K954" s="18">
        <f t="shared" si="192"/>
        <v>236</v>
      </c>
      <c r="L954" s="19">
        <f>'[18]2. BM Database'!T705</f>
        <v>0.19898819561551434</v>
      </c>
      <c r="M954" s="9"/>
      <c r="N954" s="9"/>
    </row>
    <row r="955" spans="1:14">
      <c r="A955" s="15" t="str">
        <f>'[18]2. BM Database'!B706</f>
        <v>THUNDER BAY HYDRO ELECTRICITY DISTRIBUTION INC.</v>
      </c>
      <c r="B955" s="15">
        <v>3019</v>
      </c>
      <c r="C955" s="43">
        <f>'[18]2. BM Database'!C706</f>
        <v>2012</v>
      </c>
      <c r="D955" s="15">
        <v>3</v>
      </c>
      <c r="E955" s="17">
        <f>'[18]2. BM Database'!F706/1000</f>
        <v>12111.748147100001</v>
      </c>
      <c r="F955" s="41">
        <f t="shared" si="191"/>
        <v>1.160126854517312</v>
      </c>
      <c r="G955" s="44">
        <f>'[18]2. BM Database'!P706/1000</f>
        <v>168.172</v>
      </c>
      <c r="H955" s="16">
        <f t="shared" si="193"/>
        <v>197</v>
      </c>
      <c r="I955" s="18">
        <f>'[18]2. BM Database'!L706</f>
        <v>49998</v>
      </c>
      <c r="J955" s="18">
        <f>'[18]2. BM Database'!R706</f>
        <v>1157</v>
      </c>
      <c r="K955" s="18">
        <f t="shared" si="192"/>
        <v>235</v>
      </c>
      <c r="L955" s="19">
        <f>'[18]2. BM Database'!T706</f>
        <v>0.20311149524632671</v>
      </c>
      <c r="M955" s="9"/>
      <c r="N955" s="9"/>
    </row>
    <row r="956" spans="1:14" s="15" customFormat="1">
      <c r="A956" s="15" t="s">
        <v>84</v>
      </c>
      <c r="B956" s="15">
        <v>3019</v>
      </c>
      <c r="C956" s="43">
        <v>2013</v>
      </c>
      <c r="D956" s="15">
        <v>3</v>
      </c>
      <c r="E956" s="17">
        <f>'[14]2013 Benchmarking Calculations'!$BR$8/1000</f>
        <v>12965.009029999997</v>
      </c>
      <c r="F956" s="41">
        <f t="shared" si="191"/>
        <v>1.178602141578931</v>
      </c>
      <c r="G956" s="44">
        <f>HLOOKUP(A956,'[19]2013 Benchmarking Calculations'!$I$3:$CC$76,57,FALSE)/1000</f>
        <v>181.19200000000001</v>
      </c>
      <c r="H956" s="16">
        <f t="shared" si="193"/>
        <v>197</v>
      </c>
      <c r="I956" s="18">
        <f>HLOOKUP(A956,'[19]2013 Benchmarking Calculations'!$I$3:$CC$76,53,FALSE)</f>
        <v>50190</v>
      </c>
      <c r="J956" s="18">
        <f>HLOOKUP(A956,'[19]2013 Benchmarking Calculations'!$I$3:$CC$76,71,FALSE)</f>
        <v>1145</v>
      </c>
      <c r="K956" s="18">
        <f t="shared" si="192"/>
        <v>239</v>
      </c>
      <c r="L956" s="19">
        <f>HLOOKUP(A956,'[19]2013 PBR data '!B$42:BV$68,15,FALSE)/HLOOKUP(A956,'[19]2013 PBR data '!B$42:BV$68,13,FALSE)</f>
        <v>0.20873362445414848</v>
      </c>
      <c r="M956" s="9"/>
      <c r="N956" s="9"/>
    </row>
    <row r="957" spans="1:14" s="15" customFormat="1">
      <c r="A957" s="15" t="s">
        <v>84</v>
      </c>
      <c r="B957" s="15">
        <v>3019</v>
      </c>
      <c r="C957" s="43">
        <v>2014</v>
      </c>
      <c r="D957" s="15">
        <v>3</v>
      </c>
      <c r="E957" s="17">
        <f>VLOOKUP(A957,[20]Result!$B$12:$D$84,2,FALSE)/10^3</f>
        <v>13592.911</v>
      </c>
      <c r="F957" s="41">
        <f t="shared" si="191"/>
        <v>1.2030671041042156</v>
      </c>
      <c r="G957" s="44">
        <f>'[14]2014 Benchmarking Calculations'!$BR$59/1000</f>
        <v>180.09</v>
      </c>
      <c r="H957" s="16">
        <f t="shared" si="193"/>
        <v>197</v>
      </c>
      <c r="I957" s="18">
        <f>VLOOKUP(A957,'[21]General transpose'!$A$1:$AF$73,8,FALSE)</f>
        <v>50482</v>
      </c>
      <c r="J957" s="18">
        <f>VLOOKUP(A957,'[21]General transpose'!$A$1:$AF$73,16,FALSE)</f>
        <v>1138</v>
      </c>
      <c r="K957" s="18">
        <f t="shared" si="192"/>
        <v>240</v>
      </c>
      <c r="L957" s="19">
        <f>VLOOKUP(A957,'[21]General transpose'!$A$1:$AF$73,17,FALSE)</f>
        <v>0.210896309314587</v>
      </c>
      <c r="M957" s="9"/>
      <c r="N957" s="9"/>
    </row>
    <row r="958" spans="1:14" s="15" customFormat="1">
      <c r="A958" s="15" t="s">
        <v>84</v>
      </c>
      <c r="B958" s="15">
        <v>3019</v>
      </c>
      <c r="C958" s="43">
        <v>2015</v>
      </c>
      <c r="D958" s="15">
        <v>3</v>
      </c>
      <c r="E958" s="17">
        <f>VLOOKUP(A957,[20]Result!$B$12:$D$84,3,FALSE)/10^3</f>
        <v>13874.655000000001</v>
      </c>
      <c r="F958" s="41">
        <f t="shared" si="191"/>
        <v>1.2312762402864634</v>
      </c>
      <c r="G958" s="44">
        <f>VLOOKUP(A957,'[22]General transpose'!$A$1:$AF$73,26,FALSE)/10^3</f>
        <v>178.517</v>
      </c>
      <c r="H958" s="16">
        <f t="shared" si="193"/>
        <v>197</v>
      </c>
      <c r="I958" s="18">
        <f>VLOOKUP(A957,'[22]General transpose'!$A$1:$AF$73,8,FALSE)</f>
        <v>50614</v>
      </c>
      <c r="J958" s="18">
        <f>VLOOKUP(A957,'[22]General transpose'!$A$1:$AF$73,16,FALSE)</f>
        <v>1181</v>
      </c>
      <c r="K958" s="18">
        <f t="shared" si="192"/>
        <v>258</v>
      </c>
      <c r="L958" s="19">
        <f>VLOOKUP(A957,'[22]General transpose'!$A$1:$AF$73,17,FALSE)</f>
        <v>0.21845893310753597</v>
      </c>
      <c r="M958" s="9"/>
      <c r="N958" s="9"/>
    </row>
    <row r="959" spans="1:14" s="15" customFormat="1">
      <c r="A959" s="15" t="s">
        <v>84</v>
      </c>
      <c r="B959" s="15">
        <v>3019</v>
      </c>
      <c r="C959" s="43">
        <v>2016</v>
      </c>
      <c r="D959" s="15">
        <v>3</v>
      </c>
      <c r="E959" s="17">
        <f>'[14]2016 Benchmarking Calculations'!$BR$8/1000</f>
        <v>15166.728839999998</v>
      </c>
      <c r="F959" s="41">
        <f t="shared" si="191"/>
        <v>1.2455044937824149</v>
      </c>
      <c r="G959" s="44">
        <f>HLOOKUP(A959,[23]General!$A$1:$BQ$23,22,FALSE)/10^3</f>
        <v>168.35599999999999</v>
      </c>
      <c r="H959" s="16">
        <f t="shared" si="193"/>
        <v>197</v>
      </c>
      <c r="I959" s="18">
        <f>HLOOKUP(A959,[23]General!$A$1:$BQ$23,9,FALSE)</f>
        <v>50769</v>
      </c>
      <c r="J959" s="18">
        <f>HLOOKUP(A959,[23]General!$A$1:$BQ$23,17,FALSE)</f>
        <v>1188</v>
      </c>
      <c r="K959" s="18">
        <f t="shared" si="192"/>
        <v>255</v>
      </c>
      <c r="L959" s="19">
        <f>HLOOKUP(A959,[23]General!$A$1:$BQ$23,18,FALSE)</f>
        <v>0.21464646464646464</v>
      </c>
      <c r="M959" s="9"/>
      <c r="N959" s="9"/>
    </row>
    <row r="960" spans="1:14" s="15" customFormat="1">
      <c r="A960" s="15" t="s">
        <v>84</v>
      </c>
      <c r="B960" s="15">
        <v>3019</v>
      </c>
      <c r="C960" s="43">
        <v>2017</v>
      </c>
      <c r="D960" s="15">
        <v>3</v>
      </c>
      <c r="E960" s="17">
        <f>'[14]2017 Benchmarking Calculations'!$BT$9/1000</f>
        <v>15384.698060000001</v>
      </c>
      <c r="F960" s="41">
        <f t="shared" si="191"/>
        <v>1.2674505553724562</v>
      </c>
      <c r="G960" s="44">
        <f>[15]General!$BD$19/1000</f>
        <v>154.38999999999999</v>
      </c>
      <c r="H960" s="16">
        <f t="shared" si="193"/>
        <v>197</v>
      </c>
      <c r="I960" s="18">
        <f>[15]General!$BD$9</f>
        <v>50844</v>
      </c>
      <c r="J960" s="18">
        <f>[15]General!$BD$17</f>
        <v>1159</v>
      </c>
      <c r="K960" s="18">
        <f>J960*L960</f>
        <v>254</v>
      </c>
      <c r="L960" s="19">
        <f>[15]General!$BD$16/[15]General!$BD$17</f>
        <v>0.2191544434857636</v>
      </c>
      <c r="M960" s="9"/>
      <c r="N960" s="9"/>
    </row>
    <row r="961" spans="1:14" s="15" customFormat="1">
      <c r="A961" s="15" t="s">
        <v>84</v>
      </c>
      <c r="B961" s="15">
        <v>3019</v>
      </c>
      <c r="C961" s="43">
        <v>2018</v>
      </c>
      <c r="D961" s="15">
        <v>3</v>
      </c>
      <c r="E961" s="17">
        <f>'[16]2018 Benchmarking Calculations'!$BT$10/1000</f>
        <v>15468.78753</v>
      </c>
      <c r="F961" s="41">
        <f t="shared" si="191"/>
        <v>1.2994718602728874</v>
      </c>
      <c r="G961" s="44">
        <f>'[16]2018 Benchmarking Calculations'!$BT$61/1000</f>
        <v>163.83099999999999</v>
      </c>
      <c r="H961" s="16">
        <f t="shared" si="193"/>
        <v>197</v>
      </c>
      <c r="I961" s="18">
        <f>'[16]2018 Benchmarking Calculations'!$BT$57</f>
        <v>50950</v>
      </c>
      <c r="J961" s="18">
        <f>'[16]2018 Utility Characteristics'!$BN$103</f>
        <v>1154</v>
      </c>
      <c r="K961" s="18">
        <f>'[16]2018 Utility Characteristics'!$BN$105</f>
        <v>257</v>
      </c>
      <c r="L961" s="19">
        <f>K961/J961</f>
        <v>0.22270363951473138</v>
      </c>
      <c r="M961" s="9"/>
      <c r="N961" s="9"/>
    </row>
    <row r="962" spans="1:14" s="15" customFormat="1">
      <c r="A962" s="15" t="s">
        <v>84</v>
      </c>
      <c r="B962" s="15">
        <v>3019</v>
      </c>
      <c r="C962" s="43">
        <v>2019</v>
      </c>
      <c r="D962" s="15">
        <v>3</v>
      </c>
      <c r="E962" s="17"/>
      <c r="F962" s="41">
        <f t="shared" si="191"/>
        <v>1.3352608354138498</v>
      </c>
      <c r="G962" s="44"/>
      <c r="H962" s="16"/>
      <c r="I962" s="18"/>
      <c r="J962" s="18"/>
      <c r="K962" s="18"/>
      <c r="L962" s="19"/>
      <c r="M962" s="9"/>
      <c r="N962" s="9"/>
    </row>
    <row r="963" spans="1:14">
      <c r="A963" s="15" t="str">
        <f>'[18]2. BM Database'!B710</f>
        <v>TILLSONBURG HYDRO INC.</v>
      </c>
      <c r="B963" s="15">
        <v>3056</v>
      </c>
      <c r="C963" s="43">
        <f>'[18]2. BM Database'!C710</f>
        <v>2005</v>
      </c>
      <c r="D963" s="15">
        <v>3</v>
      </c>
      <c r="E963" s="17">
        <f>'[18]2. BM Database'!F710/1000</f>
        <v>1364.8119999999999</v>
      </c>
      <c r="F963" s="41">
        <f t="shared" ref="F963:F977" si="194">F948</f>
        <v>1</v>
      </c>
      <c r="G963" s="44">
        <f>'[18]2. BM Database'!P710/1000</f>
        <v>42.283000000000001</v>
      </c>
      <c r="H963" s="16">
        <f>G963</f>
        <v>42.283000000000001</v>
      </c>
      <c r="I963" s="18">
        <f>'[18]2. BM Database'!L710</f>
        <v>6343</v>
      </c>
      <c r="J963" s="18">
        <f>'[18]2. BM Database'!R710</f>
        <v>147</v>
      </c>
      <c r="K963" s="18">
        <f t="shared" ref="K963:K974" si="195">J963*L963</f>
        <v>47</v>
      </c>
      <c r="L963" s="19">
        <f>'[18]2. BM Database'!T710</f>
        <v>0.31972789115646261</v>
      </c>
      <c r="M963" s="9"/>
      <c r="N963" s="9"/>
    </row>
    <row r="964" spans="1:14">
      <c r="A964" s="15" t="str">
        <f>'[18]2. BM Database'!B711</f>
        <v>TILLSONBURG HYDRO INC.</v>
      </c>
      <c r="B964" s="15">
        <v>3056</v>
      </c>
      <c r="C964" s="43">
        <f>'[18]2. BM Database'!C711</f>
        <v>2006</v>
      </c>
      <c r="D964" s="15">
        <v>3</v>
      </c>
      <c r="E964" s="17">
        <f>'[18]2. BM Database'!F711/1000</f>
        <v>1578.5640000000001</v>
      </c>
      <c r="F964" s="41">
        <f t="shared" si="194"/>
        <v>1.0181607380073696</v>
      </c>
      <c r="G964" s="44">
        <f>'[18]2. BM Database'!P711/1000</f>
        <v>43.121000000000002</v>
      </c>
      <c r="H964" s="16">
        <f>MAX(G964,H963)</f>
        <v>43.121000000000002</v>
      </c>
      <c r="I964" s="18">
        <f>'[18]2. BM Database'!L711</f>
        <v>6457</v>
      </c>
      <c r="J964" s="18">
        <f>'[18]2. BM Database'!R711</f>
        <v>151</v>
      </c>
      <c r="K964" s="18">
        <f t="shared" si="195"/>
        <v>49</v>
      </c>
      <c r="L964" s="19">
        <f>'[18]2. BM Database'!T711</f>
        <v>0.32450331125827814</v>
      </c>
      <c r="M964" s="9"/>
      <c r="N964" s="9"/>
    </row>
    <row r="965" spans="1:14">
      <c r="A965" s="15" t="str">
        <f>'[18]2. BM Database'!B712</f>
        <v>TILLSONBURG HYDRO INC.</v>
      </c>
      <c r="B965" s="15">
        <v>3056</v>
      </c>
      <c r="C965" s="43">
        <f>'[18]2. BM Database'!C712</f>
        <v>2007</v>
      </c>
      <c r="D965" s="15">
        <v>3</v>
      </c>
      <c r="E965" s="17">
        <f>'[18]2. BM Database'!F712/1000</f>
        <v>1596.1559999999999</v>
      </c>
      <c r="F965" s="41">
        <f t="shared" si="194"/>
        <v>1.0531931014872313</v>
      </c>
      <c r="G965" s="44">
        <f>'[18]2. BM Database'!P712/1000</f>
        <v>48.436</v>
      </c>
      <c r="H965" s="16">
        <f t="shared" ref="H965:H977" si="196">MAX(G965,H964)</f>
        <v>48.436</v>
      </c>
      <c r="I965" s="18">
        <f>'[18]2. BM Database'!L712</f>
        <v>6571</v>
      </c>
      <c r="J965" s="18">
        <f>'[18]2. BM Database'!R712</f>
        <v>153</v>
      </c>
      <c r="K965" s="18">
        <f t="shared" si="195"/>
        <v>51</v>
      </c>
      <c r="L965" s="19">
        <f>'[18]2. BM Database'!T712</f>
        <v>0.33333333333333331</v>
      </c>
      <c r="M965" s="9"/>
      <c r="N965" s="9"/>
    </row>
    <row r="966" spans="1:14">
      <c r="A966" s="15" t="str">
        <f>'[18]2. BM Database'!B713</f>
        <v>TILLSONBURG HYDRO INC.</v>
      </c>
      <c r="B966" s="15">
        <v>3056</v>
      </c>
      <c r="C966" s="43">
        <f>'[18]2. BM Database'!C713</f>
        <v>2008</v>
      </c>
      <c r="D966" s="15">
        <v>3</v>
      </c>
      <c r="E966" s="17">
        <f>'[18]2. BM Database'!F713/1000</f>
        <v>1616.9019900000001</v>
      </c>
      <c r="F966" s="41">
        <f t="shared" si="194"/>
        <v>1.078564603993923</v>
      </c>
      <c r="G966" s="44">
        <f>'[18]2. BM Database'!P713/1000</f>
        <v>41.631999999999998</v>
      </c>
      <c r="H966" s="16">
        <f t="shared" si="196"/>
        <v>48.436</v>
      </c>
      <c r="I966" s="18">
        <f>'[18]2. BM Database'!L713</f>
        <v>6622</v>
      </c>
      <c r="J966" s="18">
        <f>'[18]2. BM Database'!R713</f>
        <v>156</v>
      </c>
      <c r="K966" s="18">
        <f t="shared" si="195"/>
        <v>54</v>
      </c>
      <c r="L966" s="19">
        <f>'[18]2. BM Database'!T713</f>
        <v>0.34615384615384615</v>
      </c>
      <c r="M966" s="9"/>
      <c r="N966" s="9"/>
    </row>
    <row r="967" spans="1:14">
      <c r="A967" s="15" t="str">
        <f>'[18]2. BM Database'!B714</f>
        <v>TILLSONBURG HYDRO INC.</v>
      </c>
      <c r="B967" s="15">
        <v>3056</v>
      </c>
      <c r="C967" s="43">
        <f>'[18]2. BM Database'!C714</f>
        <v>2009</v>
      </c>
      <c r="D967" s="15">
        <v>3</v>
      </c>
      <c r="E967" s="17">
        <f>'[18]2. BM Database'!F714/1000</f>
        <v>1846.78504</v>
      </c>
      <c r="F967" s="41">
        <f t="shared" si="194"/>
        <v>1.0915070880241431</v>
      </c>
      <c r="G967" s="44">
        <f>'[18]2. BM Database'!P714/1000</f>
        <v>41.631999999999998</v>
      </c>
      <c r="H967" s="16">
        <f t="shared" si="196"/>
        <v>48.436</v>
      </c>
      <c r="I967" s="18">
        <f>'[18]2. BM Database'!L714</f>
        <v>6669</v>
      </c>
      <c r="J967" s="18">
        <f>'[18]2. BM Database'!R714</f>
        <v>156</v>
      </c>
      <c r="K967" s="18">
        <f t="shared" si="195"/>
        <v>54</v>
      </c>
      <c r="L967" s="19">
        <f>'[18]2. BM Database'!T714</f>
        <v>0.34615384615384615</v>
      </c>
      <c r="M967" s="9"/>
      <c r="N967" s="9"/>
    </row>
    <row r="968" spans="1:14">
      <c r="A968" s="15" t="str">
        <f>'[18]2. BM Database'!B715</f>
        <v>TILLSONBURG HYDRO INC.</v>
      </c>
      <c r="B968" s="15">
        <v>3056</v>
      </c>
      <c r="C968" s="43">
        <f>'[18]2. BM Database'!C715</f>
        <v>2010</v>
      </c>
      <c r="D968" s="15">
        <v>3</v>
      </c>
      <c r="E968" s="17">
        <f>'[18]2. BM Database'!F715/1000</f>
        <v>2123.3728599999999</v>
      </c>
      <c r="F968" s="41">
        <f t="shared" si="194"/>
        <v>1.1243125351578573</v>
      </c>
      <c r="G968" s="44">
        <f>'[18]2. BM Database'!P715/1000</f>
        <v>41.631999999999998</v>
      </c>
      <c r="H968" s="16">
        <f t="shared" si="196"/>
        <v>48.436</v>
      </c>
      <c r="I968" s="18">
        <f>'[18]2. BM Database'!L715</f>
        <v>6700</v>
      </c>
      <c r="J968" s="18">
        <f>'[18]2. BM Database'!R715</f>
        <v>156</v>
      </c>
      <c r="K968" s="18">
        <f t="shared" si="195"/>
        <v>54</v>
      </c>
      <c r="L968" s="19">
        <f>'[18]2. BM Database'!T715</f>
        <v>0.34615384615384615</v>
      </c>
      <c r="M968" s="9"/>
      <c r="N968" s="9"/>
    </row>
    <row r="969" spans="1:14">
      <c r="A969" s="15" t="str">
        <f>'[18]2. BM Database'!B716</f>
        <v>TILLSONBURG HYDRO INC.</v>
      </c>
      <c r="B969" s="15">
        <v>3056</v>
      </c>
      <c r="C969" s="43">
        <f>'[18]2. BM Database'!C716</f>
        <v>2011</v>
      </c>
      <c r="D969" s="15">
        <v>3</v>
      </c>
      <c r="E969" s="17">
        <f>'[18]2. BM Database'!F716/1000</f>
        <v>2127.1613800000005</v>
      </c>
      <c r="F969" s="41">
        <f t="shared" si="194"/>
        <v>1.1430978626415853</v>
      </c>
      <c r="G969" s="44">
        <f>'[18]2. BM Database'!P716/1000</f>
        <v>37.104999999999997</v>
      </c>
      <c r="H969" s="16">
        <f t="shared" si="196"/>
        <v>48.436</v>
      </c>
      <c r="I969" s="18">
        <f>'[18]2. BM Database'!L716</f>
        <v>6745</v>
      </c>
      <c r="J969" s="18">
        <f>'[18]2. BM Database'!R716</f>
        <v>157</v>
      </c>
      <c r="K969" s="18">
        <f t="shared" si="195"/>
        <v>55</v>
      </c>
      <c r="L969" s="19">
        <f>'[18]2. BM Database'!T716</f>
        <v>0.3503184713375796</v>
      </c>
      <c r="M969" s="9"/>
      <c r="N969" s="9"/>
    </row>
    <row r="970" spans="1:14">
      <c r="A970" s="15" t="str">
        <f>'[18]2. BM Database'!B717</f>
        <v>TILLSONBURG HYDRO INC.</v>
      </c>
      <c r="B970" s="15">
        <v>3056</v>
      </c>
      <c r="C970" s="43">
        <f>'[18]2. BM Database'!C717</f>
        <v>2012</v>
      </c>
      <c r="D970" s="15">
        <v>3</v>
      </c>
      <c r="E970" s="17">
        <f>'[18]2. BM Database'!F717/1000</f>
        <v>2366.1844000000001</v>
      </c>
      <c r="F970" s="41">
        <f t="shared" si="194"/>
        <v>1.160126854517312</v>
      </c>
      <c r="G970" s="44">
        <f>'[18]2. BM Database'!P717/1000</f>
        <v>36.354999999999997</v>
      </c>
      <c r="H970" s="16">
        <f t="shared" si="196"/>
        <v>48.436</v>
      </c>
      <c r="I970" s="18">
        <f>'[18]2. BM Database'!L717</f>
        <v>6782</v>
      </c>
      <c r="J970" s="18">
        <f>'[18]2. BM Database'!R717</f>
        <v>157</v>
      </c>
      <c r="K970" s="18">
        <f t="shared" si="195"/>
        <v>55</v>
      </c>
      <c r="L970" s="19">
        <f>'[18]2. BM Database'!T717</f>
        <v>0.3503184713375796</v>
      </c>
      <c r="M970" s="9"/>
      <c r="N970" s="9"/>
    </row>
    <row r="971" spans="1:14" s="15" customFormat="1">
      <c r="A971" s="15" t="s">
        <v>85</v>
      </c>
      <c r="B971" s="15">
        <v>3056</v>
      </c>
      <c r="C971" s="43">
        <v>2013</v>
      </c>
      <c r="D971" s="15">
        <v>3</v>
      </c>
      <c r="E971" s="17">
        <f>HLOOKUP(A971,'[19]2013 Benchmarking Calculations'!$I$3:$CC$76,6,FALSE)/1000</f>
        <v>2971.5805900000005</v>
      </c>
      <c r="F971" s="41">
        <f t="shared" si="194"/>
        <v>1.178602141578931</v>
      </c>
      <c r="G971" s="44">
        <f>HLOOKUP(A971,'[19]2013 Benchmarking Calculations'!$I$3:$CC$76,57,FALSE)/1000</f>
        <v>39.113</v>
      </c>
      <c r="H971" s="16">
        <f t="shared" si="196"/>
        <v>48.436</v>
      </c>
      <c r="I971" s="18">
        <f>HLOOKUP(A971,'[19]2013 Benchmarking Calculations'!$I$3:$CC$76,53,FALSE)</f>
        <v>6858</v>
      </c>
      <c r="J971" s="18">
        <f>HLOOKUP(A971,'[19]2013 Benchmarking Calculations'!$I$3:$CC$76,71,FALSE)</f>
        <v>154</v>
      </c>
      <c r="K971" s="18">
        <f t="shared" si="195"/>
        <v>79</v>
      </c>
      <c r="L971" s="19">
        <f>HLOOKUP(A971,'[19]2013 PBR data '!B$42:BV$68,15,FALSE)/HLOOKUP(A971,'[19]2013 PBR data '!B$42:BV$68,13,FALSE)</f>
        <v>0.51298701298701299</v>
      </c>
      <c r="M971" s="9"/>
      <c r="N971" s="9"/>
    </row>
    <row r="972" spans="1:14" s="15" customFormat="1">
      <c r="A972" s="15" t="s">
        <v>85</v>
      </c>
      <c r="B972" s="15">
        <v>3056</v>
      </c>
      <c r="C972" s="43">
        <v>2014</v>
      </c>
      <c r="D972" s="15">
        <v>3</v>
      </c>
      <c r="E972" s="17">
        <f>VLOOKUP(A972,[20]Result!$B$12:$D$84,2,FALSE)/10^3</f>
        <v>2466.576</v>
      </c>
      <c r="F972" s="41">
        <f t="shared" si="194"/>
        <v>1.2030671041042156</v>
      </c>
      <c r="G972" s="44">
        <f>VLOOKUP(A972,'[21]General transpose'!$A$1:$AF$73,26,FALSE)/10^3</f>
        <v>35.857999999999997</v>
      </c>
      <c r="H972" s="16">
        <f t="shared" si="196"/>
        <v>48.436</v>
      </c>
      <c r="I972" s="18">
        <f>VLOOKUP(A972,'[21]General transpose'!$A$1:$AF$73,8,FALSE)</f>
        <v>6935</v>
      </c>
      <c r="J972" s="18">
        <f>VLOOKUP(A972,'[21]General transpose'!$A$1:$AF$73,16,FALSE)</f>
        <v>133</v>
      </c>
      <c r="K972" s="18">
        <f t="shared" si="195"/>
        <v>54</v>
      </c>
      <c r="L972" s="19">
        <f>VLOOKUP(A972,'[21]General transpose'!$A$1:$AF$73,17,FALSE)</f>
        <v>0.40601503759398494</v>
      </c>
      <c r="M972" s="9"/>
      <c r="N972" s="9"/>
    </row>
    <row r="973" spans="1:14" s="15" customFormat="1">
      <c r="A973" s="15" t="s">
        <v>85</v>
      </c>
      <c r="B973" s="15">
        <v>3056</v>
      </c>
      <c r="C973" s="43">
        <v>2015</v>
      </c>
      <c r="D973" s="15">
        <v>3</v>
      </c>
      <c r="E973" s="17">
        <f>VLOOKUP(A972,[20]Result!$B$12:$D$84,3,FALSE)/10^3</f>
        <v>2468.0450000000001</v>
      </c>
      <c r="F973" s="41">
        <f t="shared" si="194"/>
        <v>1.2312762402864634</v>
      </c>
      <c r="G973" s="44">
        <f>VLOOKUP(A972,'[22]General transpose'!$A$1:$AF$73,26,FALSE)/10^3</f>
        <v>37.921999999999997</v>
      </c>
      <c r="H973" s="16">
        <f t="shared" si="196"/>
        <v>48.436</v>
      </c>
      <c r="I973" s="18">
        <f>VLOOKUP(A972,'[22]General transpose'!$A$1:$AF$73,8,FALSE)</f>
        <v>7059</v>
      </c>
      <c r="J973" s="18">
        <f>VLOOKUP(A972,'[22]General transpose'!$A$1:$AF$73,16,FALSE)</f>
        <v>134</v>
      </c>
      <c r="K973" s="18">
        <f t="shared" si="195"/>
        <v>56</v>
      </c>
      <c r="L973" s="19">
        <f>VLOOKUP(A972,'[22]General transpose'!$A$1:$AF$73,17,FALSE)</f>
        <v>0.41791044776119401</v>
      </c>
      <c r="M973" s="9"/>
      <c r="N973" s="9"/>
    </row>
    <row r="974" spans="1:14" s="15" customFormat="1">
      <c r="A974" s="15" t="s">
        <v>85</v>
      </c>
      <c r="B974" s="15">
        <v>3056</v>
      </c>
      <c r="C974" s="43">
        <v>2016</v>
      </c>
      <c r="D974" s="15">
        <v>3</v>
      </c>
      <c r="E974" s="17">
        <f>'[14]2016 Benchmarking Calculations'!$BS$8/1000</f>
        <v>2676.3472000000002</v>
      </c>
      <c r="F974" s="41">
        <f t="shared" si="194"/>
        <v>1.2455044937824149</v>
      </c>
      <c r="G974" s="44">
        <f>HLOOKUP(A974,[23]General!$A$1:$BQ$23,22,FALSE)/10^3</f>
        <v>39.302</v>
      </c>
      <c r="H974" s="16">
        <f t="shared" si="196"/>
        <v>48.436</v>
      </c>
      <c r="I974" s="18">
        <f>HLOOKUP(A974,[23]General!$A$1:$BQ$23,9,FALSE)</f>
        <v>7095</v>
      </c>
      <c r="J974" s="18">
        <f>HLOOKUP(A974,[23]General!$A$1:$BQ$23,17,FALSE)</f>
        <v>134</v>
      </c>
      <c r="K974" s="18">
        <f t="shared" si="195"/>
        <v>56</v>
      </c>
      <c r="L974" s="19">
        <f>HLOOKUP(A974,[23]General!$A$1:$BQ$23,18,FALSE)</f>
        <v>0.41791044776119401</v>
      </c>
      <c r="M974" s="9"/>
      <c r="N974" s="9"/>
    </row>
    <row r="975" spans="1:14" s="15" customFormat="1">
      <c r="A975" s="15" t="s">
        <v>85</v>
      </c>
      <c r="B975" s="15">
        <v>3056</v>
      </c>
      <c r="C975" s="43">
        <v>2017</v>
      </c>
      <c r="D975" s="15">
        <v>3</v>
      </c>
      <c r="E975" s="17">
        <f>'[14]2017 Benchmarking Calculations'!$BU$9/1000</f>
        <v>2631.31612</v>
      </c>
      <c r="F975" s="41">
        <f t="shared" si="194"/>
        <v>1.2674505553724562</v>
      </c>
      <c r="G975" s="44">
        <f>'[14]2017 Benchmarking Calculations'!$BU$60/1000</f>
        <v>35.939</v>
      </c>
      <c r="H975" s="16">
        <f t="shared" si="196"/>
        <v>48.436</v>
      </c>
      <c r="I975" s="18">
        <f>'[14]2017 Benchmarking Calculations'!$BU$56</f>
        <v>7201</v>
      </c>
      <c r="J975" s="18">
        <f>'[14]2017 Utility Characteristics'!$BL$79</f>
        <v>134</v>
      </c>
      <c r="K975" s="15">
        <f>'[14]2017 Utility Characteristics'!$BL$81</f>
        <v>59</v>
      </c>
      <c r="L975" s="19">
        <f>K975/J975</f>
        <v>0.44029850746268656</v>
      </c>
      <c r="M975" s="9"/>
      <c r="N975" s="9"/>
    </row>
    <row r="976" spans="1:14" s="15" customFormat="1">
      <c r="A976" s="15" t="s">
        <v>85</v>
      </c>
      <c r="B976" s="15">
        <v>3056</v>
      </c>
      <c r="C976" s="43">
        <v>2018</v>
      </c>
      <c r="D976" s="15">
        <v>3</v>
      </c>
      <c r="E976" s="17">
        <f>'[16]2018 Benchmarking Calculations'!$BU$10/1000</f>
        <v>2854.6833200000001</v>
      </c>
      <c r="F976" s="41">
        <f t="shared" si="194"/>
        <v>1.2994718602728874</v>
      </c>
      <c r="G976" s="44">
        <f>'[16]2018 Benchmarking Calculations'!$BU$61/1000</f>
        <v>36.174999999999997</v>
      </c>
      <c r="H976" s="16">
        <f t="shared" si="196"/>
        <v>48.436</v>
      </c>
      <c r="I976" s="18">
        <f>'[16]2018 Benchmarking Calculations'!$BU$57</f>
        <v>7123</v>
      </c>
      <c r="J976" s="18">
        <f>'[16]2018 Utility Characteristics'!$BO$103</f>
        <v>136</v>
      </c>
      <c r="K976" s="18">
        <f>'[16]2018 Utility Characteristics'!$BO$105</f>
        <v>60</v>
      </c>
      <c r="L976" s="19">
        <f>K976/J976</f>
        <v>0.44117647058823528</v>
      </c>
      <c r="M976" s="9"/>
      <c r="N976" s="9"/>
    </row>
    <row r="977" spans="1:14" s="15" customFormat="1">
      <c r="A977" s="15" t="s">
        <v>85</v>
      </c>
      <c r="B977" s="15">
        <v>3056</v>
      </c>
      <c r="C977" s="43">
        <v>2019</v>
      </c>
      <c r="D977" s="15">
        <v>3</v>
      </c>
      <c r="E977" s="17">
        <f>'[17]2019 Benchmarking Calculations'!$BU$10/1000</f>
        <v>2767.7630200000003</v>
      </c>
      <c r="F977" s="41">
        <f t="shared" si="194"/>
        <v>1.3352608354138498</v>
      </c>
      <c r="G977" s="44">
        <f>'[17]2019 Benchmarking Calculations'!$BU$61/1000</f>
        <v>34.046999999999997</v>
      </c>
      <c r="H977" s="16">
        <f t="shared" si="196"/>
        <v>48.436</v>
      </c>
      <c r="I977" s="18">
        <f>'[17]2019 Benchmarking Calculations'!$BU$57</f>
        <v>7129</v>
      </c>
      <c r="J977" s="18">
        <f>'[17]2019 Utility Characteristics'!$BO$13</f>
        <v>132</v>
      </c>
      <c r="K977" s="18">
        <f>'[17]2019 Utility Characteristics'!$BO$15</f>
        <v>61</v>
      </c>
      <c r="L977" s="19">
        <f>K977/J977</f>
        <v>0.4621212121212121</v>
      </c>
      <c r="M977" s="9"/>
      <c r="N977" s="9"/>
    </row>
    <row r="978" spans="1:14">
      <c r="A978" s="15" t="str">
        <f>'[18]2. BM Database'!B721</f>
        <v>TORONTO HYDRO-ELECTRIC SYSTEM LIMITED</v>
      </c>
      <c r="B978" s="15">
        <v>3002</v>
      </c>
      <c r="C978" s="43">
        <f>'[18]2. BM Database'!C721</f>
        <v>2005</v>
      </c>
      <c r="D978" s="15">
        <v>3</v>
      </c>
      <c r="E978" s="17">
        <f>'[18]2. BM Database'!F721/1000</f>
        <v>136233.68462000001</v>
      </c>
      <c r="F978" s="41">
        <f t="shared" ref="F978:F992" si="197">F963</f>
        <v>1</v>
      </c>
      <c r="G978" s="44">
        <f>'[18]2. BM Database'!P721/1000</f>
        <v>5005.2049999999999</v>
      </c>
      <c r="H978" s="16">
        <f>G978</f>
        <v>5005.2049999999999</v>
      </c>
      <c r="I978" s="18">
        <f>'[18]2. BM Database'!L721</f>
        <v>676678</v>
      </c>
      <c r="J978" s="18">
        <f>'[25]2. BM Database'!$R721</f>
        <v>20422</v>
      </c>
      <c r="K978" s="18">
        <f t="shared" ref="K978:K988" si="198">J978*L978</f>
        <v>11288</v>
      </c>
      <c r="L978" s="19">
        <f>'[25]2. BM Database'!$T721</f>
        <v>0.55273724414846737</v>
      </c>
      <c r="M978" s="9"/>
      <c r="N978" s="9"/>
    </row>
    <row r="979" spans="1:14">
      <c r="A979" s="15" t="str">
        <f>'[18]2. BM Database'!B722</f>
        <v>TORONTO HYDRO-ELECTRIC SYSTEM LIMITED</v>
      </c>
      <c r="B979" s="15">
        <v>3002</v>
      </c>
      <c r="C979" s="43">
        <f>'[18]2. BM Database'!C722</f>
        <v>2006</v>
      </c>
      <c r="D979" s="15">
        <v>3</v>
      </c>
      <c r="E979" s="17">
        <f>'[18]2. BM Database'!F722/1000</f>
        <v>139336.87824000002</v>
      </c>
      <c r="F979" s="41">
        <f t="shared" si="197"/>
        <v>1.0181607380073696</v>
      </c>
      <c r="G979" s="44">
        <f>'[18]2. BM Database'!P722/1000</f>
        <v>5018.2780000000002</v>
      </c>
      <c r="H979" s="16">
        <f>MAX(G979,H978)</f>
        <v>5018.2780000000002</v>
      </c>
      <c r="I979" s="18">
        <f>'[18]2. BM Database'!L722</f>
        <v>678106</v>
      </c>
      <c r="J979" s="18">
        <f>'[25]2. BM Database'!$R722</f>
        <v>16700</v>
      </c>
      <c r="K979" s="18">
        <f t="shared" si="198"/>
        <v>7600</v>
      </c>
      <c r="L979" s="19">
        <f>'[25]2. BM Database'!$T722</f>
        <v>0.45508982035928142</v>
      </c>
      <c r="M979" s="9"/>
      <c r="N979" s="9"/>
    </row>
    <row r="980" spans="1:14">
      <c r="A980" s="15" t="str">
        <f>'[18]2. BM Database'!B723</f>
        <v>TORONTO HYDRO-ELECTRIC SYSTEM LIMITED</v>
      </c>
      <c r="B980" s="15">
        <v>3002</v>
      </c>
      <c r="C980" s="43">
        <f>'[18]2. BM Database'!C723</f>
        <v>2007</v>
      </c>
      <c r="D980" s="15">
        <v>3</v>
      </c>
      <c r="E980" s="17">
        <f>'[18]2. BM Database'!F723/1000</f>
        <v>151045.66658000002</v>
      </c>
      <c r="F980" s="41">
        <f t="shared" si="197"/>
        <v>1.0531931014872313</v>
      </c>
      <c r="G980" s="44">
        <f>'[18]2. BM Database'!P723/1000</f>
        <v>4788.3410000000003</v>
      </c>
      <c r="H980" s="16">
        <f t="shared" ref="H980:H992" si="199">MAX(G980,H979)</f>
        <v>5018.2780000000002</v>
      </c>
      <c r="I980" s="18">
        <f>'[18]2. BM Database'!L723</f>
        <v>679913</v>
      </c>
      <c r="J980" s="18">
        <f>'[25]2. BM Database'!$R723</f>
        <v>16700</v>
      </c>
      <c r="K980" s="18">
        <f t="shared" si="198"/>
        <v>7600</v>
      </c>
      <c r="L980" s="19">
        <f>'[25]2. BM Database'!$T723</f>
        <v>0.45508982035928142</v>
      </c>
      <c r="M980" s="9"/>
      <c r="N980" s="9"/>
    </row>
    <row r="981" spans="1:14">
      <c r="A981" s="15" t="str">
        <f>'[18]2. BM Database'!B724</f>
        <v>TORONTO HYDRO-ELECTRIC SYSTEM LIMITED</v>
      </c>
      <c r="B981" s="15">
        <v>3002</v>
      </c>
      <c r="C981" s="43">
        <f>'[18]2. BM Database'!C724</f>
        <v>2008</v>
      </c>
      <c r="D981" s="15">
        <v>3</v>
      </c>
      <c r="E981" s="17">
        <f>'[18]2. BM Database'!F724/1000</f>
        <v>160730.46316999997</v>
      </c>
      <c r="F981" s="41">
        <f t="shared" si="197"/>
        <v>1.078564603993923</v>
      </c>
      <c r="G981" s="44">
        <f>'[18]2. BM Database'!P724/1000</f>
        <v>4564.3490000000002</v>
      </c>
      <c r="H981" s="16">
        <f t="shared" si="199"/>
        <v>5018.2780000000002</v>
      </c>
      <c r="I981" s="18">
        <f>'[18]2. BM Database'!L724</f>
        <v>684145</v>
      </c>
      <c r="J981" s="18">
        <f>'[18]2. BM Database'!R724</f>
        <v>9816</v>
      </c>
      <c r="K981" s="18">
        <f t="shared" si="198"/>
        <v>5598</v>
      </c>
      <c r="L981" s="19">
        <f>'[18]2. BM Database'!T724</f>
        <v>0.57029339853300731</v>
      </c>
      <c r="M981" s="9"/>
      <c r="N981" s="9"/>
    </row>
    <row r="982" spans="1:14">
      <c r="A982" s="15" t="str">
        <f>'[18]2. BM Database'!B725</f>
        <v>TORONTO HYDRO-ELECTRIC SYSTEM LIMITED</v>
      </c>
      <c r="B982" s="15">
        <v>3002</v>
      </c>
      <c r="C982" s="43">
        <f>'[18]2. BM Database'!C725</f>
        <v>2009</v>
      </c>
      <c r="D982" s="15">
        <v>3</v>
      </c>
      <c r="E982" s="17">
        <f>'[18]2. BM Database'!F725/1000</f>
        <v>171291.28877000001</v>
      </c>
      <c r="F982" s="41">
        <f t="shared" si="197"/>
        <v>1.0915070880241431</v>
      </c>
      <c r="G982" s="44">
        <f>'[18]2. BM Database'!P725/1000</f>
        <v>4607.3459999999995</v>
      </c>
      <c r="H982" s="16">
        <f t="shared" si="199"/>
        <v>5018.2780000000002</v>
      </c>
      <c r="I982" s="18">
        <f>'[18]2. BM Database'!L725</f>
        <v>689138</v>
      </c>
      <c r="J982" s="18">
        <f>'[18]2. BM Database'!R725</f>
        <v>9794</v>
      </c>
      <c r="K982" s="18">
        <f t="shared" si="198"/>
        <v>5641</v>
      </c>
      <c r="L982" s="19">
        <f>'[18]2. BM Database'!T725</f>
        <v>0.57596487645497241</v>
      </c>
      <c r="M982" s="9"/>
      <c r="N982" s="9"/>
    </row>
    <row r="983" spans="1:14">
      <c r="A983" s="15" t="str">
        <f>'[18]2. BM Database'!B726</f>
        <v>TORONTO HYDRO-ELECTRIC SYSTEM LIMITED</v>
      </c>
      <c r="B983" s="15">
        <v>3002</v>
      </c>
      <c r="C983" s="43">
        <f>'[18]2. BM Database'!C726</f>
        <v>2010</v>
      </c>
      <c r="D983" s="15">
        <v>3</v>
      </c>
      <c r="E983" s="17">
        <f>'[18]2. BM Database'!F726/1000</f>
        <v>198558.92424000002</v>
      </c>
      <c r="F983" s="41">
        <f t="shared" si="197"/>
        <v>1.1243125351578573</v>
      </c>
      <c r="G983" s="44">
        <f>'[18]2. BM Database'!P726/1000</f>
        <v>4785.8760000000002</v>
      </c>
      <c r="H983" s="16">
        <f t="shared" si="199"/>
        <v>5018.2780000000002</v>
      </c>
      <c r="I983" s="18">
        <f>'[18]2. BM Database'!L726</f>
        <v>700386</v>
      </c>
      <c r="J983" s="18">
        <f>'[18]2. BM Database'!R726</f>
        <v>9990</v>
      </c>
      <c r="K983" s="18">
        <f t="shared" si="198"/>
        <v>5776</v>
      </c>
      <c r="L983" s="19">
        <f>'[18]2. BM Database'!T726</f>
        <v>0.57817817817817818</v>
      </c>
      <c r="M983" s="9"/>
      <c r="N983" s="9"/>
    </row>
    <row r="984" spans="1:14">
      <c r="A984" s="15" t="str">
        <f>'[18]2. BM Database'!B727</f>
        <v>TORONTO HYDRO-ELECTRIC SYSTEM LIMITED</v>
      </c>
      <c r="B984" s="15">
        <v>3002</v>
      </c>
      <c r="C984" s="43">
        <f>'[18]2. BM Database'!C727</f>
        <v>2011</v>
      </c>
      <c r="D984" s="15">
        <v>3</v>
      </c>
      <c r="E984" s="17">
        <f>'[18]2. BM Database'!F727/1000</f>
        <v>219422.07525000002</v>
      </c>
      <c r="F984" s="41">
        <f t="shared" si="197"/>
        <v>1.1430978626415853</v>
      </c>
      <c r="G984" s="44">
        <f>'[18]2. BM Database'!P727/1000</f>
        <v>4919.1499999999996</v>
      </c>
      <c r="H984" s="16">
        <f t="shared" si="199"/>
        <v>5018.2780000000002</v>
      </c>
      <c r="I984" s="18">
        <f>'[18]2. BM Database'!L727</f>
        <v>709323</v>
      </c>
      <c r="J984" s="18">
        <f>'[18]2. BM Database'!R727</f>
        <v>10061</v>
      </c>
      <c r="K984" s="18">
        <f t="shared" si="198"/>
        <v>5893</v>
      </c>
      <c r="L984" s="19">
        <f>'[18]2. BM Database'!T727</f>
        <v>0.5857270649040851</v>
      </c>
      <c r="M984" s="9"/>
      <c r="N984" s="9"/>
    </row>
    <row r="985" spans="1:14">
      <c r="A985" s="15" t="str">
        <f>'[18]2. BM Database'!B728</f>
        <v>TORONTO HYDRO-ELECTRIC SYSTEM LIMITED</v>
      </c>
      <c r="B985" s="15">
        <v>3002</v>
      </c>
      <c r="C985" s="43">
        <f>'[18]2. BM Database'!C728</f>
        <v>2012</v>
      </c>
      <c r="D985" s="15">
        <v>3</v>
      </c>
      <c r="E985" s="17">
        <f>'[18]2. BM Database'!F728/1000</f>
        <v>211458.81523999994</v>
      </c>
      <c r="F985" s="41">
        <f t="shared" si="197"/>
        <v>1.160126854517312</v>
      </c>
      <c r="G985" s="44">
        <f>'[18]2. BM Database'!P728/1000</f>
        <v>4829.6270000000004</v>
      </c>
      <c r="H985" s="16">
        <f t="shared" si="199"/>
        <v>5018.2780000000002</v>
      </c>
      <c r="I985" s="18">
        <f>'[18]2. BM Database'!L728</f>
        <v>718661</v>
      </c>
      <c r="J985" s="18">
        <f>'[18]2. BM Database'!R728</f>
        <v>9913</v>
      </c>
      <c r="K985" s="18">
        <f t="shared" si="198"/>
        <v>5764</v>
      </c>
      <c r="L985" s="19">
        <f>'[18]2. BM Database'!T728</f>
        <v>0.58145869060829214</v>
      </c>
      <c r="M985" s="9"/>
      <c r="N985" s="9"/>
    </row>
    <row r="986" spans="1:14" s="15" customFormat="1">
      <c r="A986" s="15" t="s">
        <v>86</v>
      </c>
      <c r="B986" s="15">
        <v>3002</v>
      </c>
      <c r="C986" s="43">
        <v>2013</v>
      </c>
      <c r="D986" s="15">
        <v>3</v>
      </c>
      <c r="E986" s="17">
        <f>HLOOKUP(A986,'[19]2013 Benchmarking Calculations'!$I$3:$CC$76,6,FALSE)/1000</f>
        <v>232504.07309999995</v>
      </c>
      <c r="F986" s="41">
        <f t="shared" si="197"/>
        <v>1.178602141578931</v>
      </c>
      <c r="G986" s="44">
        <f>HLOOKUP(A986,'[19]2013 Benchmarking Calculations'!$I$3:$CC$76,57,FALSE)/1000</f>
        <v>4914.8980000000001</v>
      </c>
      <c r="H986" s="16">
        <f t="shared" si="199"/>
        <v>5018.2780000000002</v>
      </c>
      <c r="I986" s="18">
        <f>HLOOKUP(A986,'[19]2013 Benchmarking Calculations'!$I$3:$CC$76,53,FALSE)</f>
        <v>734576</v>
      </c>
      <c r="J986" s="18">
        <f>HLOOKUP(A986,'[19]2013 Benchmarking Calculations'!$I$3:$CC$76,71,FALSE)</f>
        <v>10160</v>
      </c>
      <c r="K986" s="18">
        <f t="shared" si="198"/>
        <v>6019</v>
      </c>
      <c r="L986" s="19">
        <f>HLOOKUP(A986,'[19]2013 PBR data '!B$42:BV$68,15,FALSE)/HLOOKUP(A986,'[19]2013 PBR data '!B$42:BV$68,13,FALSE)</f>
        <v>0.5924212598425197</v>
      </c>
      <c r="M986" s="9"/>
      <c r="N986" s="9"/>
    </row>
    <row r="987" spans="1:14" s="15" customFormat="1">
      <c r="A987" s="15" t="s">
        <v>86</v>
      </c>
      <c r="B987" s="15">
        <v>3002</v>
      </c>
      <c r="C987" s="43">
        <v>2014</v>
      </c>
      <c r="D987" s="15">
        <v>3</v>
      </c>
      <c r="E987" s="17">
        <f>VLOOKUP(A987,[20]Result!$B$12:$D$84,2,FALSE)/10^3</f>
        <v>228241.69399999999</v>
      </c>
      <c r="F987" s="41">
        <f t="shared" si="197"/>
        <v>1.2030671041042156</v>
      </c>
      <c r="G987" s="44">
        <f>VLOOKUP(A987,'[21]General transpose'!$A$1:$AF$73,26,FALSE)/10^3</f>
        <v>4273.5039999999999</v>
      </c>
      <c r="H987" s="16">
        <f t="shared" si="199"/>
        <v>5018.2780000000002</v>
      </c>
      <c r="I987" s="18">
        <f>VLOOKUP(A987,'[21]General transpose'!$A$1:$AF$73,8,FALSE)</f>
        <v>744252</v>
      </c>
      <c r="J987" s="18">
        <f>VLOOKUP(A987,'[21]General transpose'!$A$1:$AF$73,16,FALSE)</f>
        <v>10184</v>
      </c>
      <c r="K987" s="18">
        <f t="shared" si="198"/>
        <v>6065</v>
      </c>
      <c r="L987" s="19">
        <f>VLOOKUP(A987,'[21]General transpose'!$A$1:$AF$73,17,FALSE)</f>
        <v>0.59554202670856249</v>
      </c>
      <c r="M987" s="9"/>
      <c r="N987" s="9"/>
    </row>
    <row r="988" spans="1:14" s="15" customFormat="1">
      <c r="A988" s="15" t="s">
        <v>86</v>
      </c>
      <c r="B988" s="15">
        <v>3002</v>
      </c>
      <c r="C988" s="43">
        <v>2015</v>
      </c>
      <c r="D988" s="15">
        <v>3</v>
      </c>
      <c r="E988" s="17">
        <f>VLOOKUP(A987,[20]Result!$B$12:$D$84,3,FALSE)/10^3</f>
        <v>228941.345</v>
      </c>
      <c r="F988" s="41">
        <f t="shared" si="197"/>
        <v>1.2312762402864634</v>
      </c>
      <c r="G988" s="44">
        <f>VLOOKUP(A987,'[22]General transpose'!$A$1:$AF$73,26,FALSE)/10^3</f>
        <v>4404.3819999999996</v>
      </c>
      <c r="H988" s="16">
        <f t="shared" si="199"/>
        <v>5018.2780000000002</v>
      </c>
      <c r="I988" s="18">
        <f>VLOOKUP(A987,'[22]General transpose'!$A$1:$AF$73,8,FALSE)</f>
        <v>758311</v>
      </c>
      <c r="J988" s="18">
        <f>VLOOKUP(A987,'[22]General transpose'!$A$1:$AF$73,16,FALSE)</f>
        <v>10348</v>
      </c>
      <c r="K988" s="18">
        <f t="shared" si="198"/>
        <v>6243</v>
      </c>
      <c r="L988" s="19">
        <f>VLOOKUP(A987,'[22]General transpose'!$A$1:$AF$73,17,FALSE)</f>
        <v>0.60330498647081565</v>
      </c>
      <c r="M988" s="9"/>
      <c r="N988" s="9"/>
    </row>
    <row r="989" spans="1:14" s="15" customFormat="1">
      <c r="A989" s="15" t="s">
        <v>86</v>
      </c>
      <c r="B989" s="15">
        <v>3002</v>
      </c>
      <c r="C989" s="43">
        <v>2016</v>
      </c>
      <c r="D989" s="15">
        <v>3</v>
      </c>
      <c r="E989" s="17">
        <f>'[14]2016 Benchmarking Calculations'!$BT$8/1000</f>
        <v>232383.92843999996</v>
      </c>
      <c r="F989" s="41">
        <f t="shared" si="197"/>
        <v>1.2455044937824149</v>
      </c>
      <c r="G989" s="44">
        <f>HLOOKUP(A989,[23]General!$A$1:$BQ$23,22,FALSE)/10^3</f>
        <v>4591.5590000000002</v>
      </c>
      <c r="H989" s="16">
        <f t="shared" si="199"/>
        <v>5018.2780000000002</v>
      </c>
      <c r="I989" s="18">
        <f>HLOOKUP(A989,[23]General!$A$1:$BQ$23,9,FALSE)</f>
        <v>761920</v>
      </c>
      <c r="J989" s="18">
        <f>'[14]2016 Benchmarking Calculations'!$BT$73</f>
        <v>28605</v>
      </c>
      <c r="K989" s="18">
        <f>'[14]2016 Utility Characteristics'!$BM$47</f>
        <v>13044</v>
      </c>
      <c r="L989" s="19">
        <f>K989/J989</f>
        <v>0.45600419507079182</v>
      </c>
      <c r="M989" s="9"/>
      <c r="N989" s="9"/>
    </row>
    <row r="990" spans="1:14" s="15" customFormat="1">
      <c r="A990" s="15" t="s">
        <v>86</v>
      </c>
      <c r="B990" s="15">
        <v>3002</v>
      </c>
      <c r="C990" s="43">
        <v>2017</v>
      </c>
      <c r="D990" s="15">
        <v>3</v>
      </c>
      <c r="E990" s="17">
        <f>'[14]2017 Benchmarking Calculations'!$BV$9/1000</f>
        <v>234078.55725999997</v>
      </c>
      <c r="F990" s="41">
        <f t="shared" si="197"/>
        <v>1.2674505553724562</v>
      </c>
      <c r="G990" s="44">
        <f>[15]General!$BF$20/1000</f>
        <v>4246.6880000000001</v>
      </c>
      <c r="H990" s="16">
        <f t="shared" si="199"/>
        <v>5018.2780000000002</v>
      </c>
      <c r="I990" s="18">
        <f>[15]General!$BF$9</f>
        <v>767946</v>
      </c>
      <c r="J990" s="18">
        <f>[15]General!$BF$17</f>
        <v>28763</v>
      </c>
      <c r="K990" s="18">
        <f>J990*L990</f>
        <v>13220</v>
      </c>
      <c r="L990" s="19">
        <f>[15]General!$BF$16/[15]General!$BF$17</f>
        <v>0.45961825956958591</v>
      </c>
      <c r="M990" s="9"/>
      <c r="N990" s="9"/>
    </row>
    <row r="991" spans="1:14" s="15" customFormat="1">
      <c r="A991" s="15" t="s">
        <v>86</v>
      </c>
      <c r="B991" s="15">
        <v>3002</v>
      </c>
      <c r="C991" s="43">
        <v>2018</v>
      </c>
      <c r="D991" s="15">
        <v>3</v>
      </c>
      <c r="E991" s="17">
        <f>'[16]2018 Benchmarking Calculations'!$BV$10/1000</f>
        <v>249021.33004999999</v>
      </c>
      <c r="F991" s="41">
        <f t="shared" si="197"/>
        <v>1.2994718602728874</v>
      </c>
      <c r="G991" s="44">
        <f>'[16]2018 Benchmarking Calculations'!$BV$61/1000</f>
        <v>4559.5320000000002</v>
      </c>
      <c r="H991" s="16">
        <f t="shared" si="199"/>
        <v>5018.2780000000002</v>
      </c>
      <c r="I991" s="18">
        <f>'[16]2018 Benchmarking Calculations'!$BV$57</f>
        <v>772624</v>
      </c>
      <c r="J991" s="18">
        <f>'[16]2018 Utility Characteristics'!$BP$103</f>
        <v>28722</v>
      </c>
      <c r="K991" s="18">
        <f>'[16]2018 Utility Characteristics'!$BP$105</f>
        <v>13207</v>
      </c>
      <c r="L991" s="19">
        <f>K991/J991</f>
        <v>0.4598217394331871</v>
      </c>
      <c r="M991" s="9"/>
      <c r="N991" s="9"/>
    </row>
    <row r="992" spans="1:14" s="15" customFormat="1">
      <c r="A992" s="15" t="s">
        <v>86</v>
      </c>
      <c r="B992" s="15">
        <v>3002</v>
      </c>
      <c r="C992" s="43">
        <v>2019</v>
      </c>
      <c r="D992" s="15">
        <v>3</v>
      </c>
      <c r="E992" s="17">
        <f>'[17]2019 Benchmarking Calculations'!$BV$10/1000</f>
        <v>253196.23609999998</v>
      </c>
      <c r="F992" s="41">
        <f t="shared" si="197"/>
        <v>1.3352608354138498</v>
      </c>
      <c r="G992" s="44">
        <f>'[17]2019 Benchmarking Calculations'!$BV$61/1000</f>
        <v>4271.8509999999997</v>
      </c>
      <c r="H992" s="16">
        <f t="shared" si="199"/>
        <v>5018.2780000000002</v>
      </c>
      <c r="I992" s="18">
        <f>'[17]2019 Benchmarking Calculations'!$BV$57</f>
        <v>777904</v>
      </c>
      <c r="J992" s="18">
        <f>'[17]2019 Utility Characteristics'!$BP$13</f>
        <v>28887</v>
      </c>
      <c r="K992" s="18">
        <f>'[17]2019 Utility Characteristics'!$BP$15</f>
        <v>13407</v>
      </c>
      <c r="L992" s="19">
        <f>K992/J992</f>
        <v>0.46411880776820025</v>
      </c>
      <c r="M992" s="9"/>
      <c r="N992" s="9"/>
    </row>
    <row r="993" spans="1:14">
      <c r="A993" s="15" t="str">
        <f>'[18]2. BM Database'!B732</f>
        <v>VERIDIAN CONNECTIONS INC.</v>
      </c>
      <c r="B993" s="15">
        <v>3009</v>
      </c>
      <c r="C993" s="43">
        <f>'[18]2. BM Database'!C732</f>
        <v>2005</v>
      </c>
      <c r="D993" s="15">
        <v>3</v>
      </c>
      <c r="E993" s="17">
        <f>'[18]2. BM Database'!F732/1000</f>
        <v>18104.751</v>
      </c>
      <c r="F993" s="41">
        <f t="shared" ref="F993:F1007" si="200">F978</f>
        <v>1</v>
      </c>
      <c r="G993" s="44">
        <f>'[18]2. BM Database'!P732/1000</f>
        <v>477.43099999999998</v>
      </c>
      <c r="H993" s="16">
        <f>G993</f>
        <v>477.43099999999998</v>
      </c>
      <c r="I993" s="18">
        <f>'[18]2. BM Database'!L732</f>
        <v>106730</v>
      </c>
      <c r="J993" s="18">
        <f>'[18]2. BM Database'!R732</f>
        <v>1927</v>
      </c>
      <c r="K993" s="18">
        <f t="shared" ref="K993:K1004" si="201">J993*L993</f>
        <v>583</v>
      </c>
      <c r="L993" s="19">
        <f>'[18]2. BM Database'!T732</f>
        <v>0.30254281266216915</v>
      </c>
      <c r="M993" s="9"/>
      <c r="N993" s="9"/>
    </row>
    <row r="994" spans="1:14">
      <c r="A994" s="15" t="str">
        <f>'[18]2. BM Database'!B733</f>
        <v>VERIDIAN CONNECTIONS INC.</v>
      </c>
      <c r="B994" s="15">
        <v>3009</v>
      </c>
      <c r="C994" s="43">
        <f>'[18]2. BM Database'!C733</f>
        <v>2006</v>
      </c>
      <c r="D994" s="15">
        <v>3</v>
      </c>
      <c r="E994" s="17">
        <f>'[18]2. BM Database'!F733/1000</f>
        <v>19335.501049999999</v>
      </c>
      <c r="F994" s="41">
        <f t="shared" si="200"/>
        <v>1.0181607380073696</v>
      </c>
      <c r="G994" s="44">
        <f>'[18]2. BM Database'!P733/1000</f>
        <v>506.6</v>
      </c>
      <c r="H994" s="16">
        <f>MAX(G994,H993)</f>
        <v>506.6</v>
      </c>
      <c r="I994" s="18">
        <f>'[18]2. BM Database'!L733</f>
        <v>107231</v>
      </c>
      <c r="J994" s="18">
        <f>'[18]2. BM Database'!R733</f>
        <v>1977</v>
      </c>
      <c r="K994" s="18">
        <f t="shared" si="201"/>
        <v>631</v>
      </c>
      <c r="L994" s="19">
        <f>'[18]2. BM Database'!T733</f>
        <v>0.31917046029337381</v>
      </c>
      <c r="M994" s="9"/>
      <c r="N994" s="9"/>
    </row>
    <row r="995" spans="1:14">
      <c r="A995" s="15" t="str">
        <f>'[18]2. BM Database'!B734</f>
        <v>VERIDIAN CONNECTIONS INC.</v>
      </c>
      <c r="B995" s="15">
        <v>3009</v>
      </c>
      <c r="C995" s="43">
        <f>'[18]2. BM Database'!C734</f>
        <v>2007</v>
      </c>
      <c r="D995" s="15">
        <v>3</v>
      </c>
      <c r="E995" s="17">
        <f>'[18]2. BM Database'!F734/1000</f>
        <v>17090.836010000003</v>
      </c>
      <c r="F995" s="41">
        <f t="shared" si="200"/>
        <v>1.0531931014872313</v>
      </c>
      <c r="G995" s="44">
        <f>'[18]2. BM Database'!P734/1000</f>
        <v>480.2</v>
      </c>
      <c r="H995" s="16">
        <f t="shared" ref="H995:H1007" si="202">MAX(G995,H994)</f>
        <v>506.6</v>
      </c>
      <c r="I995" s="18">
        <f>'[18]2. BM Database'!L734</f>
        <v>109225</v>
      </c>
      <c r="J995" s="18">
        <f>'[18]2. BM Database'!R734</f>
        <v>2066</v>
      </c>
      <c r="K995" s="18">
        <f t="shared" si="201"/>
        <v>680</v>
      </c>
      <c r="L995" s="19">
        <f>'[18]2. BM Database'!T734</f>
        <v>0.32913843175217811</v>
      </c>
      <c r="M995" s="9"/>
      <c r="N995" s="9"/>
    </row>
    <row r="996" spans="1:14">
      <c r="A996" s="15" t="str">
        <f>'[18]2. BM Database'!B735</f>
        <v>VERIDIAN CONNECTIONS INC.</v>
      </c>
      <c r="B996" s="15">
        <v>3009</v>
      </c>
      <c r="C996" s="43">
        <f>'[18]2. BM Database'!C735</f>
        <v>2008</v>
      </c>
      <c r="D996" s="15">
        <v>3</v>
      </c>
      <c r="E996" s="17">
        <f>'[18]2. BM Database'!F735/1000</f>
        <v>18770.883530000003</v>
      </c>
      <c r="F996" s="41">
        <f t="shared" si="200"/>
        <v>1.078564603993923</v>
      </c>
      <c r="G996" s="44">
        <f>'[18]2. BM Database'!P735/1000</f>
        <v>444.39600000000002</v>
      </c>
      <c r="H996" s="16">
        <f t="shared" si="202"/>
        <v>506.6</v>
      </c>
      <c r="I996" s="18">
        <f>'[18]2. BM Database'!L735</f>
        <v>110861</v>
      </c>
      <c r="J996" s="18">
        <f>'[18]2. BM Database'!R735</f>
        <v>2135</v>
      </c>
      <c r="K996" s="18">
        <f t="shared" si="201"/>
        <v>749</v>
      </c>
      <c r="L996" s="19">
        <f>'[18]2. BM Database'!T735</f>
        <v>0.35081967213114756</v>
      </c>
      <c r="M996" s="9"/>
      <c r="N996" s="9"/>
    </row>
    <row r="997" spans="1:14">
      <c r="A997" s="15" t="str">
        <f>'[18]2. BM Database'!B736</f>
        <v>VERIDIAN CONNECTIONS INC.</v>
      </c>
      <c r="B997" s="15">
        <v>3009</v>
      </c>
      <c r="C997" s="43">
        <f>'[18]2. BM Database'!C736</f>
        <v>2009</v>
      </c>
      <c r="D997" s="15">
        <v>3</v>
      </c>
      <c r="E997" s="17">
        <f>'[18]2. BM Database'!F736/1000</f>
        <v>19002.509040000001</v>
      </c>
      <c r="F997" s="41">
        <f t="shared" si="200"/>
        <v>1.0915070880241431</v>
      </c>
      <c r="G997" s="44">
        <f>'[18]2. BM Database'!P736/1000</f>
        <v>488.36500000000001</v>
      </c>
      <c r="H997" s="16">
        <f t="shared" si="202"/>
        <v>506.6</v>
      </c>
      <c r="I997" s="18">
        <f>'[18]2. BM Database'!L736</f>
        <v>111101</v>
      </c>
      <c r="J997" s="18">
        <f>'[18]2. BM Database'!R736</f>
        <v>2201</v>
      </c>
      <c r="K997" s="18">
        <f t="shared" si="201"/>
        <v>921</v>
      </c>
      <c r="L997" s="19">
        <f>'[18]2. BM Database'!T736</f>
        <v>0.41844616083598363</v>
      </c>
      <c r="M997" s="9"/>
      <c r="N997" s="9"/>
    </row>
    <row r="998" spans="1:14">
      <c r="A998" s="15" t="str">
        <f>'[18]2. BM Database'!B737</f>
        <v>VERIDIAN CONNECTIONS INC.</v>
      </c>
      <c r="B998" s="15">
        <v>3009</v>
      </c>
      <c r="C998" s="43">
        <f>'[18]2. BM Database'!C737</f>
        <v>2010</v>
      </c>
      <c r="D998" s="15">
        <v>3</v>
      </c>
      <c r="E998" s="17">
        <f>'[18]2. BM Database'!F737/1000</f>
        <v>19546.947519999998</v>
      </c>
      <c r="F998" s="41">
        <f t="shared" si="200"/>
        <v>1.1243125351578573</v>
      </c>
      <c r="G998" s="44">
        <f>'[18]2. BM Database'!P737/1000</f>
        <v>509.726</v>
      </c>
      <c r="H998" s="16">
        <f t="shared" si="202"/>
        <v>509.726</v>
      </c>
      <c r="I998" s="18">
        <f>'[18]2. BM Database'!L737</f>
        <v>112569</v>
      </c>
      <c r="J998" s="18">
        <f>'[18]2. BM Database'!R737</f>
        <v>2301</v>
      </c>
      <c r="K998" s="18">
        <f t="shared" si="201"/>
        <v>1027</v>
      </c>
      <c r="L998" s="19">
        <f>'[18]2. BM Database'!T737</f>
        <v>0.4463276836158192</v>
      </c>
      <c r="M998" s="9"/>
      <c r="N998" s="9"/>
    </row>
    <row r="999" spans="1:14">
      <c r="A999" s="15" t="str">
        <f>'[18]2. BM Database'!B738</f>
        <v>VERIDIAN CONNECTIONS INC.</v>
      </c>
      <c r="B999" s="15">
        <v>3009</v>
      </c>
      <c r="C999" s="43">
        <f>'[18]2. BM Database'!C738</f>
        <v>2011</v>
      </c>
      <c r="D999" s="15">
        <v>3</v>
      </c>
      <c r="E999" s="17">
        <f>'[18]2. BM Database'!F738/1000</f>
        <v>20541.47897</v>
      </c>
      <c r="F999" s="41">
        <f t="shared" si="200"/>
        <v>1.1430978626415853</v>
      </c>
      <c r="G999" s="44">
        <f>'[18]2. BM Database'!P738/1000</f>
        <v>526.51300000000003</v>
      </c>
      <c r="H999" s="16">
        <f t="shared" si="202"/>
        <v>526.51300000000003</v>
      </c>
      <c r="I999" s="18">
        <f>'[18]2. BM Database'!L738</f>
        <v>113709</v>
      </c>
      <c r="J999" s="18">
        <f>'[18]2. BM Database'!R738</f>
        <v>2409</v>
      </c>
      <c r="K999" s="18">
        <f t="shared" si="201"/>
        <v>1078</v>
      </c>
      <c r="L999" s="19">
        <f>'[18]2. BM Database'!T738</f>
        <v>0.44748858447488582</v>
      </c>
      <c r="M999" s="9"/>
      <c r="N999" s="9"/>
    </row>
    <row r="1000" spans="1:14">
      <c r="A1000" s="15" t="str">
        <f>'[18]2. BM Database'!B739</f>
        <v>VERIDIAN CONNECTIONS INC.</v>
      </c>
      <c r="B1000" s="15">
        <v>3009</v>
      </c>
      <c r="C1000" s="43">
        <f>'[18]2. BM Database'!C739</f>
        <v>2012</v>
      </c>
      <c r="D1000" s="15">
        <v>3</v>
      </c>
      <c r="E1000" s="17">
        <f>'[18]2. BM Database'!F739/1000</f>
        <v>24873.631116302466</v>
      </c>
      <c r="F1000" s="41">
        <f t="shared" si="200"/>
        <v>1.160126854517312</v>
      </c>
      <c r="G1000" s="44">
        <f>'[18]2. BM Database'!P739/1000</f>
        <v>531.36699999999996</v>
      </c>
      <c r="H1000" s="16">
        <f t="shared" si="202"/>
        <v>531.36699999999996</v>
      </c>
      <c r="I1000" s="18">
        <f>'[18]2. BM Database'!L739</f>
        <v>115280</v>
      </c>
      <c r="J1000" s="18">
        <f>'[18]2. BM Database'!R739</f>
        <v>2541</v>
      </c>
      <c r="K1000" s="18">
        <f t="shared" si="201"/>
        <v>1091</v>
      </c>
      <c r="L1000" s="19">
        <f>'[18]2. BM Database'!T739</f>
        <v>0.42935852026761118</v>
      </c>
      <c r="M1000" s="9"/>
      <c r="N1000" s="9"/>
    </row>
    <row r="1001" spans="1:14" s="15" customFormat="1">
      <c r="A1001" s="15" t="s">
        <v>87</v>
      </c>
      <c r="B1001" s="15">
        <v>3009</v>
      </c>
      <c r="C1001" s="43">
        <v>2013</v>
      </c>
      <c r="D1001" s="15">
        <v>3</v>
      </c>
      <c r="E1001" s="17">
        <f>HLOOKUP(A1001,'[19]2013 Benchmarking Calculations'!$I$3:$CC$76,6,FALSE)/1000</f>
        <v>24791.292890000001</v>
      </c>
      <c r="F1001" s="41">
        <f t="shared" si="200"/>
        <v>1.178602141578931</v>
      </c>
      <c r="G1001" s="44">
        <f>HLOOKUP(A1001,'[19]2013 Benchmarking Calculations'!$I$3:$CC$76,57,FALSE)/1000</f>
        <v>516.71</v>
      </c>
      <c r="H1001" s="16">
        <f t="shared" si="202"/>
        <v>531.36699999999996</v>
      </c>
      <c r="I1001" s="18">
        <f>HLOOKUP(A1001,'[19]2013 Benchmarking Calculations'!$I$3:$CC$76,53,FALSE)</f>
        <v>116292</v>
      </c>
      <c r="J1001" s="18">
        <f>HLOOKUP(A1001,'[19]2013 Benchmarking Calculations'!$I$3:$CC$76,71,FALSE)</f>
        <v>2589</v>
      </c>
      <c r="K1001" s="18">
        <f t="shared" si="201"/>
        <v>1114</v>
      </c>
      <c r="L1001" s="19">
        <f>HLOOKUP(A1001,'[19]2013 PBR data '!B$42:BV$68,15,FALSE)/HLOOKUP(A1001,'[19]2013 PBR data '!B$42:BV$68,13,FALSE)</f>
        <v>0.43028196214754733</v>
      </c>
      <c r="M1001" s="9"/>
      <c r="N1001" s="9"/>
    </row>
    <row r="1002" spans="1:14" s="15" customFormat="1">
      <c r="A1002" s="15" t="s">
        <v>87</v>
      </c>
      <c r="B1002" s="15">
        <v>3009</v>
      </c>
      <c r="C1002" s="43">
        <v>2014</v>
      </c>
      <c r="D1002" s="15">
        <v>3</v>
      </c>
      <c r="E1002" s="17">
        <f>VLOOKUP(A1002,[20]Result!$B$12:$D$84,2,FALSE)/10^3</f>
        <v>25228.243999999999</v>
      </c>
      <c r="F1002" s="41">
        <f t="shared" si="200"/>
        <v>1.2030671041042156</v>
      </c>
      <c r="G1002" s="44">
        <f>VLOOKUP(A1002,'[21]General transpose'!$A$1:$AF$73,26,FALSE)/10^3</f>
        <v>445.077</v>
      </c>
      <c r="H1002" s="16">
        <f t="shared" si="202"/>
        <v>531.36699999999996</v>
      </c>
      <c r="I1002" s="18">
        <f>VLOOKUP(A1002,'[21]General transpose'!$A$1:$AF$73,8,FALSE)</f>
        <v>117494</v>
      </c>
      <c r="J1002" s="18">
        <f>VLOOKUP(A1002,'[21]General transpose'!$A$1:$AF$73,16,FALSE)</f>
        <v>2558</v>
      </c>
      <c r="K1002" s="18">
        <f t="shared" si="201"/>
        <v>1106</v>
      </c>
      <c r="L1002" s="19">
        <f>VLOOKUP(A1002,'[21]General transpose'!$A$1:$AF$73,17,FALSE)</f>
        <v>0.43236903831118062</v>
      </c>
      <c r="M1002" s="9"/>
      <c r="N1002" s="9"/>
    </row>
    <row r="1003" spans="1:14" s="15" customFormat="1">
      <c r="A1003" s="15" t="s">
        <v>87</v>
      </c>
      <c r="B1003" s="15">
        <v>3009</v>
      </c>
      <c r="C1003" s="43">
        <v>2015</v>
      </c>
      <c r="D1003" s="15">
        <v>3</v>
      </c>
      <c r="E1003" s="17">
        <f>VLOOKUP(A1002,[20]Result!$B$12:$D$84,3,FALSE)/10^3</f>
        <v>25547.095000000001</v>
      </c>
      <c r="F1003" s="41">
        <f t="shared" si="200"/>
        <v>1.2312762402864634</v>
      </c>
      <c r="G1003" s="44">
        <f>VLOOKUP(A1002,'[22]General transpose'!$A$1:$AF$73,26,FALSE)/10^3</f>
        <v>470.70499999999998</v>
      </c>
      <c r="H1003" s="16">
        <f t="shared" si="202"/>
        <v>531.36699999999996</v>
      </c>
      <c r="I1003" s="18">
        <f>VLOOKUP(A1002,'[22]General transpose'!$A$1:$AF$73,8,FALSE)</f>
        <v>118481</v>
      </c>
      <c r="J1003" s="18">
        <f>VLOOKUP(A1002,'[22]General transpose'!$A$1:$AF$73,16,FALSE)</f>
        <v>2248</v>
      </c>
      <c r="K1003" s="18">
        <f t="shared" si="201"/>
        <v>803</v>
      </c>
      <c r="L1003" s="19">
        <f>VLOOKUP(A1002,'[22]General transpose'!$A$1:$AF$73,17,FALSE)</f>
        <v>0.35720640569395018</v>
      </c>
      <c r="M1003" s="9"/>
      <c r="N1003" s="9"/>
    </row>
    <row r="1004" spans="1:14" s="15" customFormat="1">
      <c r="A1004" s="15" t="s">
        <v>87</v>
      </c>
      <c r="B1004" s="15">
        <v>3009</v>
      </c>
      <c r="C1004" s="43">
        <v>2016</v>
      </c>
      <c r="D1004" s="15">
        <v>3</v>
      </c>
      <c r="E1004" s="17">
        <f>'[14]2016 Benchmarking Calculations'!$BU$8/1000</f>
        <v>26930.113570000001</v>
      </c>
      <c r="F1004" s="41">
        <f t="shared" si="200"/>
        <v>1.2455044937824149</v>
      </c>
      <c r="G1004" s="44">
        <f>HLOOKUP(A1004,[23]General!$A$1:$BQ$23,22,FALSE)/10^3</f>
        <v>494.73099999999999</v>
      </c>
      <c r="H1004" s="16">
        <f t="shared" si="202"/>
        <v>531.36699999999996</v>
      </c>
      <c r="I1004" s="18">
        <f>HLOOKUP(A1004,[23]General!$A$1:$BQ$23,9,FALSE)</f>
        <v>119533</v>
      </c>
      <c r="J1004" s="18">
        <f>HLOOKUP(A1004,[23]General!$A$1:$BQ$23,17,FALSE)</f>
        <v>2571</v>
      </c>
      <c r="K1004" s="18">
        <f t="shared" si="201"/>
        <v>1123</v>
      </c>
      <c r="L1004" s="19">
        <f>HLOOKUP(A1004,[23]General!$A$1:$BQ$23,18,FALSE)</f>
        <v>0.4367950213924543</v>
      </c>
      <c r="M1004" s="9"/>
      <c r="N1004" s="9"/>
    </row>
    <row r="1005" spans="1:14" s="15" customFormat="1">
      <c r="A1005" s="15" t="s">
        <v>87</v>
      </c>
      <c r="B1005" s="15">
        <v>3009</v>
      </c>
      <c r="C1005" s="43">
        <v>2017</v>
      </c>
      <c r="D1005" s="15">
        <v>3</v>
      </c>
      <c r="E1005" s="17">
        <f>'[14]2017 Benchmarking Calculations'!$BW$9/1000</f>
        <v>26716.783620000002</v>
      </c>
      <c r="F1005" s="41">
        <f t="shared" si="200"/>
        <v>1.2674505553724562</v>
      </c>
      <c r="G1005" s="44">
        <f>[15]General!$BG$20/1000</f>
        <v>450.68799999999999</v>
      </c>
      <c r="H1005" s="16">
        <f t="shared" si="202"/>
        <v>531.36699999999996</v>
      </c>
      <c r="I1005" s="18">
        <f>[15]General!$BG$9</f>
        <v>120457</v>
      </c>
      <c r="J1005" s="18">
        <f>[15]General!$BG$17</f>
        <v>2634</v>
      </c>
      <c r="K1005" s="18">
        <f>J1005*L1005</f>
        <v>1168</v>
      </c>
      <c r="L1005" s="19">
        <f>[15]General!$BG$16/[15]General!$BG$17</f>
        <v>0.44343204252088081</v>
      </c>
      <c r="M1005" s="9"/>
      <c r="N1005" s="9"/>
    </row>
    <row r="1006" spans="1:14" s="15" customFormat="1">
      <c r="A1006" s="15" t="s">
        <v>87</v>
      </c>
      <c r="B1006" s="15">
        <v>3009</v>
      </c>
      <c r="C1006" s="43">
        <v>2018</v>
      </c>
      <c r="D1006" s="15">
        <v>3</v>
      </c>
      <c r="E1006" s="17">
        <f>'[16]2018 Benchmarking Calculations'!$BW$10/1000</f>
        <v>27491.014079999997</v>
      </c>
      <c r="F1006" s="41">
        <f t="shared" si="200"/>
        <v>1.2994718602728874</v>
      </c>
      <c r="G1006" s="44">
        <f>'[16]2018 Benchmarking Calculations'!$BW$61/1000</f>
        <v>503.702</v>
      </c>
      <c r="H1006" s="16">
        <f t="shared" si="202"/>
        <v>531.36699999999996</v>
      </c>
      <c r="I1006" s="18">
        <f>'[16]2018 Benchmarking Calculations'!$BW$57</f>
        <v>121826</v>
      </c>
      <c r="J1006" s="18">
        <f>'[16]2018 Utility Characteristics'!$BQ$103</f>
        <v>2650</v>
      </c>
      <c r="K1006" s="18">
        <f>'[16]2018 Utility Characteristics'!$BQ$105</f>
        <v>1214</v>
      </c>
      <c r="L1006" s="19">
        <f>K1006/J1006</f>
        <v>0.45811320754716983</v>
      </c>
      <c r="M1006" s="9"/>
      <c r="N1006" s="9"/>
    </row>
    <row r="1007" spans="1:14" s="15" customFormat="1">
      <c r="A1007" s="15" t="s">
        <v>416</v>
      </c>
      <c r="B1007" s="15">
        <v>3009</v>
      </c>
      <c r="C1007" s="43">
        <v>2019</v>
      </c>
      <c r="D1007" s="15">
        <v>3</v>
      </c>
      <c r="E1007" s="17">
        <f>'[17]2019 Benchmarking Calculations'!$BW$10/1000</f>
        <v>40136.683709999998</v>
      </c>
      <c r="F1007" s="41">
        <f t="shared" si="200"/>
        <v>1.3352608354138498</v>
      </c>
      <c r="G1007" s="44">
        <f>'[17]2019 Benchmarking Calculations'!$BW$61/1000</f>
        <v>648.61800000000005</v>
      </c>
      <c r="H1007" s="16">
        <f t="shared" si="202"/>
        <v>648.61800000000005</v>
      </c>
      <c r="I1007" s="18">
        <f>'[17]2019 Benchmarking Calculations'!$BW$57</f>
        <v>167653</v>
      </c>
      <c r="J1007" s="18">
        <f>'[17]2019 Utility Characteristics'!$BQ$13</f>
        <v>3823</v>
      </c>
      <c r="K1007" s="18">
        <f>'[17]2019 Utility Characteristics'!$BQ$15</f>
        <v>1856</v>
      </c>
      <c r="L1007" s="19">
        <f>K1007/J1007</f>
        <v>0.48548260528380854</v>
      </c>
      <c r="M1007" s="9"/>
      <c r="N1007" s="9"/>
    </row>
    <row r="1008" spans="1:14">
      <c r="A1008" s="15" t="str">
        <f>'[18]2. BM Database'!B743</f>
        <v>WASAGA DISTRIBUTION INC.</v>
      </c>
      <c r="B1008" s="15">
        <v>3045</v>
      </c>
      <c r="C1008" s="43">
        <f>'[18]2. BM Database'!C743</f>
        <v>2005</v>
      </c>
      <c r="D1008" s="15">
        <v>3</v>
      </c>
      <c r="E1008" s="17">
        <f>'[18]2. BM Database'!F743/1000</f>
        <v>1552.5772299999999</v>
      </c>
      <c r="F1008" s="41">
        <f t="shared" ref="F1008:F1022" si="203">F993</f>
        <v>1</v>
      </c>
      <c r="G1008" s="44">
        <f>'[18]2. BM Database'!P743/1000</f>
        <v>23.337</v>
      </c>
      <c r="H1008" s="16">
        <f>G1008</f>
        <v>23.337</v>
      </c>
      <c r="I1008" s="18">
        <f>'[18]2. BM Database'!L743</f>
        <v>10545</v>
      </c>
      <c r="J1008" s="18">
        <f>'[18]2. BM Database'!R743</f>
        <v>217</v>
      </c>
      <c r="K1008" s="18">
        <f t="shared" ref="K1008:K1019" si="204">J1008*L1008</f>
        <v>96</v>
      </c>
      <c r="L1008" s="19">
        <f>'[18]2. BM Database'!T743</f>
        <v>0.44239631336405533</v>
      </c>
      <c r="M1008" s="9"/>
      <c r="N1008" s="9"/>
    </row>
    <row r="1009" spans="1:14">
      <c r="A1009" s="15" t="str">
        <f>'[18]2. BM Database'!B744</f>
        <v>WASAGA DISTRIBUTION INC.</v>
      </c>
      <c r="B1009" s="15">
        <v>3045</v>
      </c>
      <c r="C1009" s="43">
        <f>'[18]2. BM Database'!C744</f>
        <v>2006</v>
      </c>
      <c r="D1009" s="15">
        <v>3</v>
      </c>
      <c r="E1009" s="17">
        <f>'[18]2. BM Database'!F744/1000</f>
        <v>1707.3716400000001</v>
      </c>
      <c r="F1009" s="41">
        <f t="shared" si="203"/>
        <v>1.0181607380073696</v>
      </c>
      <c r="G1009" s="44">
        <f>'[18]2. BM Database'!P744/1000</f>
        <v>26.155999999999999</v>
      </c>
      <c r="H1009" s="16">
        <f>MAX(G1009,H1008)</f>
        <v>26.155999999999999</v>
      </c>
      <c r="I1009" s="18">
        <f>'[18]2. BM Database'!L744</f>
        <v>10902</v>
      </c>
      <c r="J1009" s="18">
        <f>'[18]2. BM Database'!R744</f>
        <v>223</v>
      </c>
      <c r="K1009" s="18">
        <f t="shared" si="204"/>
        <v>101</v>
      </c>
      <c r="L1009" s="19">
        <f>'[18]2. BM Database'!T744</f>
        <v>0.452914798206278</v>
      </c>
      <c r="M1009" s="9"/>
      <c r="N1009" s="9"/>
    </row>
    <row r="1010" spans="1:14">
      <c r="A1010" s="15" t="str">
        <f>'[18]2. BM Database'!B745</f>
        <v>WASAGA DISTRIBUTION INC.</v>
      </c>
      <c r="B1010" s="15">
        <v>3045</v>
      </c>
      <c r="C1010" s="43">
        <f>'[18]2. BM Database'!C745</f>
        <v>2007</v>
      </c>
      <c r="D1010" s="15">
        <v>3</v>
      </c>
      <c r="E1010" s="17">
        <f>'[18]2. BM Database'!F745/1000</f>
        <v>1787.8295400000002</v>
      </c>
      <c r="F1010" s="41">
        <f t="shared" si="203"/>
        <v>1.0531931014872313</v>
      </c>
      <c r="G1010" s="44">
        <f>'[18]2. BM Database'!P745/1000</f>
        <v>26.43</v>
      </c>
      <c r="H1010" s="16">
        <f t="shared" ref="H1010:H1022" si="205">MAX(G1010,H1009)</f>
        <v>26.43</v>
      </c>
      <c r="I1010" s="18">
        <f>'[18]2. BM Database'!L745</f>
        <v>11311</v>
      </c>
      <c r="J1010" s="18">
        <f>'[18]2. BM Database'!R745</f>
        <v>229</v>
      </c>
      <c r="K1010" s="18">
        <f t="shared" si="204"/>
        <v>104</v>
      </c>
      <c r="L1010" s="19">
        <f>'[18]2. BM Database'!T745</f>
        <v>0.45414847161572053</v>
      </c>
      <c r="M1010" s="9"/>
      <c r="N1010" s="9"/>
    </row>
    <row r="1011" spans="1:14">
      <c r="A1011" s="15" t="str">
        <f>'[18]2. BM Database'!B746</f>
        <v>WASAGA DISTRIBUTION INC.</v>
      </c>
      <c r="B1011" s="15">
        <v>3045</v>
      </c>
      <c r="C1011" s="43">
        <f>'[18]2. BM Database'!C746</f>
        <v>2008</v>
      </c>
      <c r="D1011" s="15">
        <v>3</v>
      </c>
      <c r="E1011" s="17">
        <f>'[18]2. BM Database'!F746/1000</f>
        <v>1883.8573000000001</v>
      </c>
      <c r="F1011" s="41">
        <f t="shared" si="203"/>
        <v>1.078564603993923</v>
      </c>
      <c r="G1011" s="44">
        <f>'[18]2. BM Database'!P746/1000</f>
        <v>25.437999999999999</v>
      </c>
      <c r="H1011" s="16">
        <f t="shared" si="205"/>
        <v>26.43</v>
      </c>
      <c r="I1011" s="18">
        <f>'[18]2. BM Database'!L746</f>
        <v>11660</v>
      </c>
      <c r="J1011" s="18">
        <f>'[18]2. BM Database'!R746</f>
        <v>232</v>
      </c>
      <c r="K1011" s="18">
        <f t="shared" si="204"/>
        <v>107</v>
      </c>
      <c r="L1011" s="19">
        <f>'[18]2. BM Database'!T746</f>
        <v>0.46120689655172414</v>
      </c>
      <c r="M1011" s="9"/>
      <c r="N1011" s="9"/>
    </row>
    <row r="1012" spans="1:14">
      <c r="A1012" s="15" t="str">
        <f>'[18]2. BM Database'!B747</f>
        <v>WASAGA DISTRIBUTION INC.</v>
      </c>
      <c r="B1012" s="15">
        <v>3045</v>
      </c>
      <c r="C1012" s="43">
        <f>'[18]2. BM Database'!C747</f>
        <v>2009</v>
      </c>
      <c r="D1012" s="15">
        <v>3</v>
      </c>
      <c r="E1012" s="17">
        <f>'[18]2. BM Database'!F747/1000</f>
        <v>1985.7019254223892</v>
      </c>
      <c r="F1012" s="41">
        <f t="shared" si="203"/>
        <v>1.0915070880241431</v>
      </c>
      <c r="G1012" s="44">
        <f>'[18]2. BM Database'!P747/1000</f>
        <v>26.445</v>
      </c>
      <c r="H1012" s="16">
        <f t="shared" si="205"/>
        <v>26.445</v>
      </c>
      <c r="I1012" s="18">
        <f>'[18]2. BM Database'!L747</f>
        <v>11844</v>
      </c>
      <c r="J1012" s="18">
        <f>'[18]2. BM Database'!R747</f>
        <v>236</v>
      </c>
      <c r="K1012" s="18">
        <f t="shared" si="204"/>
        <v>111</v>
      </c>
      <c r="L1012" s="19">
        <f>'[18]2. BM Database'!T747</f>
        <v>0.47033898305084748</v>
      </c>
      <c r="M1012" s="9"/>
      <c r="N1012" s="9"/>
    </row>
    <row r="1013" spans="1:14">
      <c r="A1013" s="15" t="str">
        <f>'[18]2. BM Database'!B748</f>
        <v>WASAGA DISTRIBUTION INC.</v>
      </c>
      <c r="B1013" s="15">
        <v>3045</v>
      </c>
      <c r="C1013" s="43">
        <f>'[18]2. BM Database'!C748</f>
        <v>2010</v>
      </c>
      <c r="D1013" s="15">
        <v>3</v>
      </c>
      <c r="E1013" s="17">
        <f>'[18]2. BM Database'!F748/1000</f>
        <v>2070.4606199999998</v>
      </c>
      <c r="F1013" s="41">
        <f t="shared" si="203"/>
        <v>1.1243125351578573</v>
      </c>
      <c r="G1013" s="44">
        <f>'[18]2. BM Database'!P748/1000</f>
        <v>27.34</v>
      </c>
      <c r="H1013" s="16">
        <f t="shared" si="205"/>
        <v>27.34</v>
      </c>
      <c r="I1013" s="18">
        <f>'[18]2. BM Database'!L748</f>
        <v>12046</v>
      </c>
      <c r="J1013" s="18">
        <f>'[18]2. BM Database'!R748</f>
        <v>240</v>
      </c>
      <c r="K1013" s="18">
        <f t="shared" si="204"/>
        <v>115</v>
      </c>
      <c r="L1013" s="19">
        <f>'[18]2. BM Database'!T748</f>
        <v>0.47916666666666669</v>
      </c>
      <c r="M1013" s="9"/>
      <c r="N1013" s="9"/>
    </row>
    <row r="1014" spans="1:14">
      <c r="A1014" s="15" t="str">
        <f>'[18]2. BM Database'!B749</f>
        <v>WASAGA DISTRIBUTION INC.</v>
      </c>
      <c r="B1014" s="15">
        <v>3045</v>
      </c>
      <c r="C1014" s="43">
        <f>'[18]2. BM Database'!C749</f>
        <v>2011</v>
      </c>
      <c r="D1014" s="15">
        <v>3</v>
      </c>
      <c r="E1014" s="17">
        <f>'[18]2. BM Database'!F749/1000</f>
        <v>2189.1083100000001</v>
      </c>
      <c r="F1014" s="41">
        <f t="shared" si="203"/>
        <v>1.1430978626415853</v>
      </c>
      <c r="G1014" s="44">
        <f>'[18]2. BM Database'!P749/1000</f>
        <v>28.946000000000002</v>
      </c>
      <c r="H1014" s="16">
        <f t="shared" si="205"/>
        <v>28.946000000000002</v>
      </c>
      <c r="I1014" s="18">
        <f>'[18]2. BM Database'!L749</f>
        <v>12324</v>
      </c>
      <c r="J1014" s="18">
        <f>'[18]2. BM Database'!R749</f>
        <v>243</v>
      </c>
      <c r="K1014" s="18">
        <f t="shared" si="204"/>
        <v>116</v>
      </c>
      <c r="L1014" s="19">
        <f>'[18]2. BM Database'!T749</f>
        <v>0.47736625514403291</v>
      </c>
      <c r="M1014" s="9"/>
      <c r="N1014" s="9"/>
    </row>
    <row r="1015" spans="1:14">
      <c r="A1015" s="15" t="str">
        <f>'[18]2. BM Database'!B750</f>
        <v>WASAGA DISTRIBUTION INC.</v>
      </c>
      <c r="B1015" s="15">
        <v>3045</v>
      </c>
      <c r="C1015" s="43">
        <f>'[18]2. BM Database'!C750</f>
        <v>2012</v>
      </c>
      <c r="D1015" s="15">
        <v>3</v>
      </c>
      <c r="E1015" s="17">
        <f>'[18]2. BM Database'!F750/1000</f>
        <v>2626.5987999776107</v>
      </c>
      <c r="F1015" s="41">
        <f t="shared" si="203"/>
        <v>1.160126854517312</v>
      </c>
      <c r="G1015" s="44">
        <f>'[18]2. BM Database'!P750/1000</f>
        <v>31.515000000000001</v>
      </c>
      <c r="H1015" s="16">
        <f t="shared" si="205"/>
        <v>31.515000000000001</v>
      </c>
      <c r="I1015" s="18">
        <f>'[18]2. BM Database'!L750</f>
        <v>12538</v>
      </c>
      <c r="J1015" s="18">
        <f>'[18]2. BM Database'!R750</f>
        <v>257</v>
      </c>
      <c r="K1015" s="18">
        <f t="shared" si="204"/>
        <v>117</v>
      </c>
      <c r="L1015" s="19">
        <f>'[18]2. BM Database'!T750</f>
        <v>0.45525291828793774</v>
      </c>
      <c r="M1015" s="9"/>
      <c r="N1015" s="9"/>
    </row>
    <row r="1016" spans="1:14" s="15" customFormat="1">
      <c r="A1016" s="15" t="s">
        <v>88</v>
      </c>
      <c r="B1016" s="15">
        <v>3045</v>
      </c>
      <c r="C1016" s="43">
        <v>2013</v>
      </c>
      <c r="D1016" s="15">
        <v>3</v>
      </c>
      <c r="E1016" s="17">
        <f>HLOOKUP(A1016,'[19]2013 Benchmarking Calculations'!$I$3:$CC$76,6,FALSE)/1000</f>
        <v>2710.6857999999997</v>
      </c>
      <c r="F1016" s="41">
        <f t="shared" si="203"/>
        <v>1.178602141578931</v>
      </c>
      <c r="G1016" s="44">
        <f>HLOOKUP(A1016,'[19]2013 Benchmarking Calculations'!$I$3:$CC$76,57,FALSE)/1000</f>
        <v>28.783000000000001</v>
      </c>
      <c r="H1016" s="16">
        <f t="shared" si="205"/>
        <v>31.515000000000001</v>
      </c>
      <c r="I1016" s="18">
        <f>HLOOKUP(A1016,'[19]2013 Benchmarking Calculations'!$I$3:$CC$76,53,FALSE)</f>
        <v>12816</v>
      </c>
      <c r="J1016" s="18">
        <f>HLOOKUP(A1016,'[19]2013 Benchmarking Calculations'!$I$3:$CC$76,71,FALSE)</f>
        <v>258</v>
      </c>
      <c r="K1016" s="18">
        <f t="shared" si="204"/>
        <v>118</v>
      </c>
      <c r="L1016" s="19">
        <f>HLOOKUP(A1016,'[19]2013 PBR data '!B$42:BV$68,15,FALSE)/HLOOKUP(A1016,'[19]2013 PBR data '!B$42:BV$68,13,FALSE)</f>
        <v>0.4573643410852713</v>
      </c>
      <c r="M1016" s="9"/>
      <c r="N1016" s="9"/>
    </row>
    <row r="1017" spans="1:14" s="15" customFormat="1">
      <c r="A1017" s="15" t="s">
        <v>88</v>
      </c>
      <c r="B1017" s="15">
        <v>3045</v>
      </c>
      <c r="C1017" s="43">
        <v>2014</v>
      </c>
      <c r="D1017" s="15">
        <v>3</v>
      </c>
      <c r="E1017" s="17">
        <f>VLOOKUP(A1017,[20]Result!$B$12:$D$84,2,FALSE)/10^3</f>
        <v>2805.8270000000002</v>
      </c>
      <c r="F1017" s="41">
        <f t="shared" si="203"/>
        <v>1.2030671041042156</v>
      </c>
      <c r="G1017" s="44">
        <f>VLOOKUP(A1017,'[21]General transpose'!$A$1:$AF$73,26,FALSE)/10^3</f>
        <v>29.088000000000001</v>
      </c>
      <c r="H1017" s="16">
        <f t="shared" si="205"/>
        <v>31.515000000000001</v>
      </c>
      <c r="I1017" s="18">
        <f>VLOOKUP(A1017,'[21]General transpose'!$A$1:$AF$73,8,FALSE)</f>
        <v>12985</v>
      </c>
      <c r="J1017" s="18">
        <f>VLOOKUP(A1017,'[21]General transpose'!$A$1:$AF$73,16,FALSE)</f>
        <v>284</v>
      </c>
      <c r="K1017" s="18">
        <f t="shared" si="204"/>
        <v>123</v>
      </c>
      <c r="L1017" s="19">
        <f>VLOOKUP(A1017,'[21]General transpose'!$A$1:$AF$73,17,FALSE)</f>
        <v>0.43309859154929575</v>
      </c>
      <c r="M1017" s="9"/>
      <c r="N1017" s="9"/>
    </row>
    <row r="1018" spans="1:14" s="15" customFormat="1">
      <c r="A1018" s="15" t="s">
        <v>88</v>
      </c>
      <c r="B1018" s="15">
        <v>3045</v>
      </c>
      <c r="C1018" s="43">
        <v>2015</v>
      </c>
      <c r="D1018" s="15">
        <v>3</v>
      </c>
      <c r="E1018" s="17">
        <f>VLOOKUP(A1017,[20]Result!$B$12:$D$84,3,FALSE)/10^3</f>
        <v>2804.2669999999998</v>
      </c>
      <c r="F1018" s="41">
        <f t="shared" si="203"/>
        <v>1.2312762402864634</v>
      </c>
      <c r="G1018" s="44">
        <f>VLOOKUP(A1017,'[22]General transpose'!$A$1:$AF$73,26,FALSE)/10^3</f>
        <v>29.681000000000001</v>
      </c>
      <c r="H1018" s="16">
        <f t="shared" si="205"/>
        <v>31.515000000000001</v>
      </c>
      <c r="I1018" s="18">
        <f>VLOOKUP(A1017,'[22]General transpose'!$A$1:$AF$73,8,FALSE)</f>
        <v>13172</v>
      </c>
      <c r="J1018" s="18">
        <f>VLOOKUP(A1017,'[22]General transpose'!$A$1:$AF$73,16,FALSE)</f>
        <v>285</v>
      </c>
      <c r="K1018" s="18">
        <f t="shared" si="204"/>
        <v>124</v>
      </c>
      <c r="L1018" s="19">
        <f>VLOOKUP(A1017,'[22]General transpose'!$A$1:$AF$73,17,FALSE)</f>
        <v>0.43508771929824563</v>
      </c>
      <c r="M1018" s="9"/>
      <c r="N1018" s="9"/>
    </row>
    <row r="1019" spans="1:14" s="15" customFormat="1">
      <c r="A1019" s="15" t="s">
        <v>88</v>
      </c>
      <c r="B1019" s="15">
        <v>3045</v>
      </c>
      <c r="C1019" s="43">
        <v>2016</v>
      </c>
      <c r="D1019" s="15">
        <v>3</v>
      </c>
      <c r="E1019" s="17">
        <f>'[14]2016 Benchmarking Calculations'!$BV$8/1000</f>
        <v>2992.3407000000002</v>
      </c>
      <c r="F1019" s="41">
        <f t="shared" si="203"/>
        <v>1.2455044937824149</v>
      </c>
      <c r="G1019" s="44">
        <f>HLOOKUP(A1019,[23]General!$A$1:$BQ$23,22,FALSE)/10^3</f>
        <v>28.946999999999999</v>
      </c>
      <c r="H1019" s="16">
        <f t="shared" si="205"/>
        <v>31.515000000000001</v>
      </c>
      <c r="I1019" s="18">
        <f>HLOOKUP(A1019,[23]General!$A$1:$BQ$23,9,FALSE)</f>
        <v>13346</v>
      </c>
      <c r="J1019" s="18">
        <f>HLOOKUP(A1019,[23]General!$A$1:$BQ$23,17,FALSE)</f>
        <v>289</v>
      </c>
      <c r="K1019" s="18">
        <f t="shared" si="204"/>
        <v>126</v>
      </c>
      <c r="L1019" s="19">
        <f>HLOOKUP(A1019,[23]General!$A$1:$BQ$23,18,FALSE)</f>
        <v>0.43598615916955019</v>
      </c>
      <c r="M1019" s="9"/>
      <c r="N1019" s="9"/>
    </row>
    <row r="1020" spans="1:14" s="15" customFormat="1">
      <c r="A1020" s="15" t="s">
        <v>88</v>
      </c>
      <c r="B1020" s="15">
        <v>3045</v>
      </c>
      <c r="C1020" s="43">
        <v>2017</v>
      </c>
      <c r="D1020" s="15">
        <v>3</v>
      </c>
      <c r="E1020" s="17">
        <f>'[14]2017 Benchmarking Calculations'!$BX$9/1000</f>
        <v>3094.040590000001</v>
      </c>
      <c r="F1020" s="41">
        <f t="shared" si="203"/>
        <v>1.2674505553724562</v>
      </c>
      <c r="G1020" s="44">
        <f>'[14]2017 Benchmarking Calculations'!$BX$60/1000</f>
        <v>26.92</v>
      </c>
      <c r="H1020" s="16">
        <f t="shared" si="205"/>
        <v>31.515000000000001</v>
      </c>
      <c r="I1020" s="18">
        <f>'[14]2017 Benchmarking Calculations'!$BX$56</f>
        <v>13592</v>
      </c>
      <c r="J1020" s="18">
        <f>'[14]2017 Utility Characteristics'!$BO$79</f>
        <v>278</v>
      </c>
      <c r="K1020" s="15">
        <f>'[14]2017 Utility Characteristics'!$BO$81</f>
        <v>113</v>
      </c>
      <c r="L1020" s="19">
        <f>K1020/J1020</f>
        <v>0.40647482014388492</v>
      </c>
      <c r="M1020" s="9"/>
      <c r="N1020" s="9"/>
    </row>
    <row r="1021" spans="1:14" s="15" customFormat="1">
      <c r="A1021" s="15" t="s">
        <v>88</v>
      </c>
      <c r="B1021" s="15">
        <v>3045</v>
      </c>
      <c r="C1021" s="43">
        <v>2018</v>
      </c>
      <c r="D1021" s="15">
        <v>3</v>
      </c>
      <c r="E1021" s="17">
        <f>'[16]2018 Benchmarking Calculations'!$BX$10/1000</f>
        <v>3166.5234500000001</v>
      </c>
      <c r="F1021" s="41">
        <f t="shared" si="203"/>
        <v>1.2994718602728874</v>
      </c>
      <c r="G1021" s="44">
        <f>'[16]2018 Benchmarking Calculations'!$BX$61/1000</f>
        <v>37.409999999999997</v>
      </c>
      <c r="H1021" s="16">
        <f t="shared" si="205"/>
        <v>37.409999999999997</v>
      </c>
      <c r="I1021" s="18">
        <f>'[16]2018 Benchmarking Calculations'!$BX$57</f>
        <v>13789</v>
      </c>
      <c r="J1021" s="18">
        <f>'[16]2018 Utility Characteristics'!$BR$103</f>
        <v>280</v>
      </c>
      <c r="K1021" s="18">
        <f>'[16]2018 Utility Characteristics'!$BR$105</f>
        <v>115</v>
      </c>
      <c r="L1021" s="19">
        <f>K1021/J1021</f>
        <v>0.4107142857142857</v>
      </c>
      <c r="M1021" s="9"/>
      <c r="N1021" s="9"/>
    </row>
    <row r="1022" spans="1:14" s="15" customFormat="1">
      <c r="A1022" s="15" t="s">
        <v>88</v>
      </c>
      <c r="B1022" s="15">
        <v>3045</v>
      </c>
      <c r="C1022" s="43">
        <v>2019</v>
      </c>
      <c r="D1022" s="15">
        <v>3</v>
      </c>
      <c r="E1022" s="17">
        <f>'[17]2019 Benchmarking Calculations'!$BX$10/1000</f>
        <v>3432.0778199999991</v>
      </c>
      <c r="F1022" s="41">
        <f t="shared" si="203"/>
        <v>1.3352608354138498</v>
      </c>
      <c r="G1022" s="44">
        <f>'[17]2019 Benchmarking Calculations'!$BX$61/1000</f>
        <v>31.88</v>
      </c>
      <c r="H1022" s="16">
        <f t="shared" si="205"/>
        <v>37.409999999999997</v>
      </c>
      <c r="I1022" s="18">
        <f>'[17]2019 Benchmarking Calculations'!$BX$57</f>
        <v>14003</v>
      </c>
      <c r="J1022" s="18">
        <f>'[17]2019 Utility Characteristics'!$BR$13</f>
        <v>286</v>
      </c>
      <c r="K1022" s="18">
        <f>K1021</f>
        <v>115</v>
      </c>
      <c r="L1022" s="19">
        <f>K1022/J1022</f>
        <v>0.40209790209790208</v>
      </c>
      <c r="M1022" s="9"/>
      <c r="N1022" s="9"/>
    </row>
    <row r="1023" spans="1:14">
      <c r="A1023" s="15" t="str">
        <f>'[18]2. BM Database'!B754</f>
        <v>WATERLOO NORTH HYDRO INC.</v>
      </c>
      <c r="B1023" s="15">
        <v>3014</v>
      </c>
      <c r="C1023" s="43">
        <f>'[18]2. BM Database'!C754</f>
        <v>2005</v>
      </c>
      <c r="D1023" s="15">
        <v>3</v>
      </c>
      <c r="E1023" s="17">
        <f>'[18]2. BM Database'!F754/1000</f>
        <v>7870.7134599999999</v>
      </c>
      <c r="F1023" s="41">
        <f t="shared" ref="F1023:F1037" si="206">F1008</f>
        <v>1</v>
      </c>
      <c r="G1023" s="44">
        <f>'[18]2. BM Database'!P754/1000</f>
        <v>258.20400000000001</v>
      </c>
      <c r="H1023" s="16">
        <f>G1023</f>
        <v>258.20400000000001</v>
      </c>
      <c r="I1023" s="18">
        <f>'[18]2. BM Database'!L754</f>
        <v>48041</v>
      </c>
      <c r="J1023" s="18">
        <f>'[18]2. BM Database'!R754</f>
        <v>1334</v>
      </c>
      <c r="K1023" s="18">
        <f t="shared" ref="K1023:K1034" si="207">J1023*L1023</f>
        <v>397.99999999999994</v>
      </c>
      <c r="L1023" s="19">
        <f>'[18]2. BM Database'!T754</f>
        <v>0.29835082458770612</v>
      </c>
      <c r="M1023" s="9"/>
      <c r="N1023" s="9"/>
    </row>
    <row r="1024" spans="1:14">
      <c r="A1024" s="15" t="str">
        <f>'[18]2. BM Database'!B755</f>
        <v>WATERLOO NORTH HYDRO INC.</v>
      </c>
      <c r="B1024" s="15">
        <v>3014</v>
      </c>
      <c r="C1024" s="43">
        <f>'[18]2. BM Database'!C755</f>
        <v>2006</v>
      </c>
      <c r="D1024" s="15">
        <v>3</v>
      </c>
      <c r="E1024" s="17">
        <f>'[18]2. BM Database'!F755/1000</f>
        <v>8120.0051400000002</v>
      </c>
      <c r="F1024" s="41">
        <f t="shared" si="206"/>
        <v>1.0181607380073696</v>
      </c>
      <c r="G1024" s="44">
        <f>'[18]2. BM Database'!P755/1000</f>
        <v>267.63099999999997</v>
      </c>
      <c r="H1024" s="16">
        <f>MAX(G1024,H1023)</f>
        <v>267.63099999999997</v>
      </c>
      <c r="I1024" s="18">
        <f>'[18]2. BM Database'!L755</f>
        <v>48777</v>
      </c>
      <c r="J1024" s="18">
        <f>'[18]2. BM Database'!R755</f>
        <v>1342</v>
      </c>
      <c r="K1024" s="18">
        <f t="shared" si="207"/>
        <v>402</v>
      </c>
      <c r="L1024" s="19">
        <f>'[18]2. BM Database'!T755</f>
        <v>0.29955290611028318</v>
      </c>
      <c r="M1024" s="9"/>
      <c r="N1024" s="9"/>
    </row>
    <row r="1025" spans="1:14">
      <c r="A1025" s="15" t="str">
        <f>'[18]2. BM Database'!B756</f>
        <v>WATERLOO NORTH HYDRO INC.</v>
      </c>
      <c r="B1025" s="15">
        <v>3014</v>
      </c>
      <c r="C1025" s="43">
        <f>'[18]2. BM Database'!C756</f>
        <v>2007</v>
      </c>
      <c r="D1025" s="15">
        <v>3</v>
      </c>
      <c r="E1025" s="17">
        <f>'[18]2. BM Database'!F756/1000</f>
        <v>8261.8517199999987</v>
      </c>
      <c r="F1025" s="41">
        <f t="shared" si="206"/>
        <v>1.0531931014872313</v>
      </c>
      <c r="G1025" s="44">
        <f>'[18]2. BM Database'!P756/1000</f>
        <v>264.91500000000002</v>
      </c>
      <c r="H1025" s="16">
        <f t="shared" ref="H1025:H1037" si="208">MAX(G1025,H1024)</f>
        <v>267.63099999999997</v>
      </c>
      <c r="I1025" s="18">
        <f>'[18]2. BM Database'!L756</f>
        <v>49558</v>
      </c>
      <c r="J1025" s="18">
        <f>'[18]2. BM Database'!R756</f>
        <v>1522.5</v>
      </c>
      <c r="K1025" s="18">
        <f t="shared" si="207"/>
        <v>480</v>
      </c>
      <c r="L1025" s="19">
        <f>'[18]2. BM Database'!T756</f>
        <v>0.31527093596059114</v>
      </c>
      <c r="M1025" s="9"/>
      <c r="N1025" s="9"/>
    </row>
    <row r="1026" spans="1:14">
      <c r="A1026" s="15" t="str">
        <f>'[18]2. BM Database'!B757</f>
        <v>WATERLOO NORTH HYDRO INC.</v>
      </c>
      <c r="B1026" s="15">
        <v>3014</v>
      </c>
      <c r="C1026" s="43">
        <f>'[18]2. BM Database'!C757</f>
        <v>2008</v>
      </c>
      <c r="D1026" s="15">
        <v>3</v>
      </c>
      <c r="E1026" s="17">
        <f>'[18]2. BM Database'!F757/1000</f>
        <v>8360.0183099999995</v>
      </c>
      <c r="F1026" s="41">
        <f t="shared" si="206"/>
        <v>1.078564603993923</v>
      </c>
      <c r="G1026" s="44">
        <f>'[18]2. BM Database'!P757/1000</f>
        <v>255.54</v>
      </c>
      <c r="H1026" s="16">
        <f t="shared" si="208"/>
        <v>267.63099999999997</v>
      </c>
      <c r="I1026" s="18">
        <f>'[18]2. BM Database'!L757</f>
        <v>50478</v>
      </c>
      <c r="J1026" s="18">
        <f>'[18]2. BM Database'!R757</f>
        <v>1542</v>
      </c>
      <c r="K1026" s="18">
        <f t="shared" si="207"/>
        <v>483</v>
      </c>
      <c r="L1026" s="19">
        <f>'[18]2. BM Database'!T757</f>
        <v>0.3132295719844358</v>
      </c>
      <c r="M1026" s="9"/>
      <c r="N1026" s="9"/>
    </row>
    <row r="1027" spans="1:14">
      <c r="A1027" s="15" t="str">
        <f>'[18]2. BM Database'!B758</f>
        <v>WATERLOO NORTH HYDRO INC.</v>
      </c>
      <c r="B1027" s="15">
        <v>3014</v>
      </c>
      <c r="C1027" s="43">
        <f>'[18]2. BM Database'!C758</f>
        <v>2009</v>
      </c>
      <c r="D1027" s="15">
        <v>3</v>
      </c>
      <c r="E1027" s="17">
        <f>'[18]2. BM Database'!F758/1000</f>
        <v>8429.6470000000008</v>
      </c>
      <c r="F1027" s="41">
        <f t="shared" si="206"/>
        <v>1.0915070880241431</v>
      </c>
      <c r="G1027" s="44">
        <f>'[18]2. BM Database'!P758/1000</f>
        <v>259.23200000000003</v>
      </c>
      <c r="H1027" s="16">
        <f t="shared" si="208"/>
        <v>267.63099999999997</v>
      </c>
      <c r="I1027" s="18">
        <f>'[18]2. BM Database'!L758</f>
        <v>51075</v>
      </c>
      <c r="J1027" s="18">
        <f>'[18]2. BM Database'!R758</f>
        <v>1541</v>
      </c>
      <c r="K1027" s="18">
        <f t="shared" si="207"/>
        <v>482</v>
      </c>
      <c r="L1027" s="19">
        <f>'[18]2. BM Database'!T758</f>
        <v>0.31278390655418559</v>
      </c>
      <c r="M1027" s="9"/>
      <c r="N1027" s="9"/>
    </row>
    <row r="1028" spans="1:14">
      <c r="A1028" s="15" t="str">
        <f>'[18]2. BM Database'!B759</f>
        <v>WATERLOO NORTH HYDRO INC.</v>
      </c>
      <c r="B1028" s="15">
        <v>3014</v>
      </c>
      <c r="C1028" s="43">
        <f>'[18]2. BM Database'!C759</f>
        <v>2010</v>
      </c>
      <c r="D1028" s="15">
        <v>3</v>
      </c>
      <c r="E1028" s="17">
        <f>'[18]2. BM Database'!F759/1000</f>
        <v>9181.2678699999997</v>
      </c>
      <c r="F1028" s="41">
        <f t="shared" si="206"/>
        <v>1.1243125351578573</v>
      </c>
      <c r="G1028" s="44">
        <f>'[18]2. BM Database'!P759/1000</f>
        <v>283.517</v>
      </c>
      <c r="H1028" s="16">
        <f t="shared" si="208"/>
        <v>283.517</v>
      </c>
      <c r="I1028" s="18">
        <f>'[18]2. BM Database'!L759</f>
        <v>51914</v>
      </c>
      <c r="J1028" s="18">
        <f>'[18]2. BM Database'!R759</f>
        <v>1547</v>
      </c>
      <c r="K1028" s="18">
        <f t="shared" si="207"/>
        <v>488</v>
      </c>
      <c r="L1028" s="19">
        <f>'[18]2. BM Database'!T759</f>
        <v>0.3154492566257272</v>
      </c>
      <c r="M1028" s="9"/>
      <c r="N1028" s="9"/>
    </row>
    <row r="1029" spans="1:14">
      <c r="A1029" s="15" t="str">
        <f>'[18]2. BM Database'!B760</f>
        <v>WATERLOO NORTH HYDRO INC.</v>
      </c>
      <c r="B1029" s="15">
        <v>3014</v>
      </c>
      <c r="C1029" s="43">
        <f>'[18]2. BM Database'!C760</f>
        <v>2011</v>
      </c>
      <c r="D1029" s="15">
        <v>3</v>
      </c>
      <c r="E1029" s="17">
        <f>'[18]2. BM Database'!F760/1000</f>
        <v>9361.1634000000013</v>
      </c>
      <c r="F1029" s="41">
        <f t="shared" si="206"/>
        <v>1.1430978626415853</v>
      </c>
      <c r="G1029" s="44">
        <f>'[18]2. BM Database'!P760/1000</f>
        <v>294.34899999999999</v>
      </c>
      <c r="H1029" s="16">
        <f t="shared" si="208"/>
        <v>294.34899999999999</v>
      </c>
      <c r="I1029" s="18">
        <f>'[18]2. BM Database'!L760</f>
        <v>52612</v>
      </c>
      <c r="J1029" s="18">
        <f>'[18]2. BM Database'!R760</f>
        <v>1542</v>
      </c>
      <c r="K1029" s="18">
        <f t="shared" si="207"/>
        <v>490.99999999999994</v>
      </c>
      <c r="L1029" s="19">
        <f>'[18]2. BM Database'!T760</f>
        <v>0.31841763942931256</v>
      </c>
      <c r="M1029" s="9"/>
      <c r="N1029" s="9"/>
    </row>
    <row r="1030" spans="1:14">
      <c r="A1030" s="15" t="str">
        <f>'[18]2. BM Database'!B761</f>
        <v>WATERLOO NORTH HYDRO INC.</v>
      </c>
      <c r="B1030" s="15">
        <v>3014</v>
      </c>
      <c r="C1030" s="43">
        <f>'[18]2. BM Database'!C761</f>
        <v>2012</v>
      </c>
      <c r="D1030" s="15">
        <v>3</v>
      </c>
      <c r="E1030" s="17">
        <f>'[18]2. BM Database'!F761/1000</f>
        <v>9445.4500157000002</v>
      </c>
      <c r="F1030" s="41">
        <f t="shared" si="206"/>
        <v>1.160126854517312</v>
      </c>
      <c r="G1030" s="44">
        <f>'[18]2. BM Database'!P761/1000</f>
        <v>286.31</v>
      </c>
      <c r="H1030" s="16">
        <f t="shared" si="208"/>
        <v>294.34899999999999</v>
      </c>
      <c r="I1030" s="18">
        <f>'[18]2. BM Database'!L761</f>
        <v>53388</v>
      </c>
      <c r="J1030" s="18">
        <f>'[18]2. BM Database'!R761</f>
        <v>1557</v>
      </c>
      <c r="K1030" s="18">
        <f t="shared" si="207"/>
        <v>494</v>
      </c>
      <c r="L1030" s="19">
        <f>'[18]2. BM Database'!T761</f>
        <v>0.31727681438664096</v>
      </c>
      <c r="M1030" s="9"/>
      <c r="N1030" s="9"/>
    </row>
    <row r="1031" spans="1:14" s="15" customFormat="1">
      <c r="A1031" s="15" t="s">
        <v>89</v>
      </c>
      <c r="B1031" s="15">
        <v>3014</v>
      </c>
      <c r="C1031" s="43">
        <v>2013</v>
      </c>
      <c r="D1031" s="15">
        <v>3</v>
      </c>
      <c r="E1031" s="17">
        <f>HLOOKUP(A1031,'[19]2013 Benchmarking Calculations'!$I$3:$CC$76,6,FALSE)/1000</f>
        <v>12543.73192</v>
      </c>
      <c r="F1031" s="41">
        <f t="shared" si="206"/>
        <v>1.178602141578931</v>
      </c>
      <c r="G1031" s="44">
        <f>HLOOKUP(A1031,'[19]2013 Benchmarking Calculations'!$I$3:$CC$76,57,FALSE)/1000</f>
        <v>295.13</v>
      </c>
      <c r="H1031" s="16">
        <f t="shared" si="208"/>
        <v>295.13</v>
      </c>
      <c r="I1031" s="18">
        <f>HLOOKUP(A1031,'[19]2013 Benchmarking Calculations'!$I$3:$CC$76,53,FALSE)</f>
        <v>54166</v>
      </c>
      <c r="J1031" s="18">
        <f>HLOOKUP(A1031,'[19]2013 Benchmarking Calculations'!$I$3:$CC$76,71,FALSE)</f>
        <v>1574</v>
      </c>
      <c r="K1031" s="18">
        <f t="shared" si="207"/>
        <v>503</v>
      </c>
      <c r="L1031" s="19">
        <f>HLOOKUP(A1031,'[19]2013 PBR data '!B$42:BV$68,15,FALSE)/HLOOKUP(A1031,'[19]2013 PBR data '!B$42:BV$68,13,FALSE)</f>
        <v>0.31956797966963152</v>
      </c>
      <c r="M1031" s="9"/>
      <c r="N1031" s="9"/>
    </row>
    <row r="1032" spans="1:14" s="15" customFormat="1">
      <c r="A1032" s="15" t="s">
        <v>89</v>
      </c>
      <c r="B1032" s="15">
        <v>3014</v>
      </c>
      <c r="C1032" s="43">
        <v>2014</v>
      </c>
      <c r="D1032" s="15">
        <v>3</v>
      </c>
      <c r="E1032" s="17">
        <f>VLOOKUP(A1032,[20]Result!$B$12:$D$84,2,FALSE)/10^3</f>
        <v>13122.197</v>
      </c>
      <c r="F1032" s="41">
        <f t="shared" si="206"/>
        <v>1.2030671041042156</v>
      </c>
      <c r="G1032" s="44">
        <f>VLOOKUP(A1032,'[21]General transpose'!$A$1:$AF$73,26,FALSE)/10^3</f>
        <v>269.24</v>
      </c>
      <c r="H1032" s="16">
        <f t="shared" si="208"/>
        <v>295.13</v>
      </c>
      <c r="I1032" s="18">
        <f>'[14]2014 Benchmarking Calculations'!$BW$55</f>
        <v>54675</v>
      </c>
      <c r="J1032" s="18">
        <f>VLOOKUP(A1032,'[21]General transpose'!$A$1:$AF$73,16,FALSE)</f>
        <v>1581</v>
      </c>
      <c r="K1032" s="18">
        <f t="shared" si="207"/>
        <v>513</v>
      </c>
      <c r="L1032" s="19">
        <f>VLOOKUP(A1032,'[21]General transpose'!$A$1:$AF$73,17,FALSE)</f>
        <v>0.32447817836812143</v>
      </c>
      <c r="M1032" s="9"/>
      <c r="N1032" s="9"/>
    </row>
    <row r="1033" spans="1:14" s="15" customFormat="1">
      <c r="A1033" s="15" t="s">
        <v>89</v>
      </c>
      <c r="B1033" s="15">
        <v>3014</v>
      </c>
      <c r="C1033" s="43">
        <v>2015</v>
      </c>
      <c r="D1033" s="15">
        <v>3</v>
      </c>
      <c r="E1033" s="17">
        <f>VLOOKUP(A1032,[20]Result!$B$12:$D$84,3,FALSE)/10^3</f>
        <v>12148.95</v>
      </c>
      <c r="F1033" s="41">
        <f t="shared" si="206"/>
        <v>1.2312762402864634</v>
      </c>
      <c r="G1033" s="44">
        <f>VLOOKUP(A1032,'[22]General transpose'!$A$1:$AF$73,26,FALSE)/10^3</f>
        <v>269.42700000000002</v>
      </c>
      <c r="H1033" s="16">
        <f t="shared" si="208"/>
        <v>295.13</v>
      </c>
      <c r="I1033" s="18">
        <f>'[14]2015 Benchmarking Calculations'!$BW$55</f>
        <v>55417</v>
      </c>
      <c r="J1033" s="18">
        <f>VLOOKUP(A1032,'[22]General transpose'!$A$1:$AF$73,16,FALSE)</f>
        <v>1618</v>
      </c>
      <c r="K1033" s="18">
        <f t="shared" si="207"/>
        <v>532</v>
      </c>
      <c r="L1033" s="19">
        <f>VLOOKUP(A1032,'[22]General transpose'!$A$1:$AF$73,17,FALSE)</f>
        <v>0.32880098887515452</v>
      </c>
      <c r="M1033" s="9"/>
      <c r="N1033" s="9"/>
    </row>
    <row r="1034" spans="1:14" s="15" customFormat="1">
      <c r="A1034" s="15" t="s">
        <v>89</v>
      </c>
      <c r="B1034" s="15">
        <v>3014</v>
      </c>
      <c r="C1034" s="43">
        <v>2016</v>
      </c>
      <c r="D1034" s="15">
        <v>3</v>
      </c>
      <c r="E1034" s="17">
        <f>'[14]2016 Benchmarking Calculations'!$BW$8/1000</f>
        <v>12139.696300000001</v>
      </c>
      <c r="F1034" s="41">
        <f t="shared" si="206"/>
        <v>1.2455044937824149</v>
      </c>
      <c r="G1034" s="44">
        <f>HLOOKUP(A1034,[23]General!$A$1:$BQ$23,22,FALSE)/10^3</f>
        <v>291.41399999999999</v>
      </c>
      <c r="H1034" s="16">
        <f t="shared" si="208"/>
        <v>295.13</v>
      </c>
      <c r="I1034" s="18">
        <f>'[14]2016 Benchmarking Calculations'!$BW$55</f>
        <v>56231</v>
      </c>
      <c r="J1034" s="18">
        <f>HLOOKUP(A1034,[23]General!$A$1:$BQ$23,17,FALSE)</f>
        <v>1619</v>
      </c>
      <c r="K1034" s="18">
        <f t="shared" si="207"/>
        <v>551</v>
      </c>
      <c r="L1034" s="19">
        <f>HLOOKUP(A1034,[23]General!$A$1:$BQ$23,18,FALSE)</f>
        <v>0.34033353922174181</v>
      </c>
      <c r="M1034" s="9"/>
      <c r="N1034" s="9"/>
    </row>
    <row r="1035" spans="1:14" s="15" customFormat="1">
      <c r="A1035" s="15" t="s">
        <v>89</v>
      </c>
      <c r="B1035" s="15">
        <v>3014</v>
      </c>
      <c r="C1035" s="43">
        <v>2017</v>
      </c>
      <c r="D1035" s="15">
        <v>3</v>
      </c>
      <c r="E1035" s="17">
        <f>'[14]2017 Benchmarking Calculations'!$BY$9/1000</f>
        <v>12895.779060000001</v>
      </c>
      <c r="F1035" s="41">
        <f t="shared" si="206"/>
        <v>1.2674505553724562</v>
      </c>
      <c r="G1035" s="44">
        <f>[15]General!$BI$20/1000</f>
        <v>270.34100000000001</v>
      </c>
      <c r="H1035" s="16">
        <f t="shared" si="208"/>
        <v>295.13</v>
      </c>
      <c r="I1035" s="18">
        <f>'[14]2017 Benchmarking Calculations'!$BY$56</f>
        <v>57042</v>
      </c>
      <c r="J1035" s="18">
        <f>[15]General!$BI$17</f>
        <v>1646</v>
      </c>
      <c r="K1035" s="18">
        <f>J1035*L1035</f>
        <v>566</v>
      </c>
      <c r="L1035" s="19">
        <f>[15]General!$BI$16/[15]General!$BI$17</f>
        <v>0.34386391251518833</v>
      </c>
      <c r="M1035" s="9"/>
      <c r="N1035" s="9"/>
    </row>
    <row r="1036" spans="1:14" s="15" customFormat="1">
      <c r="A1036" s="15" t="s">
        <v>89</v>
      </c>
      <c r="B1036" s="15">
        <v>3014</v>
      </c>
      <c r="C1036" s="43">
        <v>2018</v>
      </c>
      <c r="D1036" s="15">
        <v>3</v>
      </c>
      <c r="E1036" s="17">
        <f>'[16]2018 Benchmarking Calculations'!$BY$10/1000</f>
        <v>13837.41424</v>
      </c>
      <c r="F1036" s="41">
        <f t="shared" si="206"/>
        <v>1.2994718602728874</v>
      </c>
      <c r="G1036" s="44">
        <f>'[16]2018 Benchmarking Calculations'!$BY$61/1000</f>
        <v>290.74700000000001</v>
      </c>
      <c r="H1036" s="16">
        <f t="shared" si="208"/>
        <v>295.13</v>
      </c>
      <c r="I1036" s="18">
        <f>'[16]2018 Benchmarking Calculations'!$BY$57</f>
        <v>57472</v>
      </c>
      <c r="J1036" s="18">
        <f>'[16]2018 Utility Characteristics'!$BS$103</f>
        <v>1652</v>
      </c>
      <c r="K1036" s="18">
        <f>'[16]2018 Utility Characteristics'!$BS$105</f>
        <v>576</v>
      </c>
      <c r="L1036" s="19">
        <f>K1036/J1036</f>
        <v>0.34866828087167068</v>
      </c>
      <c r="M1036" s="9"/>
      <c r="N1036" s="9"/>
    </row>
    <row r="1037" spans="1:14" s="15" customFormat="1">
      <c r="A1037" s="15" t="s">
        <v>89</v>
      </c>
      <c r="B1037" s="15">
        <v>3014</v>
      </c>
      <c r="C1037" s="43">
        <v>2019</v>
      </c>
      <c r="D1037" s="15">
        <v>3</v>
      </c>
      <c r="E1037" s="17">
        <f>'[17]2019 Benchmarking Calculations'!$BY$10/1000</f>
        <v>13878.886420000001</v>
      </c>
      <c r="F1037" s="41">
        <f t="shared" si="206"/>
        <v>1.3352608354138498</v>
      </c>
      <c r="G1037" s="44">
        <f>'[17]2019 Benchmarking Calculations'!$BY$61/1000</f>
        <v>271.173</v>
      </c>
      <c r="H1037" s="16">
        <f t="shared" si="208"/>
        <v>295.13</v>
      </c>
      <c r="I1037" s="18">
        <f>'[17]2019 Benchmarking Calculations'!$BY$57</f>
        <v>57856</v>
      </c>
      <c r="J1037" s="18">
        <f>'[17]2019 Utility Characteristics'!$BS$13</f>
        <v>1648</v>
      </c>
      <c r="K1037" s="18">
        <f>'[17]2019 Utility Characteristics'!$BS$18</f>
        <v>576</v>
      </c>
      <c r="L1037" s="19">
        <f>K1037/J1037</f>
        <v>0.34951456310679613</v>
      </c>
      <c r="M1037" s="9"/>
      <c r="N1037" s="9"/>
    </row>
    <row r="1038" spans="1:14">
      <c r="A1038" s="15" t="str">
        <f>'[18]2. BM Database'!B765</f>
        <v>WELLAND HYDRO-ELECTRIC SYSTEM CORP.</v>
      </c>
      <c r="B1038" s="15">
        <v>3034</v>
      </c>
      <c r="C1038" s="43">
        <f>'[18]2. BM Database'!C765</f>
        <v>2005</v>
      </c>
      <c r="D1038" s="15">
        <v>3</v>
      </c>
      <c r="E1038" s="17">
        <f>'[18]2. BM Database'!F765/1000</f>
        <v>3695.8850000000002</v>
      </c>
      <c r="F1038" s="41">
        <f t="shared" ref="F1038:F1052" si="209">F1023</f>
        <v>1</v>
      </c>
      <c r="G1038" s="44">
        <f>'[18]2. BM Database'!P765/1000</f>
        <v>104.312</v>
      </c>
      <c r="H1038" s="16">
        <f>G1038</f>
        <v>104.312</v>
      </c>
      <c r="I1038" s="18">
        <f>'[18]2. BM Database'!L765</f>
        <v>21430</v>
      </c>
      <c r="J1038" s="18">
        <f>'[18]2. BM Database'!R765</f>
        <v>430</v>
      </c>
      <c r="K1038" s="18">
        <f t="shared" ref="K1038:K1049" si="210">J1038*L1038</f>
        <v>104</v>
      </c>
      <c r="L1038" s="19">
        <f>'[18]2. BM Database'!T765</f>
        <v>0.24186046511627907</v>
      </c>
      <c r="M1038" s="9"/>
      <c r="N1038" s="9"/>
    </row>
    <row r="1039" spans="1:14">
      <c r="A1039" s="15" t="str">
        <f>'[18]2. BM Database'!B766</f>
        <v>WELLAND HYDRO-ELECTRIC SYSTEM CORP.</v>
      </c>
      <c r="B1039" s="15">
        <v>3034</v>
      </c>
      <c r="C1039" s="43">
        <f>'[18]2. BM Database'!C766</f>
        <v>2006</v>
      </c>
      <c r="D1039" s="15">
        <v>3</v>
      </c>
      <c r="E1039" s="17">
        <f>'[18]2. BM Database'!F766/1000</f>
        <v>3855.9960000000001</v>
      </c>
      <c r="F1039" s="41">
        <f t="shared" si="209"/>
        <v>1.0181607380073696</v>
      </c>
      <c r="G1039" s="44">
        <f>'[18]2. BM Database'!P766/1000</f>
        <v>104.372</v>
      </c>
      <c r="H1039" s="16">
        <f>MAX(G1039,H1038)</f>
        <v>104.372</v>
      </c>
      <c r="I1039" s="18">
        <f>'[18]2. BM Database'!L766</f>
        <v>21295</v>
      </c>
      <c r="J1039" s="18">
        <f>'[18]2. BM Database'!R766</f>
        <v>431</v>
      </c>
      <c r="K1039" s="18">
        <f t="shared" si="210"/>
        <v>104</v>
      </c>
      <c r="L1039" s="19">
        <f>'[18]2. BM Database'!T766</f>
        <v>0.24129930394431554</v>
      </c>
      <c r="M1039" s="9"/>
      <c r="N1039" s="9"/>
    </row>
    <row r="1040" spans="1:14">
      <c r="A1040" s="15" t="str">
        <f>'[18]2. BM Database'!B767</f>
        <v>WELLAND HYDRO-ELECTRIC SYSTEM CORP.</v>
      </c>
      <c r="B1040" s="15">
        <v>3034</v>
      </c>
      <c r="C1040" s="43">
        <f>'[18]2. BM Database'!C767</f>
        <v>2007</v>
      </c>
      <c r="D1040" s="15">
        <v>3</v>
      </c>
      <c r="E1040" s="17">
        <f>'[18]2. BM Database'!F767/1000</f>
        <v>4362.2937400000001</v>
      </c>
      <c r="F1040" s="41">
        <f t="shared" si="209"/>
        <v>1.0531931014872313</v>
      </c>
      <c r="G1040" s="44">
        <f>'[18]2. BM Database'!P767/1000</f>
        <v>104.372</v>
      </c>
      <c r="H1040" s="16">
        <f t="shared" ref="H1040:H1052" si="211">MAX(G1040,H1039)</f>
        <v>104.372</v>
      </c>
      <c r="I1040" s="18">
        <f>'[18]2. BM Database'!L767</f>
        <v>21389</v>
      </c>
      <c r="J1040" s="18">
        <f>'[18]2. BM Database'!R767</f>
        <v>438</v>
      </c>
      <c r="K1040" s="18">
        <f t="shared" si="210"/>
        <v>109</v>
      </c>
      <c r="L1040" s="19">
        <f>'[18]2. BM Database'!T767</f>
        <v>0.24885844748858446</v>
      </c>
      <c r="M1040" s="9"/>
      <c r="N1040" s="9"/>
    </row>
    <row r="1041" spans="1:14">
      <c r="A1041" s="15" t="str">
        <f>'[18]2. BM Database'!B768</f>
        <v>WELLAND HYDRO-ELECTRIC SYSTEM CORP.</v>
      </c>
      <c r="B1041" s="15">
        <v>3034</v>
      </c>
      <c r="C1041" s="43">
        <f>'[18]2. BM Database'!C768</f>
        <v>2008</v>
      </c>
      <c r="D1041" s="15">
        <v>3</v>
      </c>
      <c r="E1041" s="17">
        <f>'[18]2. BM Database'!F768/1000</f>
        <v>4486.5548200000003</v>
      </c>
      <c r="F1041" s="41">
        <f t="shared" si="209"/>
        <v>1.078564603993923</v>
      </c>
      <c r="G1041" s="44">
        <f>'[18]2. BM Database'!P768/1000</f>
        <v>94.801000000000002</v>
      </c>
      <c r="H1041" s="16">
        <f t="shared" si="211"/>
        <v>104.372</v>
      </c>
      <c r="I1041" s="18">
        <f>'[18]2. BM Database'!L768</f>
        <v>21706</v>
      </c>
      <c r="J1041" s="18">
        <f>'[18]2. BM Database'!R768</f>
        <v>443</v>
      </c>
      <c r="K1041" s="18">
        <f t="shared" si="210"/>
        <v>112.99999999999999</v>
      </c>
      <c r="L1041" s="19">
        <f>'[18]2. BM Database'!T768</f>
        <v>0.25507900677200901</v>
      </c>
      <c r="M1041" s="9"/>
      <c r="N1041" s="9"/>
    </row>
    <row r="1042" spans="1:14">
      <c r="A1042" s="15" t="str">
        <f>'[18]2. BM Database'!B769</f>
        <v>WELLAND HYDRO-ELECTRIC SYSTEM CORP.</v>
      </c>
      <c r="B1042" s="15">
        <v>3034</v>
      </c>
      <c r="C1042" s="43">
        <f>'[18]2. BM Database'!C769</f>
        <v>2009</v>
      </c>
      <c r="D1042" s="15">
        <v>3</v>
      </c>
      <c r="E1042" s="17">
        <f>'[18]2. BM Database'!F769/1000</f>
        <v>4808.05</v>
      </c>
      <c r="F1042" s="41">
        <f t="shared" si="209"/>
        <v>1.0915070880241431</v>
      </c>
      <c r="G1042" s="44">
        <f>'[18]2. BM Database'!P769/1000</f>
        <v>85.983000000000004</v>
      </c>
      <c r="H1042" s="16">
        <f t="shared" si="211"/>
        <v>104.372</v>
      </c>
      <c r="I1042" s="18">
        <f>'[18]2. BM Database'!L769</f>
        <v>21702</v>
      </c>
      <c r="J1042" s="18">
        <f>'[18]2. BM Database'!R769</f>
        <v>443</v>
      </c>
      <c r="K1042" s="18">
        <f t="shared" si="210"/>
        <v>112.99999999999999</v>
      </c>
      <c r="L1042" s="19">
        <f>'[18]2. BM Database'!T769</f>
        <v>0.25507900677200901</v>
      </c>
      <c r="M1042" s="9"/>
      <c r="N1042" s="9"/>
    </row>
    <row r="1043" spans="1:14">
      <c r="A1043" s="15" t="str">
        <f>'[18]2. BM Database'!B770</f>
        <v>WELLAND HYDRO-ELECTRIC SYSTEM CORP.</v>
      </c>
      <c r="B1043" s="15">
        <v>3034</v>
      </c>
      <c r="C1043" s="43">
        <f>'[18]2. BM Database'!C770</f>
        <v>2010</v>
      </c>
      <c r="D1043" s="15">
        <v>3</v>
      </c>
      <c r="E1043" s="17">
        <f>'[18]2. BM Database'!F770/1000</f>
        <v>4588.2470000000003</v>
      </c>
      <c r="F1043" s="41">
        <f t="shared" si="209"/>
        <v>1.1243125351578573</v>
      </c>
      <c r="G1043" s="44">
        <f>'[18]2. BM Database'!P770/1000</f>
        <v>96.028000000000006</v>
      </c>
      <c r="H1043" s="16">
        <f t="shared" si="211"/>
        <v>104.372</v>
      </c>
      <c r="I1043" s="18">
        <f>'[18]2. BM Database'!L770</f>
        <v>21411</v>
      </c>
      <c r="J1043" s="18">
        <f>'[18]2. BM Database'!R770</f>
        <v>441</v>
      </c>
      <c r="K1043" s="18">
        <f t="shared" si="210"/>
        <v>112</v>
      </c>
      <c r="L1043" s="19">
        <f>'[18]2. BM Database'!T770</f>
        <v>0.25396825396825395</v>
      </c>
      <c r="M1043" s="9"/>
      <c r="N1043" s="9"/>
    </row>
    <row r="1044" spans="1:14">
      <c r="A1044" s="15" t="str">
        <f>'[18]2. BM Database'!B771</f>
        <v>WELLAND HYDRO-ELECTRIC SYSTEM CORP.</v>
      </c>
      <c r="B1044" s="15">
        <v>3034</v>
      </c>
      <c r="C1044" s="43">
        <f>'[18]2. BM Database'!C771</f>
        <v>2011</v>
      </c>
      <c r="D1044" s="15">
        <v>3</v>
      </c>
      <c r="E1044" s="17">
        <f>'[18]2. BM Database'!F771/1000</f>
        <v>5112.1424500000003</v>
      </c>
      <c r="F1044" s="41">
        <f t="shared" si="209"/>
        <v>1.1430978626415853</v>
      </c>
      <c r="G1044" s="44">
        <f>'[18]2. BM Database'!P771/1000</f>
        <v>98.477999999999994</v>
      </c>
      <c r="H1044" s="16">
        <f t="shared" si="211"/>
        <v>104.372</v>
      </c>
      <c r="I1044" s="18">
        <f>'[18]2. BM Database'!L771</f>
        <v>21768</v>
      </c>
      <c r="J1044" s="18">
        <f>'[18]2. BM Database'!R771</f>
        <v>300</v>
      </c>
      <c r="K1044" s="18">
        <f t="shared" si="210"/>
        <v>87</v>
      </c>
      <c r="L1044" s="19">
        <f>'[18]2. BM Database'!T771</f>
        <v>0.28999999999999998</v>
      </c>
      <c r="M1044" s="9"/>
      <c r="N1044" s="9"/>
    </row>
    <row r="1045" spans="1:14">
      <c r="A1045" s="15" t="str">
        <f>'[18]2. BM Database'!B772</f>
        <v>WELLAND HYDRO-ELECTRIC SYSTEM CORP.</v>
      </c>
      <c r="B1045" s="15">
        <v>3034</v>
      </c>
      <c r="C1045" s="43">
        <f>'[18]2. BM Database'!C772</f>
        <v>2012</v>
      </c>
      <c r="D1045" s="15">
        <v>3</v>
      </c>
      <c r="E1045" s="17">
        <f>'[18]2. BM Database'!F772/1000</f>
        <v>5879.7897389</v>
      </c>
      <c r="F1045" s="41">
        <f t="shared" si="209"/>
        <v>1.160126854517312</v>
      </c>
      <c r="G1045" s="44">
        <f>'[18]2. BM Database'!P772</f>
        <v>89</v>
      </c>
      <c r="H1045" s="16">
        <f t="shared" si="211"/>
        <v>104.372</v>
      </c>
      <c r="I1045" s="18">
        <f>'[18]2. BM Database'!L772</f>
        <v>22053</v>
      </c>
      <c r="J1045" s="18">
        <f>'[18]2. BM Database'!R772</f>
        <v>461</v>
      </c>
      <c r="K1045" s="18">
        <f t="shared" si="210"/>
        <v>122.99999999999999</v>
      </c>
      <c r="L1045" s="19">
        <f>'[18]2. BM Database'!T772</f>
        <v>0.26681127982646419</v>
      </c>
      <c r="M1045" s="9"/>
      <c r="N1045" s="9"/>
    </row>
    <row r="1046" spans="1:14" s="15" customFormat="1">
      <c r="A1046" s="15" t="s">
        <v>90</v>
      </c>
      <c r="B1046" s="15">
        <v>3034</v>
      </c>
      <c r="C1046" s="43">
        <v>2013</v>
      </c>
      <c r="D1046" s="15">
        <v>3</v>
      </c>
      <c r="E1046" s="17">
        <f>HLOOKUP(A1046,'[19]2013 Benchmarking Calculations'!$I$3:$CC$76,6,FALSE)/1000</f>
        <v>5889.642170000001</v>
      </c>
      <c r="F1046" s="41">
        <f t="shared" si="209"/>
        <v>1.178602141578931</v>
      </c>
      <c r="G1046" s="44">
        <f>HLOOKUP(A1046,'[19]2013 Benchmarking Calculations'!$I$3:$CC$76,57,FALSE)/1000</f>
        <v>93.582999999999998</v>
      </c>
      <c r="H1046" s="16">
        <f t="shared" si="211"/>
        <v>104.372</v>
      </c>
      <c r="I1046" s="18">
        <f>HLOOKUP(A1046,'[19]2013 Benchmarking Calculations'!$I$3:$CC$76,53,FALSE)</f>
        <v>22330</v>
      </c>
      <c r="J1046" s="18">
        <f>HLOOKUP(A1046,'[19]2013 Benchmarking Calculations'!$I$3:$CC$76,71,FALSE)</f>
        <v>448</v>
      </c>
      <c r="K1046" s="18">
        <f t="shared" si="210"/>
        <v>117</v>
      </c>
      <c r="L1046" s="19">
        <f>HLOOKUP(A1046,'[19]2013 PBR data '!B$42:BV$68,15,FALSE)/HLOOKUP(A1046,'[19]2013 PBR data '!B$42:BV$68,13,FALSE)</f>
        <v>0.2611607142857143</v>
      </c>
      <c r="M1046" s="9"/>
      <c r="N1046" s="9"/>
    </row>
    <row r="1047" spans="1:14" s="15" customFormat="1">
      <c r="A1047" s="15" t="s">
        <v>90</v>
      </c>
      <c r="B1047" s="15">
        <v>3034</v>
      </c>
      <c r="C1047" s="43">
        <v>2014</v>
      </c>
      <c r="D1047" s="15">
        <v>3</v>
      </c>
      <c r="E1047" s="17">
        <f>VLOOKUP(A1047,[20]Result!$B$12:$D$84,2,FALSE)/10^3</f>
        <v>6003.7610000000004</v>
      </c>
      <c r="F1047" s="41">
        <f t="shared" si="209"/>
        <v>1.2030671041042156</v>
      </c>
      <c r="G1047" s="44">
        <f>VLOOKUP(A1047,'[21]General transpose'!$A$1:$AF$73,26,FALSE)/10^3</f>
        <v>76.387</v>
      </c>
      <c r="H1047" s="16">
        <f t="shared" si="211"/>
        <v>104.372</v>
      </c>
      <c r="I1047" s="18">
        <f>VLOOKUP(A1047,'[21]General transpose'!$A$1:$AF$73,8,FALSE)</f>
        <v>22470</v>
      </c>
      <c r="J1047" s="18">
        <f>VLOOKUP(A1047,'[21]General transpose'!$A$1:$AF$73,16,FALSE)</f>
        <v>466</v>
      </c>
      <c r="K1047" s="18">
        <f t="shared" si="210"/>
        <v>133</v>
      </c>
      <c r="L1047" s="19">
        <f>VLOOKUP(A1047,'[21]General transpose'!$A$1:$AF$73,17,FALSE)</f>
        <v>0.28540772532188841</v>
      </c>
      <c r="M1047" s="9"/>
      <c r="N1047" s="9"/>
    </row>
    <row r="1048" spans="1:14" s="15" customFormat="1">
      <c r="A1048" s="15" t="s">
        <v>90</v>
      </c>
      <c r="B1048" s="15">
        <v>3034</v>
      </c>
      <c r="C1048" s="43">
        <v>2015</v>
      </c>
      <c r="D1048" s="15">
        <v>3</v>
      </c>
      <c r="E1048" s="17">
        <f>VLOOKUP(A1047,[20]Result!$B$12:$D$84,3,FALSE)/10^3</f>
        <v>6172.8339999999998</v>
      </c>
      <c r="F1048" s="41">
        <f t="shared" si="209"/>
        <v>1.2312762402864634</v>
      </c>
      <c r="G1048" s="44">
        <f>VLOOKUP(A1047,'[22]General transpose'!$A$1:$AF$73,26,FALSE)/10^3</f>
        <v>73.421999999999997</v>
      </c>
      <c r="H1048" s="16">
        <f t="shared" si="211"/>
        <v>104.372</v>
      </c>
      <c r="I1048" s="18">
        <f>VLOOKUP(A1047,'[22]General transpose'!$A$1:$AF$73,8,FALSE)</f>
        <v>22666</v>
      </c>
      <c r="J1048" s="18">
        <f>VLOOKUP(A1047,'[22]General transpose'!$A$1:$AF$73,16,FALSE)</f>
        <v>480</v>
      </c>
      <c r="K1048" s="18">
        <f t="shared" si="210"/>
        <v>142</v>
      </c>
      <c r="L1048" s="19">
        <f>VLOOKUP(A1047,'[22]General transpose'!$A$1:$AF$73,17,FALSE)</f>
        <v>0.29583333333333334</v>
      </c>
      <c r="M1048" s="9"/>
      <c r="N1048" s="9"/>
    </row>
    <row r="1049" spans="1:14" s="15" customFormat="1">
      <c r="A1049" s="15" t="s">
        <v>90</v>
      </c>
      <c r="B1049" s="15">
        <v>3034</v>
      </c>
      <c r="C1049" s="43">
        <v>2016</v>
      </c>
      <c r="D1049" s="15">
        <v>3</v>
      </c>
      <c r="E1049" s="17">
        <f>'[14]2016 Benchmarking Calculations'!$BX$8/1000</f>
        <v>6568.5993899999994</v>
      </c>
      <c r="F1049" s="41">
        <f t="shared" si="209"/>
        <v>1.2455044937824149</v>
      </c>
      <c r="G1049" s="44">
        <f>HLOOKUP(A1049,[23]General!$A$1:$BQ$23,22,FALSE)/10^3</f>
        <v>77.48</v>
      </c>
      <c r="H1049" s="16">
        <f t="shared" si="211"/>
        <v>104.372</v>
      </c>
      <c r="I1049" s="18">
        <f>HLOOKUP(A1049,[23]General!$A$1:$BQ$23,9,FALSE)</f>
        <v>22853</v>
      </c>
      <c r="J1049" s="18">
        <f>HLOOKUP(A1049,[23]General!$A$1:$BQ$23,17,FALSE)</f>
        <v>480</v>
      </c>
      <c r="K1049" s="18">
        <f t="shared" si="210"/>
        <v>142</v>
      </c>
      <c r="L1049" s="19">
        <f>HLOOKUP(A1049,[23]General!$A$1:$BQ$23,18,FALSE)</f>
        <v>0.29583333333333334</v>
      </c>
      <c r="M1049" s="9"/>
      <c r="N1049" s="9"/>
    </row>
    <row r="1050" spans="1:14" s="15" customFormat="1">
      <c r="A1050" s="15" t="s">
        <v>90</v>
      </c>
      <c r="B1050" s="15">
        <v>3034</v>
      </c>
      <c r="C1050" s="43">
        <v>2017</v>
      </c>
      <c r="D1050" s="15">
        <v>3</v>
      </c>
      <c r="E1050" s="17">
        <f>'[14]2017 Benchmarking Calculations'!$BZ$9/1000</f>
        <v>6597.2320999999993</v>
      </c>
      <c r="F1050" s="41">
        <f t="shared" si="209"/>
        <v>1.2674505553724562</v>
      </c>
      <c r="G1050" s="44">
        <f>[15]General!$BJ$20/1000</f>
        <v>73.021000000000001</v>
      </c>
      <c r="H1050" s="16">
        <f t="shared" si="211"/>
        <v>104.372</v>
      </c>
      <c r="I1050" s="18">
        <f>[15]General!$BJ$9</f>
        <v>23048</v>
      </c>
      <c r="J1050" s="18">
        <f>[15]General!$BJ$17</f>
        <v>479</v>
      </c>
      <c r="K1050" s="18">
        <f>J1050*L1050</f>
        <v>142</v>
      </c>
      <c r="L1050" s="19">
        <f>[15]General!$BJ$16/[15]General!$BJ$17</f>
        <v>0.29645093945720252</v>
      </c>
      <c r="M1050" s="9"/>
      <c r="N1050" s="9"/>
    </row>
    <row r="1051" spans="1:14" s="15" customFormat="1">
      <c r="A1051" s="15" t="s">
        <v>90</v>
      </c>
      <c r="B1051" s="15">
        <v>3034</v>
      </c>
      <c r="C1051" s="43">
        <v>2018</v>
      </c>
      <c r="D1051" s="15">
        <v>3</v>
      </c>
      <c r="E1051" s="17">
        <f>'[16]2018 Benchmarking Calculations'!$BZ$10/1000</f>
        <v>6608.0439899999992</v>
      </c>
      <c r="F1051" s="41">
        <f t="shared" si="209"/>
        <v>1.2994718602728874</v>
      </c>
      <c r="G1051" s="44">
        <f>'[16]2018 Benchmarking Calculations'!$BZ$61/1000</f>
        <v>79.116</v>
      </c>
      <c r="H1051" s="16">
        <f t="shared" si="211"/>
        <v>104.372</v>
      </c>
      <c r="I1051" s="18">
        <f>'[16]2018 Benchmarking Calculations'!$BZ$57</f>
        <v>23366</v>
      </c>
      <c r="J1051" s="18">
        <f>'[16]2018 Utility Characteristics'!$BT$103</f>
        <v>481</v>
      </c>
      <c r="K1051" s="18">
        <f>'[16]2018 Utility Characteristics'!$BT$105</f>
        <v>147</v>
      </c>
      <c r="L1051" s="19">
        <f>K1051/J1051</f>
        <v>0.30561330561330563</v>
      </c>
      <c r="M1051" s="9"/>
      <c r="N1051" s="9"/>
    </row>
    <row r="1052" spans="1:14" s="15" customFormat="1">
      <c r="A1052" s="15" t="s">
        <v>90</v>
      </c>
      <c r="B1052" s="15">
        <v>3034</v>
      </c>
      <c r="C1052" s="43">
        <v>2019</v>
      </c>
      <c r="D1052" s="15">
        <v>3</v>
      </c>
      <c r="E1052" s="17">
        <f>'[17]2019 Benchmarking Calculations'!$BZ$10/1000</f>
        <v>6757.9180299999989</v>
      </c>
      <c r="F1052" s="41">
        <f t="shared" si="209"/>
        <v>1.3352608354138498</v>
      </c>
      <c r="G1052" s="44">
        <f>'[17]2019 Benchmarking Calculations'!$BZ$61/1000</f>
        <v>73.287999999999997</v>
      </c>
      <c r="H1052" s="16">
        <f t="shared" si="211"/>
        <v>104.372</v>
      </c>
      <c r="I1052" s="18">
        <f>'[17]2019 Benchmarking Calculations'!$BZ$57</f>
        <v>23664</v>
      </c>
      <c r="J1052" s="18">
        <f>'[17]2019 Utility Characteristics'!$BT$13</f>
        <v>490</v>
      </c>
      <c r="K1052" s="18">
        <f>'[17]2019 Utility Characteristics'!$BT$15</f>
        <v>155</v>
      </c>
      <c r="L1052" s="19">
        <f>K1052/J1052</f>
        <v>0.31632653061224492</v>
      </c>
      <c r="M1052" s="9"/>
      <c r="N1052" s="9"/>
    </row>
    <row r="1053" spans="1:14">
      <c r="A1053" s="15" t="str">
        <f>'[18]2. BM Database'!B776</f>
        <v>WELLINGTON NORTH POWER INC.</v>
      </c>
      <c r="B1053" s="15">
        <v>3065</v>
      </c>
      <c r="C1053" s="43">
        <f>'[18]2. BM Database'!C776</f>
        <v>2005</v>
      </c>
      <c r="D1053" s="15">
        <v>3</v>
      </c>
      <c r="E1053" s="17">
        <f>'[18]2. BM Database'!F776/1000</f>
        <v>911.80142000000001</v>
      </c>
      <c r="F1053" s="41">
        <f t="shared" ref="F1053:F1067" si="212">F1038</f>
        <v>1</v>
      </c>
      <c r="G1053" s="44">
        <f>'[18]2. BM Database'!P776/1000</f>
        <v>16.597999999999999</v>
      </c>
      <c r="H1053" s="16">
        <f>G1053</f>
        <v>16.597999999999999</v>
      </c>
      <c r="I1053" s="18">
        <f>'[18]2. BM Database'!L776</f>
        <v>3416</v>
      </c>
      <c r="J1053" s="18">
        <f>'[18]2. BM Database'!R776</f>
        <v>165</v>
      </c>
      <c r="K1053" s="18">
        <f t="shared" ref="K1053:K1064" si="213">J1053*L1053</f>
        <v>12</v>
      </c>
      <c r="L1053" s="19">
        <f>'[18]2. BM Database'!T776</f>
        <v>7.2727272727272724E-2</v>
      </c>
      <c r="M1053" s="9"/>
      <c r="N1053" s="9"/>
    </row>
    <row r="1054" spans="1:14">
      <c r="A1054" s="15" t="str">
        <f>'[18]2. BM Database'!B777</f>
        <v>WELLINGTON NORTH POWER INC.</v>
      </c>
      <c r="B1054" s="15">
        <v>3065</v>
      </c>
      <c r="C1054" s="43">
        <f>'[18]2. BM Database'!C777</f>
        <v>2006</v>
      </c>
      <c r="D1054" s="15">
        <v>3</v>
      </c>
      <c r="E1054" s="17">
        <f>'[18]2. BM Database'!F777/1000</f>
        <v>1006.7868699999999</v>
      </c>
      <c r="F1054" s="41">
        <f t="shared" si="212"/>
        <v>1.0181607380073696</v>
      </c>
      <c r="G1054" s="44">
        <f>'[18]2. BM Database'!P777/1000</f>
        <v>16.327999999999999</v>
      </c>
      <c r="H1054" s="16">
        <f>MAX(G1054,H1053)</f>
        <v>16.597999999999999</v>
      </c>
      <c r="I1054" s="18">
        <f>'[18]2. BM Database'!L777</f>
        <v>3454</v>
      </c>
      <c r="J1054" s="18">
        <f>'[18]2. BM Database'!R777</f>
        <v>139</v>
      </c>
      <c r="K1054" s="18">
        <f t="shared" si="213"/>
        <v>12</v>
      </c>
      <c r="L1054" s="19">
        <f>'[18]2. BM Database'!T777</f>
        <v>8.6330935251798566E-2</v>
      </c>
      <c r="M1054" s="9"/>
      <c r="N1054" s="9"/>
    </row>
    <row r="1055" spans="1:14">
      <c r="A1055" s="15" t="str">
        <f>'[18]2. BM Database'!B778</f>
        <v>WELLINGTON NORTH POWER INC.</v>
      </c>
      <c r="B1055" s="15">
        <v>3065</v>
      </c>
      <c r="C1055" s="43">
        <f>'[18]2. BM Database'!C778</f>
        <v>2007</v>
      </c>
      <c r="D1055" s="15">
        <v>3</v>
      </c>
      <c r="E1055" s="17">
        <f>'[18]2. BM Database'!F778/1000</f>
        <v>990.47429</v>
      </c>
      <c r="F1055" s="41">
        <f t="shared" si="212"/>
        <v>1.0531931014872313</v>
      </c>
      <c r="G1055" s="44">
        <f>'[18]2. BM Database'!P778/1000</f>
        <v>16.478000000000002</v>
      </c>
      <c r="H1055" s="16">
        <f t="shared" ref="H1055:H1067" si="214">MAX(G1055,H1054)</f>
        <v>16.597999999999999</v>
      </c>
      <c r="I1055" s="18">
        <f>'[18]2. BM Database'!L778</f>
        <v>3486</v>
      </c>
      <c r="J1055" s="18">
        <f>'[18]2. BM Database'!R778</f>
        <v>73</v>
      </c>
      <c r="K1055" s="18">
        <f t="shared" si="213"/>
        <v>9</v>
      </c>
      <c r="L1055" s="19">
        <f>'[18]2. BM Database'!T778</f>
        <v>0.12328767123287671</v>
      </c>
      <c r="M1055" s="9"/>
      <c r="N1055" s="9"/>
    </row>
    <row r="1056" spans="1:14">
      <c r="A1056" s="15" t="str">
        <f>'[18]2. BM Database'!B779</f>
        <v>WELLINGTON NORTH POWER INC.</v>
      </c>
      <c r="B1056" s="15">
        <v>3065</v>
      </c>
      <c r="C1056" s="43">
        <f>'[18]2. BM Database'!C779</f>
        <v>2008</v>
      </c>
      <c r="D1056" s="15">
        <v>3</v>
      </c>
      <c r="E1056" s="17">
        <f>'[18]2. BM Database'!F779/1000</f>
        <v>1186.58593</v>
      </c>
      <c r="F1056" s="41">
        <f t="shared" si="212"/>
        <v>1.078564603993923</v>
      </c>
      <c r="G1056" s="44">
        <f>'[18]2. BM Database'!P779/1000</f>
        <v>16.518999999999998</v>
      </c>
      <c r="H1056" s="16">
        <f t="shared" si="214"/>
        <v>16.597999999999999</v>
      </c>
      <c r="I1056" s="18">
        <f>'[18]2. BM Database'!L779</f>
        <v>3535</v>
      </c>
      <c r="J1056" s="18">
        <f>'[18]2. BM Database'!R779</f>
        <v>75</v>
      </c>
      <c r="K1056" s="18">
        <f t="shared" si="213"/>
        <v>9</v>
      </c>
      <c r="L1056" s="19">
        <f>'[18]2. BM Database'!T779</f>
        <v>0.12</v>
      </c>
      <c r="M1056" s="9"/>
      <c r="N1056" s="9"/>
    </row>
    <row r="1057" spans="1:14">
      <c r="A1057" s="15" t="str">
        <f>'[18]2. BM Database'!B780</f>
        <v>WELLINGTON NORTH POWER INC.</v>
      </c>
      <c r="B1057" s="15">
        <v>3065</v>
      </c>
      <c r="C1057" s="43">
        <f>'[18]2. BM Database'!C780</f>
        <v>2009</v>
      </c>
      <c r="D1057" s="15">
        <v>3</v>
      </c>
      <c r="E1057" s="17">
        <f>'[18]2. BM Database'!F780/1000</f>
        <v>1142.7833700000001</v>
      </c>
      <c r="F1057" s="41">
        <f t="shared" si="212"/>
        <v>1.0915070880241431</v>
      </c>
      <c r="G1057" s="44">
        <f>'[18]2. BM Database'!P780/1000</f>
        <v>16.602</v>
      </c>
      <c r="H1057" s="16">
        <f t="shared" si="214"/>
        <v>16.602</v>
      </c>
      <c r="I1057" s="18">
        <f>'[18]2. BM Database'!L780</f>
        <v>3585</v>
      </c>
      <c r="J1057" s="18">
        <f>'[18]2. BM Database'!R780</f>
        <v>76</v>
      </c>
      <c r="K1057" s="18">
        <f t="shared" si="213"/>
        <v>10</v>
      </c>
      <c r="L1057" s="19">
        <f>'[18]2. BM Database'!T780</f>
        <v>0.13157894736842105</v>
      </c>
      <c r="M1057" s="9"/>
      <c r="N1057" s="9"/>
    </row>
    <row r="1058" spans="1:14">
      <c r="A1058" s="15" t="str">
        <f>'[18]2. BM Database'!B781</f>
        <v>WELLINGTON NORTH POWER INC.</v>
      </c>
      <c r="B1058" s="15">
        <v>3065</v>
      </c>
      <c r="C1058" s="43">
        <f>'[18]2. BM Database'!C781</f>
        <v>2010</v>
      </c>
      <c r="D1058" s="15">
        <v>3</v>
      </c>
      <c r="E1058" s="17">
        <f>'[18]2. BM Database'!F781/1000</f>
        <v>1237.3199099999999</v>
      </c>
      <c r="F1058" s="41">
        <f t="shared" si="212"/>
        <v>1.1243125351578573</v>
      </c>
      <c r="G1058" s="44">
        <f>'[18]2. BM Database'!P781/1000</f>
        <v>17.452000000000002</v>
      </c>
      <c r="H1058" s="16">
        <f t="shared" si="214"/>
        <v>17.452000000000002</v>
      </c>
      <c r="I1058" s="18">
        <f>'[18]2. BM Database'!L781</f>
        <v>3613</v>
      </c>
      <c r="J1058" s="18">
        <f>'[18]2. BM Database'!R781</f>
        <v>76</v>
      </c>
      <c r="K1058" s="18">
        <f t="shared" si="213"/>
        <v>10</v>
      </c>
      <c r="L1058" s="19">
        <f>'[18]2. BM Database'!T781</f>
        <v>0.13157894736842105</v>
      </c>
      <c r="M1058" s="9"/>
      <c r="N1058" s="9"/>
    </row>
    <row r="1059" spans="1:14">
      <c r="A1059" s="15" t="str">
        <f>'[18]2. BM Database'!B782</f>
        <v>WELLINGTON NORTH POWER INC.</v>
      </c>
      <c r="B1059" s="15">
        <v>3065</v>
      </c>
      <c r="C1059" s="43">
        <f>'[18]2. BM Database'!C782</f>
        <v>2011</v>
      </c>
      <c r="D1059" s="15">
        <v>3</v>
      </c>
      <c r="E1059" s="17">
        <f>'[18]2. BM Database'!F782/1000</f>
        <v>1548.4065399999999</v>
      </c>
      <c r="F1059" s="41">
        <f t="shared" si="212"/>
        <v>1.1430978626415853</v>
      </c>
      <c r="G1059" s="44">
        <f>'[18]2. BM Database'!P782/1000</f>
        <v>17.539000000000001</v>
      </c>
      <c r="H1059" s="16">
        <f t="shared" si="214"/>
        <v>17.539000000000001</v>
      </c>
      <c r="I1059" s="18">
        <f>'[18]2. BM Database'!L782</f>
        <v>3626</v>
      </c>
      <c r="J1059" s="18">
        <f>'[18]2. BM Database'!R782</f>
        <v>76</v>
      </c>
      <c r="K1059" s="18">
        <f t="shared" si="213"/>
        <v>10</v>
      </c>
      <c r="L1059" s="19">
        <f>'[18]2. BM Database'!T782</f>
        <v>0.13157894736842105</v>
      </c>
      <c r="M1059" s="9"/>
      <c r="N1059" s="9"/>
    </row>
    <row r="1060" spans="1:14">
      <c r="A1060" s="15" t="str">
        <f>'[18]2. BM Database'!B783</f>
        <v>WELLINGTON NORTH POWER INC.</v>
      </c>
      <c r="B1060" s="15">
        <v>3065</v>
      </c>
      <c r="C1060" s="43">
        <f>'[18]2. BM Database'!C783</f>
        <v>2012</v>
      </c>
      <c r="D1060" s="15">
        <v>3</v>
      </c>
      <c r="E1060" s="17">
        <f>'[18]2. BM Database'!F783/1000</f>
        <v>1524.5608125000001</v>
      </c>
      <c r="F1060" s="41">
        <f t="shared" si="212"/>
        <v>1.160126854517312</v>
      </c>
      <c r="G1060" s="44">
        <f>'[18]2. BM Database'!P783/1000</f>
        <v>17.225000000000001</v>
      </c>
      <c r="H1060" s="16">
        <f t="shared" si="214"/>
        <v>17.539000000000001</v>
      </c>
      <c r="I1060" s="18">
        <f>'[18]2. BM Database'!L783</f>
        <v>3649</v>
      </c>
      <c r="J1060" s="18">
        <f>'[18]2. BM Database'!R783</f>
        <v>76</v>
      </c>
      <c r="K1060" s="18">
        <f t="shared" si="213"/>
        <v>10</v>
      </c>
      <c r="L1060" s="19">
        <f>'[18]2. BM Database'!T783</f>
        <v>0.13157894736842105</v>
      </c>
      <c r="M1060" s="9"/>
      <c r="N1060" s="9"/>
    </row>
    <row r="1061" spans="1:14" s="15" customFormat="1">
      <c r="A1061" s="15" t="s">
        <v>91</v>
      </c>
      <c r="B1061" s="15">
        <v>3065</v>
      </c>
      <c r="C1061" s="43">
        <v>2013</v>
      </c>
      <c r="D1061" s="15">
        <v>3</v>
      </c>
      <c r="E1061" s="17">
        <f>HLOOKUP(A1061,'[19]2013 Benchmarking Calculations'!$I$3:$CC$76,6,FALSE)/1000</f>
        <v>1724.1308300000001</v>
      </c>
      <c r="F1061" s="41">
        <f t="shared" si="212"/>
        <v>1.178602141578931</v>
      </c>
      <c r="G1061" s="44">
        <f>HLOOKUP(A1061,'[19]2013 Benchmarking Calculations'!$I$3:$CC$76,57,FALSE)/1000</f>
        <v>17.713999999999999</v>
      </c>
      <c r="H1061" s="16">
        <f t="shared" si="214"/>
        <v>17.713999999999999</v>
      </c>
      <c r="I1061" s="18">
        <f>HLOOKUP(A1061,'[19]2013 Benchmarking Calculations'!$I$3:$CC$76,53,FALSE)</f>
        <v>3695</v>
      </c>
      <c r="J1061" s="18">
        <f>HLOOKUP(A1061,'[19]2013 Benchmarking Calculations'!$I$3:$CC$76,71,FALSE)</f>
        <v>76</v>
      </c>
      <c r="K1061" s="18">
        <f t="shared" si="213"/>
        <v>10</v>
      </c>
      <c r="L1061" s="19">
        <f>HLOOKUP(A1061,'[19]2013 PBR data '!B$42:BV$68,15,FALSE)/HLOOKUP(A1061,'[19]2013 PBR data '!B$42:BV$68,13,FALSE)</f>
        <v>0.13157894736842105</v>
      </c>
      <c r="M1061" s="9"/>
      <c r="N1061" s="9"/>
    </row>
    <row r="1062" spans="1:14" s="15" customFormat="1">
      <c r="A1062" s="15" t="s">
        <v>91</v>
      </c>
      <c r="B1062" s="15">
        <v>3065</v>
      </c>
      <c r="C1062" s="43">
        <v>2014</v>
      </c>
      <c r="D1062" s="15">
        <v>3</v>
      </c>
      <c r="E1062" s="17">
        <f>VLOOKUP(A1062,[20]Result!$B$12:$D$84,2,FALSE)/10^3</f>
        <v>1700.7059999999999</v>
      </c>
      <c r="F1062" s="41">
        <f t="shared" si="212"/>
        <v>1.2030671041042156</v>
      </c>
      <c r="G1062" s="44">
        <f>VLOOKUP(A1062,'[21]General transpose'!$A$1:$AF$73,26,FALSE)/10^3</f>
        <v>17.896999999999998</v>
      </c>
      <c r="H1062" s="16">
        <f t="shared" si="214"/>
        <v>17.896999999999998</v>
      </c>
      <c r="I1062" s="18">
        <f>VLOOKUP(A1062,'[21]General transpose'!$A$1:$AF$73,8,FALSE)</f>
        <v>3731</v>
      </c>
      <c r="J1062" s="18">
        <f>VLOOKUP(A1062,'[21]General transpose'!$A$1:$AF$73,16,FALSE)</f>
        <v>76</v>
      </c>
      <c r="K1062" s="18">
        <f t="shared" si="213"/>
        <v>10</v>
      </c>
      <c r="L1062" s="19">
        <f>VLOOKUP(A1062,'[21]General transpose'!$A$1:$AF$73,17,FALSE)</f>
        <v>0.13157894736842105</v>
      </c>
      <c r="M1062" s="9"/>
      <c r="N1062" s="9"/>
    </row>
    <row r="1063" spans="1:14" s="15" customFormat="1">
      <c r="A1063" s="15" t="s">
        <v>91</v>
      </c>
      <c r="B1063" s="15">
        <v>3065</v>
      </c>
      <c r="C1063" s="43">
        <v>2015</v>
      </c>
      <c r="D1063" s="15">
        <v>3</v>
      </c>
      <c r="E1063" s="17">
        <f>VLOOKUP(A1062,[20]Result!$B$12:$D$84,3,FALSE)/10^3</f>
        <v>1644.6030000000001</v>
      </c>
      <c r="F1063" s="41">
        <f t="shared" si="212"/>
        <v>1.2312762402864634</v>
      </c>
      <c r="G1063" s="44">
        <f>VLOOKUP(A1062,'[22]General transpose'!$A$1:$AF$73,26,FALSE)/10^3</f>
        <v>17.359000000000002</v>
      </c>
      <c r="H1063" s="16">
        <f t="shared" si="214"/>
        <v>17.896999999999998</v>
      </c>
      <c r="I1063" s="18">
        <f>VLOOKUP(A1062,'[22]General transpose'!$A$1:$AF$73,8,FALSE)</f>
        <v>3725</v>
      </c>
      <c r="J1063" s="18">
        <f>VLOOKUP(A1062,'[22]General transpose'!$A$1:$AF$73,16,FALSE)</f>
        <v>76</v>
      </c>
      <c r="K1063" s="18">
        <f t="shared" si="213"/>
        <v>10</v>
      </c>
      <c r="L1063" s="19">
        <f>VLOOKUP(A1062,'[22]General transpose'!$A$1:$AF$73,17,FALSE)</f>
        <v>0.13157894736842105</v>
      </c>
      <c r="M1063" s="9"/>
      <c r="N1063" s="9"/>
    </row>
    <row r="1064" spans="1:14" s="15" customFormat="1">
      <c r="A1064" s="15" t="s">
        <v>91</v>
      </c>
      <c r="B1064" s="15">
        <v>3065</v>
      </c>
      <c r="C1064" s="43">
        <v>2016</v>
      </c>
      <c r="D1064" s="15">
        <v>3</v>
      </c>
      <c r="E1064" s="17">
        <f>'[14]2016 Benchmarking Calculations'!$BY$8/1000</f>
        <v>1732.0249300000003</v>
      </c>
      <c r="F1064" s="41">
        <f t="shared" si="212"/>
        <v>1.2455044937824149</v>
      </c>
      <c r="G1064" s="44">
        <f>HLOOKUP(A1064,[23]General!$A$1:$BQ$23,22,FALSE)/10^3</f>
        <v>16.484000000000002</v>
      </c>
      <c r="H1064" s="16">
        <f t="shared" si="214"/>
        <v>17.896999999999998</v>
      </c>
      <c r="I1064" s="18">
        <f>HLOOKUP(A1064,[23]General!$A$1:$BQ$23,9,FALSE)</f>
        <v>3739</v>
      </c>
      <c r="J1064" s="18">
        <f>HLOOKUP(A1064,[23]General!$A$1:$BQ$23,17,FALSE)</f>
        <v>79</v>
      </c>
      <c r="K1064" s="18">
        <f t="shared" si="213"/>
        <v>10</v>
      </c>
      <c r="L1064" s="19">
        <f>HLOOKUP(A1064,[23]General!$A$1:$BQ$23,18,FALSE)</f>
        <v>0.12658227848101267</v>
      </c>
      <c r="M1064" s="9"/>
      <c r="N1064" s="9"/>
    </row>
    <row r="1065" spans="1:14" s="15" customFormat="1">
      <c r="A1065" s="15" t="s">
        <v>91</v>
      </c>
      <c r="B1065" s="15">
        <v>3065</v>
      </c>
      <c r="C1065" s="43">
        <v>2017</v>
      </c>
      <c r="D1065" s="15">
        <v>3</v>
      </c>
      <c r="E1065" s="17">
        <f>'[14]2017 Benchmarking Calculations'!$CA$9/1000</f>
        <v>1707.9309900000001</v>
      </c>
      <c r="F1065" s="41">
        <f t="shared" si="212"/>
        <v>1.2674505553724562</v>
      </c>
      <c r="G1065" s="44">
        <f>'[14]2017 Benchmarking Calculations'!$CA$60/1000</f>
        <v>16.381</v>
      </c>
      <c r="H1065" s="16">
        <f t="shared" si="214"/>
        <v>17.896999999999998</v>
      </c>
      <c r="I1065" s="18">
        <f>'[14]2017 Benchmarking Calculations'!$CA$56</f>
        <v>3770</v>
      </c>
      <c r="J1065" s="18">
        <f>'[14]2017 Utility Characteristics'!$BR$79</f>
        <v>79</v>
      </c>
      <c r="K1065" s="18">
        <f>'[14]2017 Utility Characteristics'!$BR$81</f>
        <v>10</v>
      </c>
      <c r="L1065" s="19">
        <f>K1065/J1065</f>
        <v>0.12658227848101267</v>
      </c>
      <c r="M1065" s="9"/>
      <c r="N1065" s="9"/>
    </row>
    <row r="1066" spans="1:14" s="15" customFormat="1">
      <c r="A1066" s="15" t="s">
        <v>91</v>
      </c>
      <c r="B1066" s="15">
        <v>3065</v>
      </c>
      <c r="C1066" s="43">
        <v>2018</v>
      </c>
      <c r="D1066" s="15">
        <v>3</v>
      </c>
      <c r="E1066" s="17">
        <f>'[16]2018 Benchmarking Calculations'!$CA$10/1000</f>
        <v>1702.8626399999998</v>
      </c>
      <c r="F1066" s="41">
        <f t="shared" si="212"/>
        <v>1.2994718602728874</v>
      </c>
      <c r="G1066" s="44">
        <f>'[16]2018 Benchmarking Calculations'!$CA$61/1000</f>
        <v>16.66</v>
      </c>
      <c r="H1066" s="16">
        <f t="shared" si="214"/>
        <v>17.896999999999998</v>
      </c>
      <c r="I1066" s="18">
        <f>'[16]2018 Benchmarking Calculations'!$CA$57</f>
        <v>3805</v>
      </c>
      <c r="J1066" s="18">
        <f>'[16]2018 Utility Characteristics'!$BU$103</f>
        <v>79</v>
      </c>
      <c r="K1066" s="18">
        <f>'[16]2018 Utility Characteristics'!$BU$105</f>
        <v>10</v>
      </c>
      <c r="L1066" s="19">
        <f>K1066/J1066</f>
        <v>0.12658227848101267</v>
      </c>
      <c r="M1066" s="9"/>
      <c r="N1066" s="9"/>
    </row>
    <row r="1067" spans="1:14" s="15" customFormat="1">
      <c r="A1067" s="15" t="s">
        <v>91</v>
      </c>
      <c r="B1067" s="15">
        <v>3065</v>
      </c>
      <c r="C1067" s="43">
        <v>2019</v>
      </c>
      <c r="D1067" s="15">
        <v>3</v>
      </c>
      <c r="E1067" s="17">
        <f>'[17]2019 Benchmarking Calculations'!$CA$10/1000</f>
        <v>1806.9018099999998</v>
      </c>
      <c r="F1067" s="41">
        <f t="shared" si="212"/>
        <v>1.3352608354138498</v>
      </c>
      <c r="G1067" s="44">
        <f>'[17]2019 Benchmarking Calculations'!$CA$61/1000</f>
        <v>16.844999999999999</v>
      </c>
      <c r="H1067" s="16">
        <f t="shared" si="214"/>
        <v>17.896999999999998</v>
      </c>
      <c r="I1067" s="18">
        <f>'[17]2019 Benchmarking Calculations'!$CA$57</f>
        <v>3830</v>
      </c>
      <c r="J1067" s="18">
        <f>'[17]2019 Utility Characteristics'!$BU$16+'[17]2019 Utility Characteristics'!$BU$18</f>
        <v>86</v>
      </c>
      <c r="K1067" s="18">
        <f>'[17]2019 Utility Characteristics'!$BU$18</f>
        <v>15</v>
      </c>
      <c r="L1067" s="19">
        <f>K1067/J1067</f>
        <v>0.1744186046511628</v>
      </c>
      <c r="M1067" s="9"/>
      <c r="N1067" s="9"/>
    </row>
    <row r="1068" spans="1:14">
      <c r="A1068" s="15" t="str">
        <f>'[18]2. BM Database'!B787</f>
        <v>WEST COAST HURON ENERGY INC.</v>
      </c>
      <c r="B1068" s="15">
        <v>3064</v>
      </c>
      <c r="C1068" s="43">
        <f>'[18]2. BM Database'!C787</f>
        <v>2005</v>
      </c>
      <c r="D1068" s="15">
        <v>3</v>
      </c>
      <c r="E1068" s="17">
        <f>'[18]2. BM Database'!F787/1000</f>
        <v>1352.7370000000001</v>
      </c>
      <c r="F1068" s="41">
        <f t="shared" ref="F1068:F1082" si="215">F1053</f>
        <v>1</v>
      </c>
      <c r="G1068" s="44">
        <f>'[18]2. BM Database'!P787/1000</f>
        <v>25</v>
      </c>
      <c r="H1068" s="16">
        <f>G1068</f>
        <v>25</v>
      </c>
      <c r="I1068" s="18">
        <f>'[18]2. BM Database'!L787</f>
        <v>3773</v>
      </c>
      <c r="J1068" s="18">
        <f>'[18]2. BM Database'!R787</f>
        <v>65</v>
      </c>
      <c r="K1068" s="18">
        <f t="shared" ref="K1068:K1079" si="216">J1068*L1068</f>
        <v>12</v>
      </c>
      <c r="L1068" s="19">
        <f>'[18]2. BM Database'!T787</f>
        <v>0.18461538461538463</v>
      </c>
      <c r="M1068" s="9"/>
      <c r="N1068" s="9"/>
    </row>
    <row r="1069" spans="1:14">
      <c r="A1069" s="15" t="str">
        <f>'[18]2. BM Database'!B788</f>
        <v>WEST COAST HURON ENERGY INC.</v>
      </c>
      <c r="B1069" s="15">
        <v>3064</v>
      </c>
      <c r="C1069" s="43">
        <f>'[18]2. BM Database'!C788</f>
        <v>2006</v>
      </c>
      <c r="D1069" s="15">
        <v>3</v>
      </c>
      <c r="E1069" s="17">
        <f>'[18]2. BM Database'!F788/1000</f>
        <v>1409.998</v>
      </c>
      <c r="F1069" s="41">
        <f t="shared" si="215"/>
        <v>1.0181607380073696</v>
      </c>
      <c r="G1069" s="44">
        <f>'[18]2. BM Database'!P788/1000</f>
        <v>25</v>
      </c>
      <c r="H1069" s="16">
        <f>MAX(G1069,H1068)</f>
        <v>25</v>
      </c>
      <c r="I1069" s="18">
        <f>'[18]2. BM Database'!L788</f>
        <v>3811</v>
      </c>
      <c r="J1069" s="18">
        <f>'[18]2. BM Database'!R788</f>
        <v>65</v>
      </c>
      <c r="K1069" s="18">
        <f t="shared" si="216"/>
        <v>13</v>
      </c>
      <c r="L1069" s="19">
        <f>'[18]2. BM Database'!T788</f>
        <v>0.2</v>
      </c>
      <c r="M1069" s="9"/>
      <c r="N1069" s="9"/>
    </row>
    <row r="1070" spans="1:14">
      <c r="A1070" s="15" t="str">
        <f>'[18]2. BM Database'!B789</f>
        <v>WEST COAST HURON ENERGY INC.</v>
      </c>
      <c r="B1070" s="15">
        <v>3064</v>
      </c>
      <c r="C1070" s="43">
        <f>'[18]2. BM Database'!C789</f>
        <v>2007</v>
      </c>
      <c r="D1070" s="15">
        <v>3</v>
      </c>
      <c r="E1070" s="17">
        <f>'[18]2. BM Database'!F789/1000</f>
        <v>1165.0550000000001</v>
      </c>
      <c r="F1070" s="41">
        <f t="shared" si="215"/>
        <v>1.0531931014872313</v>
      </c>
      <c r="G1070" s="44">
        <f>'[18]2. BM Database'!P789/1000</f>
        <v>26</v>
      </c>
      <c r="H1070" s="16">
        <f t="shared" ref="H1070:H1081" si="217">MAX(G1070,H1069)</f>
        <v>26</v>
      </c>
      <c r="I1070" s="18">
        <f>'[18]2. BM Database'!L789</f>
        <v>3853</v>
      </c>
      <c r="J1070" s="18">
        <f>'[18]2. BM Database'!R789</f>
        <v>65</v>
      </c>
      <c r="K1070" s="18">
        <f t="shared" si="216"/>
        <v>13</v>
      </c>
      <c r="L1070" s="19">
        <f>'[18]2. BM Database'!T789</f>
        <v>0.2</v>
      </c>
      <c r="M1070" s="9"/>
      <c r="N1070" s="9"/>
    </row>
    <row r="1071" spans="1:14">
      <c r="A1071" s="15" t="str">
        <f>'[18]2. BM Database'!B790</f>
        <v>WEST COAST HURON ENERGY INC.</v>
      </c>
      <c r="B1071" s="15">
        <v>3064</v>
      </c>
      <c r="C1071" s="43">
        <f>'[18]2. BM Database'!C790</f>
        <v>2008</v>
      </c>
      <c r="D1071" s="15">
        <v>3</v>
      </c>
      <c r="E1071" s="17">
        <f>'[18]2. BM Database'!F790/1000</f>
        <v>1266.01</v>
      </c>
      <c r="F1071" s="41">
        <f t="shared" si="215"/>
        <v>1.078564603993923</v>
      </c>
      <c r="G1071" s="44">
        <f>'[18]2. BM Database'!P790/1000</f>
        <v>26</v>
      </c>
      <c r="H1071" s="16">
        <f t="shared" si="217"/>
        <v>26</v>
      </c>
      <c r="I1071" s="18">
        <f>'[18]2. BM Database'!L790</f>
        <v>3878</v>
      </c>
      <c r="J1071" s="18">
        <f>'[18]2. BM Database'!R790</f>
        <v>65</v>
      </c>
      <c r="K1071" s="18">
        <f t="shared" si="216"/>
        <v>13</v>
      </c>
      <c r="L1071" s="19">
        <f>'[18]2. BM Database'!T790</f>
        <v>0.2</v>
      </c>
      <c r="M1071" s="9"/>
      <c r="N1071" s="9"/>
    </row>
    <row r="1072" spans="1:14">
      <c r="A1072" s="15" t="str">
        <f>'[18]2. BM Database'!B791</f>
        <v>WEST COAST HURON ENERGY INC.</v>
      </c>
      <c r="B1072" s="15">
        <v>3064</v>
      </c>
      <c r="C1072" s="43">
        <f>'[18]2. BM Database'!C791</f>
        <v>2009</v>
      </c>
      <c r="D1072" s="15">
        <v>3</v>
      </c>
      <c r="E1072" s="17">
        <f>'[18]2. BM Database'!F791/1000</f>
        <v>1415.777</v>
      </c>
      <c r="F1072" s="41">
        <f t="shared" si="215"/>
        <v>1.0915070880241431</v>
      </c>
      <c r="G1072" s="44">
        <f>'[18]2. BM Database'!P791/1000</f>
        <v>26.561</v>
      </c>
      <c r="H1072" s="16">
        <f t="shared" si="217"/>
        <v>26.561</v>
      </c>
      <c r="I1072" s="18">
        <f>'[18]2. BM Database'!L791</f>
        <v>3759</v>
      </c>
      <c r="J1072" s="18">
        <f>'[18]2. BM Database'!R791</f>
        <v>65</v>
      </c>
      <c r="K1072" s="18">
        <f t="shared" si="216"/>
        <v>13</v>
      </c>
      <c r="L1072" s="19">
        <f>'[18]2. BM Database'!T791</f>
        <v>0.2</v>
      </c>
      <c r="M1072" s="9"/>
      <c r="N1072" s="9"/>
    </row>
    <row r="1073" spans="1:14">
      <c r="A1073" s="15" t="str">
        <f>'[18]2. BM Database'!B792</f>
        <v>WEST COAST HURON ENERGY INC.</v>
      </c>
      <c r="B1073" s="15">
        <v>3064</v>
      </c>
      <c r="C1073" s="43">
        <f>'[18]2. BM Database'!C792</f>
        <v>2010</v>
      </c>
      <c r="D1073" s="15">
        <v>3</v>
      </c>
      <c r="E1073" s="17">
        <f>'[18]2. BM Database'!F792/1000</f>
        <v>1250.461</v>
      </c>
      <c r="F1073" s="41">
        <f t="shared" si="215"/>
        <v>1.1243125351578573</v>
      </c>
      <c r="G1073" s="44">
        <f>'[18]2. BM Database'!P792/1000</f>
        <v>26.132000000000001</v>
      </c>
      <c r="H1073" s="16">
        <f t="shared" si="217"/>
        <v>26.561</v>
      </c>
      <c r="I1073" s="18">
        <f>'[18]2. BM Database'!L792</f>
        <v>3770</v>
      </c>
      <c r="J1073" s="18">
        <f>'[18]2. BM Database'!R792</f>
        <v>65</v>
      </c>
      <c r="K1073" s="18">
        <f t="shared" si="216"/>
        <v>13</v>
      </c>
      <c r="L1073" s="19">
        <f>'[18]2. BM Database'!T792</f>
        <v>0.2</v>
      </c>
      <c r="M1073" s="9"/>
      <c r="N1073" s="9"/>
    </row>
    <row r="1074" spans="1:14">
      <c r="A1074" s="15" t="str">
        <f>'[18]2. BM Database'!B793</f>
        <v>WEST COAST HURON ENERGY INC.</v>
      </c>
      <c r="B1074" s="15">
        <v>3064</v>
      </c>
      <c r="C1074" s="43">
        <f>'[18]2. BM Database'!C793</f>
        <v>2011</v>
      </c>
      <c r="D1074" s="15">
        <v>3</v>
      </c>
      <c r="E1074" s="17">
        <f>'[18]2. BM Database'!F793/1000</f>
        <v>1350.7370000000001</v>
      </c>
      <c r="F1074" s="41">
        <f t="shared" si="215"/>
        <v>1.1430978626415853</v>
      </c>
      <c r="G1074" s="44">
        <f>'[18]2. BM Database'!P793/1000</f>
        <v>27.35</v>
      </c>
      <c r="H1074" s="16">
        <f t="shared" si="217"/>
        <v>27.35</v>
      </c>
      <c r="I1074" s="18">
        <f>'[18]2. BM Database'!L793</f>
        <v>3697</v>
      </c>
      <c r="J1074" s="18">
        <f>'[18]2. BM Database'!R793</f>
        <v>68</v>
      </c>
      <c r="K1074" s="18">
        <f t="shared" si="216"/>
        <v>15</v>
      </c>
      <c r="L1074" s="19">
        <f>'[18]2. BM Database'!T793</f>
        <v>0.22058823529411764</v>
      </c>
      <c r="M1074" s="9"/>
      <c r="N1074" s="9"/>
    </row>
    <row r="1075" spans="1:14">
      <c r="A1075" s="15" t="str">
        <f>'[18]2. BM Database'!B794</f>
        <v>WEST COAST HURON ENERGY INC.</v>
      </c>
      <c r="B1075" s="15">
        <v>3064</v>
      </c>
      <c r="C1075" s="43">
        <f>'[18]2. BM Database'!C794</f>
        <v>2012</v>
      </c>
      <c r="D1075" s="15">
        <v>3</v>
      </c>
      <c r="E1075" s="17">
        <f>'[18]2. BM Database'!F794/1000</f>
        <v>1660.82</v>
      </c>
      <c r="F1075" s="41">
        <f t="shared" si="215"/>
        <v>1.160126854517312</v>
      </c>
      <c r="G1075" s="44">
        <f>'[18]2. BM Database'!P794/1000</f>
        <v>25.064</v>
      </c>
      <c r="H1075" s="16">
        <f t="shared" si="217"/>
        <v>27.35</v>
      </c>
      <c r="I1075" s="18">
        <f>'[18]2. BM Database'!L794</f>
        <v>3753</v>
      </c>
      <c r="J1075" s="18">
        <f>'[18]2. BM Database'!R794</f>
        <v>68</v>
      </c>
      <c r="K1075" s="18">
        <f t="shared" si="216"/>
        <v>15</v>
      </c>
      <c r="L1075" s="19">
        <f>'[18]2. BM Database'!T794</f>
        <v>0.22058823529411764</v>
      </c>
      <c r="M1075" s="9"/>
      <c r="N1075" s="9"/>
    </row>
    <row r="1076" spans="1:14" s="15" customFormat="1">
      <c r="A1076" s="15" t="s">
        <v>92</v>
      </c>
      <c r="B1076" s="15">
        <v>3064</v>
      </c>
      <c r="C1076" s="43">
        <v>2013</v>
      </c>
      <c r="D1076" s="15">
        <v>3</v>
      </c>
      <c r="E1076" s="17">
        <f>HLOOKUP(A1076,'[19]2013 Benchmarking Calculations'!$I$3:$CC$76,6,FALSE)/1000</f>
        <v>1830.008</v>
      </c>
      <c r="F1076" s="41">
        <f t="shared" si="215"/>
        <v>1.178602141578931</v>
      </c>
      <c r="G1076" s="44">
        <f>HLOOKUP(A1076,'[19]2013 Benchmarking Calculations'!$I$3:$CC$76,57,FALSE)/1000</f>
        <v>27.606000000000002</v>
      </c>
      <c r="H1076" s="16">
        <f t="shared" si="217"/>
        <v>27.606000000000002</v>
      </c>
      <c r="I1076" s="18">
        <f>HLOOKUP(A1076,'[19]2013 Benchmarking Calculations'!$I$3:$CC$76,53,FALSE)</f>
        <v>3762</v>
      </c>
      <c r="J1076" s="18">
        <f>HLOOKUP(A1076,'[19]2013 Benchmarking Calculations'!$I$3:$CC$76,71,FALSE)</f>
        <v>61</v>
      </c>
      <c r="K1076" s="18">
        <f t="shared" si="216"/>
        <v>14</v>
      </c>
      <c r="L1076" s="19">
        <f>HLOOKUP(A1076,'[19]2013 PBR data '!B$42:BV$68,15,FALSE)/HLOOKUP(A1076,'[19]2013 PBR data '!B$42:BV$68,13,FALSE)</f>
        <v>0.22950819672131148</v>
      </c>
      <c r="M1076" s="9"/>
      <c r="N1076" s="9"/>
    </row>
    <row r="1077" spans="1:14" s="15" customFormat="1">
      <c r="A1077" s="15" t="s">
        <v>92</v>
      </c>
      <c r="B1077" s="15">
        <v>3064</v>
      </c>
      <c r="C1077" s="43">
        <v>2014</v>
      </c>
      <c r="D1077" s="15">
        <v>3</v>
      </c>
      <c r="E1077" s="17">
        <f>VLOOKUP(A1077,[20]Result!$B$12:$D$84,2,FALSE)/10^3</f>
        <v>1656.0719999999999</v>
      </c>
      <c r="F1077" s="41">
        <f t="shared" si="215"/>
        <v>1.2030671041042156</v>
      </c>
      <c r="G1077" s="44">
        <f>VLOOKUP(A1077,'[21]General transpose'!$A$1:$AF$73,26,FALSE)/10^3</f>
        <v>26.58</v>
      </c>
      <c r="H1077" s="16">
        <f t="shared" si="217"/>
        <v>27.606000000000002</v>
      </c>
      <c r="I1077" s="18">
        <f>VLOOKUP(A1077,'[21]General transpose'!$A$1:$AF$73,8,FALSE)</f>
        <v>3797</v>
      </c>
      <c r="J1077" s="18">
        <f>VLOOKUP(A1077,'[21]General transpose'!$A$1:$AF$73,16,FALSE)</f>
        <v>61</v>
      </c>
      <c r="K1077" s="18">
        <f t="shared" si="216"/>
        <v>14</v>
      </c>
      <c r="L1077" s="19">
        <f>VLOOKUP(A1077,'[21]General transpose'!$A$1:$AF$73,17,FALSE)</f>
        <v>0.22950819672131148</v>
      </c>
      <c r="M1077" s="9"/>
      <c r="N1077" s="9"/>
    </row>
    <row r="1078" spans="1:14" s="15" customFormat="1">
      <c r="A1078" s="15" t="s">
        <v>92</v>
      </c>
      <c r="B1078" s="15">
        <v>3064</v>
      </c>
      <c r="C1078" s="43">
        <v>2015</v>
      </c>
      <c r="D1078" s="15">
        <v>3</v>
      </c>
      <c r="E1078" s="17">
        <f>VLOOKUP(A1077,[20]Result!$B$12:$D$84,3,FALSE)/10^3</f>
        <v>1721.4570000000001</v>
      </c>
      <c r="F1078" s="41">
        <f t="shared" si="215"/>
        <v>1.2312762402864634</v>
      </c>
      <c r="G1078" s="44">
        <f>VLOOKUP(A1077,'[22]General transpose'!$A$1:$AF$73,26,FALSE)/10^3</f>
        <v>26.49</v>
      </c>
      <c r="H1078" s="16">
        <f t="shared" si="217"/>
        <v>27.606000000000002</v>
      </c>
      <c r="I1078" s="18">
        <f>VLOOKUP(A1077,'[22]General transpose'!$A$1:$AF$73,8,FALSE)</f>
        <v>3812</v>
      </c>
      <c r="J1078" s="18">
        <f>VLOOKUP(A1077,'[22]General transpose'!$A$1:$AF$73,16,FALSE)</f>
        <v>61</v>
      </c>
      <c r="K1078" s="18">
        <f t="shared" si="216"/>
        <v>14</v>
      </c>
      <c r="L1078" s="19">
        <f>VLOOKUP(A1077,'[22]General transpose'!$A$1:$AF$73,17,FALSE)</f>
        <v>0.22950819672131148</v>
      </c>
      <c r="M1078" s="9"/>
      <c r="N1078" s="9"/>
    </row>
    <row r="1079" spans="1:14" s="15" customFormat="1">
      <c r="A1079" s="15" t="s">
        <v>92</v>
      </c>
      <c r="B1079" s="15">
        <v>3064</v>
      </c>
      <c r="C1079" s="43">
        <v>2016</v>
      </c>
      <c r="D1079" s="15">
        <v>3</v>
      </c>
      <c r="E1079" s="17">
        <f>'[14]2016 Benchmarking Calculations'!$BZ$8/1000</f>
        <v>1782.0440000000001</v>
      </c>
      <c r="F1079" s="41">
        <f t="shared" si="215"/>
        <v>1.2455044937824149</v>
      </c>
      <c r="G1079" s="44">
        <f>HLOOKUP(A1079,[23]General!$A$1:$BQ$23,22,FALSE)/10^3</f>
        <v>26.960999999999999</v>
      </c>
      <c r="H1079" s="16">
        <f t="shared" si="217"/>
        <v>27.606000000000002</v>
      </c>
      <c r="I1079" s="18">
        <f>HLOOKUP(A1079,[23]General!$A$1:$BQ$23,9,FALSE)</f>
        <v>3829</v>
      </c>
      <c r="J1079" s="18">
        <f>HLOOKUP(A1079,[23]General!$A$1:$BQ$23,17,FALSE)</f>
        <v>61</v>
      </c>
      <c r="K1079" s="18">
        <f t="shared" si="216"/>
        <v>14</v>
      </c>
      <c r="L1079" s="19">
        <f>HLOOKUP(A1079,[23]General!$A$1:$BQ$23,18,FALSE)</f>
        <v>0.22950819672131148</v>
      </c>
      <c r="M1079" s="9"/>
      <c r="N1079" s="9"/>
    </row>
    <row r="1080" spans="1:14" s="15" customFormat="1">
      <c r="A1080" s="15" t="s">
        <v>92</v>
      </c>
      <c r="B1080" s="15">
        <v>3064</v>
      </c>
      <c r="C1080" s="43">
        <v>2017</v>
      </c>
      <c r="D1080" s="15">
        <v>3</v>
      </c>
      <c r="E1080" s="17">
        <f>'[14]2017 Benchmarking Calculations'!$CB$9/1000</f>
        <v>1630.646</v>
      </c>
      <c r="F1080" s="41">
        <f t="shared" si="215"/>
        <v>1.2674505553724562</v>
      </c>
      <c r="G1080" s="44">
        <f>'[14]2017 Benchmarking Calculations'!$CB$60/1000</f>
        <v>27.234999999999999</v>
      </c>
      <c r="H1080" s="16">
        <f t="shared" si="217"/>
        <v>27.606000000000002</v>
      </c>
      <c r="I1080" s="18">
        <f>'[14]2017 Benchmarking Calculations'!$CB$56</f>
        <v>3877</v>
      </c>
      <c r="J1080" s="18">
        <f>'[14]2017 Utility Characteristics'!$BS$79</f>
        <v>61</v>
      </c>
      <c r="K1080" s="15">
        <f>'[14]2017 Utility Characteristics'!$BS$81</f>
        <v>14</v>
      </c>
      <c r="L1080" s="19">
        <f>K1080/J1080</f>
        <v>0.22950819672131148</v>
      </c>
      <c r="M1080" s="9"/>
      <c r="N1080" s="9"/>
    </row>
    <row r="1081" spans="1:14" s="15" customFormat="1">
      <c r="A1081" s="15" t="s">
        <v>92</v>
      </c>
      <c r="B1081" s="15">
        <v>3064</v>
      </c>
      <c r="C1081" s="43">
        <v>2018</v>
      </c>
      <c r="D1081" s="15">
        <v>3</v>
      </c>
      <c r="E1081" s="17">
        <f>'[16]2018 Benchmarking Calculations'!$CB$10/1000</f>
        <v>1687.4829999999999</v>
      </c>
      <c r="F1081" s="41">
        <f t="shared" si="215"/>
        <v>1.2994718602728874</v>
      </c>
      <c r="G1081" s="44">
        <f>'[16]2018 Benchmarking Calculations'!$CB$61/1000</f>
        <v>27.24</v>
      </c>
      <c r="H1081" s="16">
        <f t="shared" si="217"/>
        <v>27.606000000000002</v>
      </c>
      <c r="I1081" s="18">
        <f>'[16]2018 Benchmarking Calculations'!$CB$57</f>
        <v>3869</v>
      </c>
      <c r="J1081" s="18">
        <f>'[16]2018 Utility Characteristics'!$BV$103</f>
        <v>61</v>
      </c>
      <c r="K1081" s="18">
        <f>'[16]2018 Utility Characteristics'!$BV$105</f>
        <v>14</v>
      </c>
      <c r="L1081" s="19">
        <f>K1081/J1081</f>
        <v>0.22950819672131148</v>
      </c>
      <c r="M1081" s="9"/>
      <c r="N1081" s="9"/>
    </row>
    <row r="1082" spans="1:14" s="15" customFormat="1">
      <c r="A1082" s="15" t="s">
        <v>92</v>
      </c>
      <c r="B1082" s="15">
        <v>3064</v>
      </c>
      <c r="C1082" s="43">
        <v>2019</v>
      </c>
      <c r="D1082" s="15">
        <v>3</v>
      </c>
      <c r="E1082" s="17"/>
      <c r="F1082" s="41">
        <f t="shared" si="215"/>
        <v>1.3352608354138498</v>
      </c>
      <c r="G1082" s="44"/>
      <c r="H1082" s="16"/>
      <c r="I1082" s="18"/>
      <c r="J1082" s="18"/>
      <c r="K1082" s="18"/>
      <c r="L1082" s="19"/>
      <c r="M1082" s="9"/>
      <c r="N1082" s="9"/>
    </row>
    <row r="1083" spans="1:14">
      <c r="A1083" s="15" t="str">
        <f>'[18]2. BM Database'!B798</f>
        <v>WESTARIO POWER INC.</v>
      </c>
      <c r="B1083" s="15">
        <v>3033</v>
      </c>
      <c r="C1083" s="43">
        <f>'[18]2. BM Database'!C798</f>
        <v>2005</v>
      </c>
      <c r="D1083" s="15">
        <v>3</v>
      </c>
      <c r="E1083" s="17">
        <f>'[18]2. BM Database'!F798/1000</f>
        <v>4096.6220000000003</v>
      </c>
      <c r="F1083" s="41">
        <f t="shared" ref="F1083:F1097" si="218">F1068</f>
        <v>1</v>
      </c>
      <c r="G1083" s="44">
        <f>'[18]2. BM Database'!P798/1000</f>
        <v>83.355000000000004</v>
      </c>
      <c r="H1083" s="16">
        <f>G1083</f>
        <v>83.355000000000004</v>
      </c>
      <c r="I1083" s="18">
        <f>'[18]2. BM Database'!L798</f>
        <v>20699</v>
      </c>
      <c r="J1083" s="18">
        <f>'[18]2. BM Database'!R798</f>
        <v>432</v>
      </c>
      <c r="K1083" s="18">
        <f t="shared" ref="K1083:K1094" si="219">J1083*L1083</f>
        <v>118</v>
      </c>
      <c r="L1083" s="19">
        <f>'[18]2. BM Database'!T798</f>
        <v>0.27314814814814814</v>
      </c>
      <c r="M1083" s="9"/>
      <c r="N1083" s="9"/>
    </row>
    <row r="1084" spans="1:14">
      <c r="A1084" s="15" t="str">
        <f>'[18]2. BM Database'!B799</f>
        <v>WESTARIO POWER INC.</v>
      </c>
      <c r="B1084" s="15">
        <v>3033</v>
      </c>
      <c r="C1084" s="43">
        <f>'[18]2. BM Database'!C799</f>
        <v>2006</v>
      </c>
      <c r="D1084" s="15">
        <v>3</v>
      </c>
      <c r="E1084" s="17">
        <f>'[18]2. BM Database'!F799/1000</f>
        <v>4292.1524500000005</v>
      </c>
      <c r="F1084" s="41">
        <f t="shared" si="218"/>
        <v>1.0181607380073696</v>
      </c>
      <c r="G1084" s="44">
        <f>'[18]2. BM Database'!P799/1000</f>
        <v>86.856999999999999</v>
      </c>
      <c r="H1084" s="16">
        <f>MAX(G1084,H1083)</f>
        <v>86.856999999999999</v>
      </c>
      <c r="I1084" s="18">
        <f>'[18]2. BM Database'!L799</f>
        <v>20983</v>
      </c>
      <c r="J1084" s="18">
        <f>'[18]2. BM Database'!R799</f>
        <v>436</v>
      </c>
      <c r="K1084" s="18">
        <f t="shared" si="219"/>
        <v>126</v>
      </c>
      <c r="L1084" s="19">
        <f>'[18]2. BM Database'!T799</f>
        <v>0.28899082568807338</v>
      </c>
      <c r="M1084" s="9"/>
      <c r="N1084" s="9"/>
    </row>
    <row r="1085" spans="1:14">
      <c r="A1085" s="15" t="str">
        <f>'[18]2. BM Database'!B800</f>
        <v>WESTARIO POWER INC.</v>
      </c>
      <c r="B1085" s="15">
        <v>3033</v>
      </c>
      <c r="C1085" s="43">
        <f>'[18]2. BM Database'!C800</f>
        <v>2007</v>
      </c>
      <c r="D1085" s="15">
        <v>3</v>
      </c>
      <c r="E1085" s="17">
        <f>'[18]2. BM Database'!F800/1000</f>
        <v>4058.0846800000004</v>
      </c>
      <c r="F1085" s="41">
        <f t="shared" si="218"/>
        <v>1.0531931014872313</v>
      </c>
      <c r="G1085" s="44">
        <f>'[18]2. BM Database'!P800/1000</f>
        <v>90.204999999999998</v>
      </c>
      <c r="H1085" s="16">
        <f t="shared" ref="H1085:H1097" si="220">MAX(G1085,H1084)</f>
        <v>90.204999999999998</v>
      </c>
      <c r="I1085" s="18">
        <f>'[18]2. BM Database'!L800</f>
        <v>21297</v>
      </c>
      <c r="J1085" s="18">
        <f>'[18]2. BM Database'!R800</f>
        <v>435</v>
      </c>
      <c r="K1085" s="18">
        <f t="shared" si="219"/>
        <v>126.00000000000001</v>
      </c>
      <c r="L1085" s="19">
        <f>'[18]2. BM Database'!T800</f>
        <v>0.28965517241379313</v>
      </c>
      <c r="M1085" s="9"/>
      <c r="N1085" s="9"/>
    </row>
    <row r="1086" spans="1:14">
      <c r="A1086" s="15" t="str">
        <f>'[18]2. BM Database'!B801</f>
        <v>WESTARIO POWER INC.</v>
      </c>
      <c r="B1086" s="15">
        <v>3033</v>
      </c>
      <c r="C1086" s="43">
        <f>'[18]2. BM Database'!C801</f>
        <v>2008</v>
      </c>
      <c r="D1086" s="15">
        <v>3</v>
      </c>
      <c r="E1086" s="17">
        <f>'[18]2. BM Database'!F801/1000</f>
        <v>5023.7056399999992</v>
      </c>
      <c r="F1086" s="41">
        <f t="shared" si="218"/>
        <v>1.078564603993923</v>
      </c>
      <c r="G1086" s="44">
        <f>'[18]2. BM Database'!P801/1000</f>
        <v>84.988</v>
      </c>
      <c r="H1086" s="16">
        <f t="shared" si="220"/>
        <v>90.204999999999998</v>
      </c>
      <c r="I1086" s="18">
        <f>'[18]2. BM Database'!L801</f>
        <v>21592</v>
      </c>
      <c r="J1086" s="18">
        <f>'[18]2. BM Database'!R801</f>
        <v>440</v>
      </c>
      <c r="K1086" s="18">
        <f t="shared" si="219"/>
        <v>131</v>
      </c>
      <c r="L1086" s="19">
        <f>'[18]2. BM Database'!T801</f>
        <v>0.29772727272727273</v>
      </c>
      <c r="M1086" s="9"/>
      <c r="N1086" s="9"/>
    </row>
    <row r="1087" spans="1:14">
      <c r="A1087" s="15" t="str">
        <f>'[18]2. BM Database'!B802</f>
        <v>WESTARIO POWER INC.</v>
      </c>
      <c r="B1087" s="15">
        <v>3033</v>
      </c>
      <c r="C1087" s="43">
        <f>'[18]2. BM Database'!C802</f>
        <v>2009</v>
      </c>
      <c r="D1087" s="15">
        <v>3</v>
      </c>
      <c r="E1087" s="17">
        <f>'[18]2. BM Database'!F802/1000</f>
        <v>4285.6200499999995</v>
      </c>
      <c r="F1087" s="41">
        <f t="shared" si="218"/>
        <v>1.0915070880241431</v>
      </c>
      <c r="G1087" s="44">
        <f>'[18]2. BM Database'!P802/1000</f>
        <v>80.150999999999996</v>
      </c>
      <c r="H1087" s="16">
        <f t="shared" si="220"/>
        <v>90.204999999999998</v>
      </c>
      <c r="I1087" s="18">
        <f>'[18]2. BM Database'!L802</f>
        <v>21744</v>
      </c>
      <c r="J1087" s="18">
        <f>'[18]2. BM Database'!R802</f>
        <v>436</v>
      </c>
      <c r="K1087" s="18">
        <f t="shared" si="219"/>
        <v>126</v>
      </c>
      <c r="L1087" s="19">
        <f>'[18]2. BM Database'!T802</f>
        <v>0.28899082568807338</v>
      </c>
      <c r="M1087" s="9"/>
      <c r="N1087" s="9"/>
    </row>
    <row r="1088" spans="1:14">
      <c r="A1088" s="15" t="str">
        <f>'[18]2. BM Database'!B803</f>
        <v>WESTARIO POWER INC.</v>
      </c>
      <c r="B1088" s="15">
        <v>3033</v>
      </c>
      <c r="C1088" s="43">
        <f>'[18]2. BM Database'!C803</f>
        <v>2010</v>
      </c>
      <c r="D1088" s="15">
        <v>3</v>
      </c>
      <c r="E1088" s="17">
        <f>'[18]2. BM Database'!F803/1000</f>
        <v>4282.99568</v>
      </c>
      <c r="F1088" s="41">
        <f t="shared" si="218"/>
        <v>1.1243125351578573</v>
      </c>
      <c r="G1088" s="44">
        <f>'[18]2. BM Database'!P803/1000</f>
        <v>89.468000000000004</v>
      </c>
      <c r="H1088" s="16">
        <f t="shared" si="220"/>
        <v>90.204999999999998</v>
      </c>
      <c r="I1088" s="18">
        <f>'[18]2. BM Database'!L803</f>
        <v>22007</v>
      </c>
      <c r="J1088" s="18">
        <f>'[18]2. BM Database'!R803</f>
        <v>515</v>
      </c>
      <c r="K1088" s="18">
        <f t="shared" si="219"/>
        <v>144</v>
      </c>
      <c r="L1088" s="19">
        <f>'[18]2. BM Database'!T803</f>
        <v>0.2796116504854369</v>
      </c>
      <c r="M1088" s="9"/>
      <c r="N1088" s="9"/>
    </row>
    <row r="1089" spans="1:14">
      <c r="A1089" s="15" t="str">
        <f>'[18]2. BM Database'!B804</f>
        <v>WESTARIO POWER INC.</v>
      </c>
      <c r="B1089" s="15">
        <v>3033</v>
      </c>
      <c r="C1089" s="43">
        <f>'[18]2. BM Database'!C804</f>
        <v>2011</v>
      </c>
      <c r="D1089" s="15">
        <v>3</v>
      </c>
      <c r="E1089" s="17">
        <f>'[18]2. BM Database'!F804/1000</f>
        <v>4623.9818700000005</v>
      </c>
      <c r="F1089" s="41">
        <f t="shared" si="218"/>
        <v>1.1430978626415853</v>
      </c>
      <c r="G1089" s="44">
        <f>'[18]2. BM Database'!P804/1000</f>
        <v>86.667000000000002</v>
      </c>
      <c r="H1089" s="16">
        <f t="shared" si="220"/>
        <v>90.204999999999998</v>
      </c>
      <c r="I1089" s="18">
        <f>'[18]2. BM Database'!L804</f>
        <v>22257</v>
      </c>
      <c r="J1089" s="18">
        <f>'[18]2. BM Database'!R804</f>
        <v>515</v>
      </c>
      <c r="K1089" s="18">
        <f t="shared" si="219"/>
        <v>144</v>
      </c>
      <c r="L1089" s="19">
        <f>'[18]2. BM Database'!T804</f>
        <v>0.2796116504854369</v>
      </c>
      <c r="M1089" s="9"/>
      <c r="N1089" s="9"/>
    </row>
    <row r="1090" spans="1:14">
      <c r="A1090" s="15" t="str">
        <f>'[18]2. BM Database'!B805</f>
        <v>WESTARIO POWER INC.</v>
      </c>
      <c r="B1090" s="15">
        <v>3033</v>
      </c>
      <c r="C1090" s="43">
        <f>'[18]2. BM Database'!C805</f>
        <v>2012</v>
      </c>
      <c r="D1090" s="15">
        <v>3</v>
      </c>
      <c r="E1090" s="17">
        <f>'[18]2. BM Database'!F805/1000</f>
        <v>4568.6043899999995</v>
      </c>
      <c r="F1090" s="41">
        <f t="shared" si="218"/>
        <v>1.160126854517312</v>
      </c>
      <c r="G1090" s="44">
        <f>'[18]2. BM Database'!P805/1000</f>
        <v>83.915999999999997</v>
      </c>
      <c r="H1090" s="16">
        <f t="shared" si="220"/>
        <v>90.204999999999998</v>
      </c>
      <c r="I1090" s="18">
        <f>'[18]2. BM Database'!L805</f>
        <v>22593</v>
      </c>
      <c r="J1090" s="18">
        <f>'[18]2. BM Database'!R805</f>
        <v>515</v>
      </c>
      <c r="K1090" s="18">
        <f t="shared" si="219"/>
        <v>144</v>
      </c>
      <c r="L1090" s="19">
        <f>'[18]2. BM Database'!T805</f>
        <v>0.2796116504854369</v>
      </c>
      <c r="M1090" s="9"/>
      <c r="N1090" s="9"/>
    </row>
    <row r="1091" spans="1:14" s="15" customFormat="1">
      <c r="A1091" s="15" t="s">
        <v>93</v>
      </c>
      <c r="B1091" s="15">
        <v>3033</v>
      </c>
      <c r="C1091" s="43">
        <v>2013</v>
      </c>
      <c r="D1091" s="15">
        <v>3</v>
      </c>
      <c r="E1091" s="17">
        <f>HLOOKUP(A1091,'[19]2013 Benchmarking Calculations'!$I$3:$CC$76,6,FALSE)/1000</f>
        <v>5723.0539400000007</v>
      </c>
      <c r="F1091" s="41">
        <f t="shared" si="218"/>
        <v>1.178602141578931</v>
      </c>
      <c r="G1091" s="44">
        <f>HLOOKUP(A1091,'[19]2013 Benchmarking Calculations'!$I$3:$CC$76,57,FALSE)/1000</f>
        <v>84.001000000000005</v>
      </c>
      <c r="H1091" s="16">
        <f t="shared" si="220"/>
        <v>90.204999999999998</v>
      </c>
      <c r="I1091" s="18">
        <f>HLOOKUP(A1091,'[19]2013 Benchmarking Calculations'!$I$3:$CC$76,53,FALSE)</f>
        <v>22725</v>
      </c>
      <c r="J1091" s="18">
        <f>HLOOKUP(A1091,'[19]2013 Benchmarking Calculations'!$I$3:$CC$76,71,FALSE)</f>
        <v>516</v>
      </c>
      <c r="K1091" s="18">
        <f t="shared" si="219"/>
        <v>144</v>
      </c>
      <c r="L1091" s="19">
        <f>HLOOKUP(A1091,'[19]2013 PBR data '!B$42:BV$68,15,FALSE)/HLOOKUP(A1091,'[19]2013 PBR data '!B$42:BV$68,13,FALSE)</f>
        <v>0.27906976744186046</v>
      </c>
      <c r="M1091" s="9"/>
      <c r="N1091" s="9"/>
    </row>
    <row r="1092" spans="1:14" s="15" customFormat="1">
      <c r="A1092" s="15" t="s">
        <v>93</v>
      </c>
      <c r="B1092" s="15">
        <v>3033</v>
      </c>
      <c r="C1092" s="43">
        <v>2014</v>
      </c>
      <c r="D1092" s="15">
        <v>3</v>
      </c>
      <c r="E1092" s="17">
        <f>VLOOKUP(A1092,[20]Result!$B$12:$D$84,2,FALSE)/10^3</f>
        <v>5149.4780000000001</v>
      </c>
      <c r="F1092" s="41">
        <f t="shared" si="218"/>
        <v>1.2030671041042156</v>
      </c>
      <c r="G1092" s="44">
        <f>VLOOKUP(A1092,'[21]General transpose'!$A$1:$AF$73,26,FALSE)/10^3</f>
        <v>86.152000000000001</v>
      </c>
      <c r="H1092" s="16">
        <f t="shared" si="220"/>
        <v>90.204999999999998</v>
      </c>
      <c r="I1092" s="18">
        <f>VLOOKUP(A1092,'[21]General transpose'!$A$1:$AF$73,8,FALSE)</f>
        <v>22822</v>
      </c>
      <c r="J1092" s="18">
        <f>VLOOKUP(A1092,'[21]General transpose'!$A$1:$AF$73,16,FALSE)</f>
        <v>517</v>
      </c>
      <c r="K1092" s="18">
        <f t="shared" si="219"/>
        <v>145</v>
      </c>
      <c r="L1092" s="19">
        <f>VLOOKUP(A1092,'[21]General transpose'!$A$1:$AF$73,17,FALSE)</f>
        <v>0.28046421663442939</v>
      </c>
      <c r="M1092" s="9"/>
      <c r="N1092" s="9"/>
    </row>
    <row r="1093" spans="1:14" s="15" customFormat="1">
      <c r="A1093" s="15" t="s">
        <v>93</v>
      </c>
      <c r="B1093" s="15">
        <v>3033</v>
      </c>
      <c r="C1093" s="43">
        <v>2015</v>
      </c>
      <c r="D1093" s="15">
        <v>3</v>
      </c>
      <c r="E1093" s="17">
        <f>VLOOKUP(A1092,[20]Result!$B$12:$D$84,3,FALSE)/10^3</f>
        <v>5196.6679999999997</v>
      </c>
      <c r="F1093" s="41">
        <f t="shared" si="218"/>
        <v>1.2312762402864634</v>
      </c>
      <c r="G1093" s="44">
        <f>VLOOKUP(A1092,'[22]General transpose'!$A$1:$AF$73,26,FALSE)/10^3</f>
        <v>93.376000000000005</v>
      </c>
      <c r="H1093" s="16">
        <f t="shared" si="220"/>
        <v>93.376000000000005</v>
      </c>
      <c r="I1093" s="18">
        <f>VLOOKUP(A1092,'[22]General transpose'!$A$1:$AF$73,8,FALSE)</f>
        <v>22954</v>
      </c>
      <c r="J1093" s="18">
        <f>VLOOKUP(A1092,'[22]General transpose'!$A$1:$AF$73,16,FALSE)</f>
        <v>522</v>
      </c>
      <c r="K1093" s="18">
        <f t="shared" si="219"/>
        <v>146</v>
      </c>
      <c r="L1093" s="19">
        <f>VLOOKUP(A1092,'[22]General transpose'!$A$1:$AF$73,17,FALSE)</f>
        <v>0.27969348659003829</v>
      </c>
      <c r="M1093" s="9"/>
      <c r="N1093" s="9"/>
    </row>
    <row r="1094" spans="1:14" s="15" customFormat="1">
      <c r="A1094" s="15" t="s">
        <v>93</v>
      </c>
      <c r="B1094" s="15">
        <v>3033</v>
      </c>
      <c r="C1094" s="43">
        <v>2016</v>
      </c>
      <c r="D1094" s="15">
        <v>3</v>
      </c>
      <c r="E1094" s="17">
        <f>'[14]2016 Benchmarking Calculations'!$CA$8/1000</f>
        <v>5716.4947099999999</v>
      </c>
      <c r="F1094" s="41">
        <f t="shared" si="218"/>
        <v>1.2455044937824149</v>
      </c>
      <c r="G1094" s="44">
        <f>HLOOKUP(A1094,[23]General!$A$1:$BQ$23,22,FALSE)/10^3</f>
        <v>71.203000000000003</v>
      </c>
      <c r="H1094" s="16">
        <f t="shared" si="220"/>
        <v>93.376000000000005</v>
      </c>
      <c r="I1094" s="18">
        <f>HLOOKUP(A1094,[23]General!$A$1:$BQ$23,9,FALSE)</f>
        <v>23168</v>
      </c>
      <c r="J1094" s="18">
        <f>HLOOKUP(A1094,[23]General!$A$1:$BQ$23,17,FALSE)</f>
        <v>530</v>
      </c>
      <c r="K1094" s="18">
        <f t="shared" si="219"/>
        <v>152</v>
      </c>
      <c r="L1094" s="19">
        <f>HLOOKUP(A1094,[23]General!$A$1:$BQ$23,18,FALSE)</f>
        <v>0.28679245283018867</v>
      </c>
      <c r="M1094" s="9"/>
      <c r="N1094" s="9"/>
    </row>
    <row r="1095" spans="1:14" s="15" customFormat="1">
      <c r="A1095" s="15" t="s">
        <v>93</v>
      </c>
      <c r="B1095" s="15">
        <v>3033</v>
      </c>
      <c r="C1095" s="43">
        <v>2017</v>
      </c>
      <c r="D1095" s="15">
        <v>3</v>
      </c>
      <c r="E1095" s="17">
        <f>'[14]2017 Benchmarking Calculations'!$CC$9/1000</f>
        <v>6113.55501</v>
      </c>
      <c r="F1095" s="41">
        <f t="shared" si="218"/>
        <v>1.2674505553724562</v>
      </c>
      <c r="G1095" s="44">
        <f>[15]General!$BM$19/1000</f>
        <v>74.293000000000006</v>
      </c>
      <c r="H1095" s="16">
        <f t="shared" si="220"/>
        <v>93.376000000000005</v>
      </c>
      <c r="I1095" s="18">
        <f>[15]General!$BM$9</f>
        <v>23373</v>
      </c>
      <c r="J1095" s="18">
        <f>[15]General!$BM$17</f>
        <v>541</v>
      </c>
      <c r="K1095" s="18">
        <f>J1095*L1095</f>
        <v>157</v>
      </c>
      <c r="L1095" s="19">
        <f>[15]General!$BM$16/[15]General!$BM$17</f>
        <v>0.29020332717190389</v>
      </c>
      <c r="M1095" s="9"/>
      <c r="N1095" s="9"/>
    </row>
    <row r="1096" spans="1:14" s="15" customFormat="1">
      <c r="A1096" s="15" t="s">
        <v>93</v>
      </c>
      <c r="B1096" s="15">
        <v>3033</v>
      </c>
      <c r="C1096" s="43">
        <v>2018</v>
      </c>
      <c r="D1096" s="15">
        <v>3</v>
      </c>
      <c r="E1096" s="17">
        <f>'[16]2018 Benchmarking Calculations'!$CC$10/1000</f>
        <v>5431.2981599999985</v>
      </c>
      <c r="F1096" s="41">
        <f t="shared" si="218"/>
        <v>1.2994718602728874</v>
      </c>
      <c r="G1096" s="44">
        <f>'[16]2018 Benchmarking Calculations'!$CC$61/1000</f>
        <v>77.361999999999995</v>
      </c>
      <c r="H1096" s="16">
        <f t="shared" si="220"/>
        <v>93.376000000000005</v>
      </c>
      <c r="I1096" s="18">
        <f>'[16]2018 Benchmarking Calculations'!$CC$57</f>
        <v>23547</v>
      </c>
      <c r="J1096" s="18">
        <f>'[16]2018 Utility Characteristics'!$BW$103</f>
        <v>545</v>
      </c>
      <c r="K1096" s="18">
        <f>'[16]2018 Utility Characteristics'!$BW$105</f>
        <v>159</v>
      </c>
      <c r="L1096" s="19">
        <f>K1096/J1096</f>
        <v>0.29174311926605506</v>
      </c>
      <c r="M1096" s="9"/>
      <c r="N1096" s="9"/>
    </row>
    <row r="1097" spans="1:14" s="15" customFormat="1">
      <c r="A1097" s="15" t="s">
        <v>93</v>
      </c>
      <c r="B1097" s="15">
        <v>3033</v>
      </c>
      <c r="C1097" s="43">
        <v>2019</v>
      </c>
      <c r="D1097" s="15">
        <v>3</v>
      </c>
      <c r="E1097" s="17">
        <f>'[17]2019 Benchmarking Calculations'!$CC$10/1000</f>
        <v>5927.8083200000001</v>
      </c>
      <c r="F1097" s="41">
        <f t="shared" si="218"/>
        <v>1.3352608354138498</v>
      </c>
      <c r="G1097" s="44">
        <f>'[17]2019 Benchmarking Calculations'!$CC$61/1000</f>
        <v>80.823999999999998</v>
      </c>
      <c r="H1097" s="16">
        <f t="shared" si="220"/>
        <v>93.376000000000005</v>
      </c>
      <c r="I1097" s="18">
        <f>'[17]2019 Benchmarking Calculations'!$CC$57</f>
        <v>23774</v>
      </c>
      <c r="J1097" s="18">
        <f>'[17]2019 Utility Characteristics'!$BW$13</f>
        <v>560</v>
      </c>
      <c r="K1097" s="18">
        <f>'[17]2019 Utility Characteristics'!$BW$18</f>
        <v>167</v>
      </c>
      <c r="L1097" s="19">
        <f>K1097/J1097</f>
        <v>0.29821428571428571</v>
      </c>
      <c r="M1097" s="9"/>
      <c r="N1097" s="9"/>
    </row>
    <row r="1098" spans="1:14">
      <c r="A1098" s="15" t="str">
        <f>'[18]2. BM Database'!B809</f>
        <v>WHITBY HYDRO ELECTRIC CORPORATION</v>
      </c>
      <c r="B1098" s="15">
        <v>3021</v>
      </c>
      <c r="C1098" s="43">
        <f>'[18]2. BM Database'!C809</f>
        <v>2005</v>
      </c>
      <c r="D1098" s="15">
        <v>3</v>
      </c>
      <c r="E1098" s="17">
        <f>'[18]2. BM Database'!F809/1000</f>
        <v>7168.8807999999999</v>
      </c>
      <c r="F1098" s="41">
        <f t="shared" ref="F1098:F1112" si="221">F1083</f>
        <v>1</v>
      </c>
      <c r="G1098" s="44">
        <f>'[18]2. BM Database'!P809/1000</f>
        <v>181.99799999999999</v>
      </c>
      <c r="H1098" s="16">
        <f>G1098</f>
        <v>181.99799999999999</v>
      </c>
      <c r="I1098" s="18">
        <f>'[18]2. BM Database'!L809</f>
        <v>36235</v>
      </c>
      <c r="J1098" s="18">
        <f>'[18]2. BM Database'!R809</f>
        <v>980</v>
      </c>
      <c r="K1098" s="18">
        <f t="shared" ref="K1098:K1109" si="222">J1098*L1098</f>
        <v>504.99999999999994</v>
      </c>
      <c r="L1098" s="19">
        <f>'[18]2. BM Database'!T809</f>
        <v>0.51530612244897955</v>
      </c>
      <c r="M1098" s="9"/>
      <c r="N1098" s="9"/>
    </row>
    <row r="1099" spans="1:14">
      <c r="A1099" s="15" t="str">
        <f>'[18]2. BM Database'!B810</f>
        <v>WHITBY HYDRO ELECTRIC CORPORATION</v>
      </c>
      <c r="B1099" s="15">
        <v>3021</v>
      </c>
      <c r="C1099" s="43">
        <f>'[18]2. BM Database'!C810</f>
        <v>2006</v>
      </c>
      <c r="D1099" s="15">
        <v>3</v>
      </c>
      <c r="E1099" s="17">
        <f>'[18]2. BM Database'!F810/1000</f>
        <v>7560.0371500000001</v>
      </c>
      <c r="F1099" s="41">
        <f t="shared" si="221"/>
        <v>1.0181607380073696</v>
      </c>
      <c r="G1099" s="44">
        <f>'[18]2. BM Database'!P810/1000</f>
        <v>192.47499999999999</v>
      </c>
      <c r="H1099" s="16">
        <f>MAX(G1099,H1098)</f>
        <v>192.47499999999999</v>
      </c>
      <c r="I1099" s="18">
        <f>'[18]2. BM Database'!L810</f>
        <v>37473</v>
      </c>
      <c r="J1099" s="18">
        <f>'[18]2. BM Database'!R810</f>
        <v>996</v>
      </c>
      <c r="K1099" s="18">
        <f t="shared" si="222"/>
        <v>520</v>
      </c>
      <c r="L1099" s="19">
        <f>'[18]2. BM Database'!T810</f>
        <v>0.52208835341365467</v>
      </c>
      <c r="M1099" s="9"/>
      <c r="N1099" s="9"/>
    </row>
    <row r="1100" spans="1:14">
      <c r="A1100" s="15" t="str">
        <f>'[18]2. BM Database'!B811</f>
        <v>WHITBY HYDRO ELECTRIC CORPORATION</v>
      </c>
      <c r="B1100" s="15">
        <v>3021</v>
      </c>
      <c r="C1100" s="43">
        <f>'[18]2. BM Database'!C811</f>
        <v>2007</v>
      </c>
      <c r="D1100" s="15">
        <v>3</v>
      </c>
      <c r="E1100" s="17">
        <f>'[18]2. BM Database'!F811/1000</f>
        <v>8066.3421200000003</v>
      </c>
      <c r="F1100" s="41">
        <f t="shared" si="221"/>
        <v>1.0531931014872313</v>
      </c>
      <c r="G1100" s="44">
        <f>'[18]2. BM Database'!P811/1000</f>
        <v>185.761</v>
      </c>
      <c r="H1100" s="16">
        <f t="shared" ref="H1100:H1111" si="223">MAX(G1100,H1099)</f>
        <v>192.47499999999999</v>
      </c>
      <c r="I1100" s="18">
        <f>'[18]2. BM Database'!L811</f>
        <v>38278</v>
      </c>
      <c r="J1100" s="18">
        <f>'[18]2. BM Database'!R811</f>
        <v>1021</v>
      </c>
      <c r="K1100" s="18">
        <f t="shared" si="222"/>
        <v>530</v>
      </c>
      <c r="L1100" s="19">
        <f>'[18]2. BM Database'!T811</f>
        <v>0.51909892262487756</v>
      </c>
      <c r="M1100" s="9"/>
      <c r="N1100" s="9"/>
    </row>
    <row r="1101" spans="1:14">
      <c r="A1101" s="15" t="str">
        <f>'[18]2. BM Database'!B812</f>
        <v>WHITBY HYDRO ELECTRIC CORPORATION</v>
      </c>
      <c r="B1101" s="15">
        <v>3021</v>
      </c>
      <c r="C1101" s="43">
        <f>'[18]2. BM Database'!C812</f>
        <v>2008</v>
      </c>
      <c r="D1101" s="15">
        <v>3</v>
      </c>
      <c r="E1101" s="17">
        <f>'[18]2. BM Database'!F812/1000</f>
        <v>7844.1325199999992</v>
      </c>
      <c r="F1101" s="41">
        <f t="shared" si="221"/>
        <v>1.078564603993923</v>
      </c>
      <c r="G1101" s="44">
        <f>'[18]2. BM Database'!P812/1000</f>
        <v>167.732</v>
      </c>
      <c r="H1101" s="16">
        <f t="shared" si="223"/>
        <v>192.47499999999999</v>
      </c>
      <c r="I1101" s="18">
        <f>'[18]2. BM Database'!L812</f>
        <v>39225</v>
      </c>
      <c r="J1101" s="18">
        <f>'[18]2. BM Database'!R812</f>
        <v>1030</v>
      </c>
      <c r="K1101" s="18">
        <f t="shared" si="222"/>
        <v>535</v>
      </c>
      <c r="L1101" s="19">
        <f>'[18]2. BM Database'!T812</f>
        <v>0.51941747572815533</v>
      </c>
      <c r="M1101" s="9"/>
      <c r="N1101" s="9"/>
    </row>
    <row r="1102" spans="1:14">
      <c r="A1102" s="15" t="str">
        <f>'[18]2. BM Database'!B813</f>
        <v>WHITBY HYDRO ELECTRIC CORPORATION</v>
      </c>
      <c r="B1102" s="15">
        <v>3021</v>
      </c>
      <c r="C1102" s="43">
        <f>'[18]2. BM Database'!C813</f>
        <v>2009</v>
      </c>
      <c r="D1102" s="15">
        <v>3</v>
      </c>
      <c r="E1102" s="17">
        <f>'[18]2. BM Database'!F813/1000</f>
        <v>8192.476200000001</v>
      </c>
      <c r="F1102" s="41">
        <f t="shared" si="221"/>
        <v>1.0915070880241431</v>
      </c>
      <c r="G1102" s="44">
        <f>'[18]2. BM Database'!P813/1000</f>
        <v>184.5</v>
      </c>
      <c r="H1102" s="16">
        <f t="shared" si="223"/>
        <v>192.47499999999999</v>
      </c>
      <c r="I1102" s="18">
        <f>'[18]2. BM Database'!L813</f>
        <v>39123</v>
      </c>
      <c r="J1102" s="18">
        <f>'[18]2. BM Database'!R813</f>
        <v>1034</v>
      </c>
      <c r="K1102" s="18">
        <f t="shared" si="222"/>
        <v>539</v>
      </c>
      <c r="L1102" s="19">
        <f>'[18]2. BM Database'!T813</f>
        <v>0.52127659574468088</v>
      </c>
      <c r="M1102" s="9"/>
      <c r="N1102" s="9"/>
    </row>
    <row r="1103" spans="1:14">
      <c r="A1103" s="15" t="str">
        <f>'[18]2. BM Database'!B814</f>
        <v>WHITBY HYDRO ELECTRIC CORPORATION</v>
      </c>
      <c r="B1103" s="15">
        <v>3021</v>
      </c>
      <c r="C1103" s="43">
        <f>'[18]2. BM Database'!C814</f>
        <v>2010</v>
      </c>
      <c r="D1103" s="15">
        <v>3</v>
      </c>
      <c r="E1103" s="17">
        <f>'[18]2. BM Database'!F814/1000</f>
        <v>8463.4526000000023</v>
      </c>
      <c r="F1103" s="41">
        <f t="shared" si="221"/>
        <v>1.1243125351578573</v>
      </c>
      <c r="G1103" s="44">
        <f>'[18]2. BM Database'!P814/1000</f>
        <v>191.768</v>
      </c>
      <c r="H1103" s="16">
        <f t="shared" si="223"/>
        <v>192.47499999999999</v>
      </c>
      <c r="I1103" s="18">
        <f>'[18]2. BM Database'!L814</f>
        <v>39669</v>
      </c>
      <c r="J1103" s="18">
        <f>'[18]2. BM Database'!R814</f>
        <v>1051</v>
      </c>
      <c r="K1103" s="18">
        <f t="shared" si="222"/>
        <v>552</v>
      </c>
      <c r="L1103" s="19">
        <f>'[18]2. BM Database'!T814</f>
        <v>0.5252140818268316</v>
      </c>
      <c r="M1103" s="9"/>
      <c r="N1103" s="9"/>
    </row>
    <row r="1104" spans="1:14">
      <c r="A1104" s="15" t="str">
        <f>'[18]2. BM Database'!B815</f>
        <v>WHITBY HYDRO ELECTRIC CORPORATION</v>
      </c>
      <c r="B1104" s="15">
        <v>3021</v>
      </c>
      <c r="C1104" s="43">
        <f>'[18]2. BM Database'!C815</f>
        <v>2011</v>
      </c>
      <c r="D1104" s="15">
        <v>3</v>
      </c>
      <c r="E1104" s="17">
        <f>'[18]2. BM Database'!F815/1000</f>
        <v>8403.9545699999999</v>
      </c>
      <c r="F1104" s="41">
        <f t="shared" si="221"/>
        <v>1.1430978626415853</v>
      </c>
      <c r="G1104" s="44">
        <f>'[18]2. BM Database'!P815/1000</f>
        <v>208.47900000000001</v>
      </c>
      <c r="H1104" s="16">
        <f t="shared" si="223"/>
        <v>208.47900000000001</v>
      </c>
      <c r="I1104" s="18">
        <f>'[18]2. BM Database'!L815</f>
        <v>40337</v>
      </c>
      <c r="J1104" s="18">
        <f>'[18]2. BM Database'!R815</f>
        <v>1060</v>
      </c>
      <c r="K1104" s="18">
        <f t="shared" si="222"/>
        <v>557</v>
      </c>
      <c r="L1104" s="19">
        <f>'[18]2. BM Database'!T815</f>
        <v>0.5254716981132076</v>
      </c>
      <c r="M1104" s="9"/>
      <c r="N1104" s="9"/>
    </row>
    <row r="1105" spans="1:14">
      <c r="A1105" s="15" t="str">
        <f>'[18]2. BM Database'!B816</f>
        <v>WHITBY HYDRO ELECTRIC CORPORATION</v>
      </c>
      <c r="B1105" s="15">
        <v>3021</v>
      </c>
      <c r="C1105" s="43">
        <f>'[18]2. BM Database'!C816</f>
        <v>2012</v>
      </c>
      <c r="D1105" s="15">
        <v>3</v>
      </c>
      <c r="E1105" s="17">
        <f>'[18]2. BM Database'!F816/1000</f>
        <v>8762.3578400000006</v>
      </c>
      <c r="F1105" s="41">
        <f t="shared" si="221"/>
        <v>1.160126854517312</v>
      </c>
      <c r="G1105" s="44">
        <f>'[18]2. BM Database'!P816/1000</f>
        <v>203.14599999999999</v>
      </c>
      <c r="H1105" s="16">
        <f t="shared" si="223"/>
        <v>208.47900000000001</v>
      </c>
      <c r="I1105" s="18">
        <f>'[18]2. BM Database'!L816</f>
        <v>40915</v>
      </c>
      <c r="J1105" s="18">
        <f>'[18]2. BM Database'!R816</f>
        <v>1063</v>
      </c>
      <c r="K1105" s="18">
        <f t="shared" si="222"/>
        <v>563</v>
      </c>
      <c r="L1105" s="19">
        <f>'[18]2. BM Database'!T816</f>
        <v>0.52963311382878642</v>
      </c>
      <c r="M1105" s="9"/>
      <c r="N1105" s="9"/>
    </row>
    <row r="1106" spans="1:14" s="15" customFormat="1">
      <c r="A1106" s="15" t="s">
        <v>94</v>
      </c>
      <c r="B1106" s="15">
        <v>3021</v>
      </c>
      <c r="C1106" s="43">
        <v>2013</v>
      </c>
      <c r="D1106" s="15">
        <v>3</v>
      </c>
      <c r="E1106" s="17">
        <f>HLOOKUP(A1106,'[19]2013 Benchmarking Calculations'!$I$3:$CC$76,6,FALSE)/1000</f>
        <v>10067.87815</v>
      </c>
      <c r="F1106" s="41">
        <f t="shared" si="221"/>
        <v>1.178602141578931</v>
      </c>
      <c r="G1106" s="44">
        <f>HLOOKUP(A1106,'[19]2013 Benchmarking Calculations'!$I$3:$CC$76,57,FALSE)/1000</f>
        <v>198.17599999999999</v>
      </c>
      <c r="H1106" s="16">
        <f t="shared" si="223"/>
        <v>208.47900000000001</v>
      </c>
      <c r="I1106" s="18">
        <f>HLOOKUP(A1106,'[19]2013 Benchmarking Calculations'!$I$3:$CC$76,53,FALSE)</f>
        <v>41200</v>
      </c>
      <c r="J1106" s="18">
        <f>HLOOKUP(A1106,'[19]2013 Benchmarking Calculations'!$I$3:$CC$76,71,FALSE)</f>
        <v>1067</v>
      </c>
      <c r="K1106" s="18">
        <f t="shared" si="222"/>
        <v>568</v>
      </c>
      <c r="L1106" s="19">
        <f>HLOOKUP(A1106,'[19]2013 PBR data '!B$42:BV$68,15,FALSE)/HLOOKUP(A1106,'[19]2013 PBR data '!B$42:BV$68,13,FALSE)</f>
        <v>0.53233364573570763</v>
      </c>
      <c r="M1106" s="9"/>
      <c r="N1106" s="9"/>
    </row>
    <row r="1107" spans="1:14" s="15" customFormat="1">
      <c r="A1107" s="15" t="s">
        <v>94</v>
      </c>
      <c r="B1107" s="15">
        <v>3021</v>
      </c>
      <c r="C1107" s="43">
        <v>2014</v>
      </c>
      <c r="D1107" s="15">
        <v>3</v>
      </c>
      <c r="E1107" s="17">
        <f>VLOOKUP(A1107,[20]Result!$B$12:$D$84,2,FALSE)/10^3</f>
        <v>10310.518</v>
      </c>
      <c r="F1107" s="41">
        <f t="shared" si="221"/>
        <v>1.2030671041042156</v>
      </c>
      <c r="G1107" s="44">
        <f>VLOOKUP(A1107,'[21]General transpose'!$A$1:$AF$73,26,FALSE)/10^3</f>
        <v>171.946</v>
      </c>
      <c r="H1107" s="16">
        <f t="shared" si="223"/>
        <v>208.47900000000001</v>
      </c>
      <c r="I1107" s="18">
        <f>VLOOKUP(A1107,'[21]General transpose'!$A$1:$AF$73,8,FALSE)</f>
        <v>41488</v>
      </c>
      <c r="J1107" s="18">
        <f>VLOOKUP(A1107,'[21]General transpose'!$A$1:$AF$73,16,FALSE)</f>
        <v>1073</v>
      </c>
      <c r="K1107" s="18">
        <f t="shared" si="222"/>
        <v>576</v>
      </c>
      <c r="L1107" s="19">
        <f>VLOOKUP(A1107,'[21]General transpose'!$A$1:$AF$73,17,FALSE)</f>
        <v>0.5368126747437092</v>
      </c>
      <c r="M1107" s="9"/>
      <c r="N1107" s="9"/>
    </row>
    <row r="1108" spans="1:14" s="15" customFormat="1">
      <c r="A1108" s="15" t="s">
        <v>94</v>
      </c>
      <c r="B1108" s="15">
        <v>3021</v>
      </c>
      <c r="C1108" s="43">
        <v>2015</v>
      </c>
      <c r="D1108" s="15">
        <v>3</v>
      </c>
      <c r="E1108" s="17">
        <f>VLOOKUP(A1107,[20]Result!$B$12:$D$84,3,FALSE)/10^3</f>
        <v>11079.403</v>
      </c>
      <c r="F1108" s="41">
        <f t="shared" si="221"/>
        <v>1.2312762402864634</v>
      </c>
      <c r="G1108" s="44">
        <f>VLOOKUP(A1107,'[22]General transpose'!$A$1:$AF$73,26,FALSE)/10^3</f>
        <v>181.74199999999999</v>
      </c>
      <c r="H1108" s="16">
        <f t="shared" si="223"/>
        <v>208.47900000000001</v>
      </c>
      <c r="I1108" s="18">
        <f>VLOOKUP(A1107,'[22]General transpose'!$A$1:$AF$73,8,FALSE)</f>
        <v>41798</v>
      </c>
      <c r="J1108" s="18">
        <f>VLOOKUP(A1107,'[22]General transpose'!$A$1:$AF$73,16,FALSE)</f>
        <v>1084</v>
      </c>
      <c r="K1108" s="18">
        <f t="shared" si="222"/>
        <v>583</v>
      </c>
      <c r="L1108" s="19">
        <f>VLOOKUP(A1107,'[22]General transpose'!$A$1:$AF$73,17,FALSE)</f>
        <v>0.53782287822878228</v>
      </c>
      <c r="M1108" s="9"/>
      <c r="N1108" s="9"/>
    </row>
    <row r="1109" spans="1:14" s="15" customFormat="1">
      <c r="A1109" s="15" t="s">
        <v>94</v>
      </c>
      <c r="B1109" s="15">
        <v>3021</v>
      </c>
      <c r="C1109" s="43">
        <v>2016</v>
      </c>
      <c r="D1109" s="15">
        <v>3</v>
      </c>
      <c r="E1109" s="17">
        <f>'[14]2016 Benchmarking Calculations'!$CB$8/1000</f>
        <v>11510.496859999999</v>
      </c>
      <c r="F1109" s="41">
        <f t="shared" si="221"/>
        <v>1.2455044937824149</v>
      </c>
      <c r="G1109" s="44">
        <f>HLOOKUP(A1109,[23]General!$A$1:$BQ$23,22,FALSE)/10^3</f>
        <v>189.95699999999999</v>
      </c>
      <c r="H1109" s="16">
        <f t="shared" si="223"/>
        <v>208.47900000000001</v>
      </c>
      <c r="I1109" s="18">
        <f>HLOOKUP(A1109,[23]General!$A$1:$BQ$23,9,FALSE)</f>
        <v>42178</v>
      </c>
      <c r="J1109" s="18">
        <f>HLOOKUP(A1109,[23]General!$A$1:$BQ$23,17,FALSE)</f>
        <v>1095</v>
      </c>
      <c r="K1109" s="18">
        <f t="shared" si="222"/>
        <v>588</v>
      </c>
      <c r="L1109" s="19">
        <f>HLOOKUP(A1109,[23]General!$A$1:$BQ$23,18,FALSE)</f>
        <v>0.53698630136986303</v>
      </c>
      <c r="M1109" s="9"/>
      <c r="N1109" s="9"/>
    </row>
    <row r="1110" spans="1:14" s="15" customFormat="1">
      <c r="A1110" s="15" t="s">
        <v>94</v>
      </c>
      <c r="B1110" s="15">
        <v>3021</v>
      </c>
      <c r="C1110" s="43">
        <v>2017</v>
      </c>
      <c r="D1110" s="15">
        <v>3</v>
      </c>
      <c r="E1110" s="17">
        <f>'[14]2017 Benchmarking Calculations'!$CD$9/1000</f>
        <v>11961.255999999999</v>
      </c>
      <c r="F1110" s="41">
        <f t="shared" si="221"/>
        <v>1.2674505553724562</v>
      </c>
      <c r="G1110" s="44">
        <f>[15]General!$BN$20/1000</f>
        <v>175.81800000000001</v>
      </c>
      <c r="H1110" s="16">
        <f t="shared" si="223"/>
        <v>208.47900000000001</v>
      </c>
      <c r="I1110" s="18">
        <f>[15]General!$BN$9</f>
        <v>42498</v>
      </c>
      <c r="J1110" s="18">
        <f>[15]General!$BN$17</f>
        <v>1104</v>
      </c>
      <c r="K1110" s="18">
        <f>J1110*L1110</f>
        <v>599</v>
      </c>
      <c r="L1110" s="19">
        <f>[15]General!$BN$16/[15]General!$BN$17</f>
        <v>0.54257246376811596</v>
      </c>
      <c r="M1110" s="9"/>
      <c r="N1110" s="9"/>
    </row>
    <row r="1111" spans="1:14" s="15" customFormat="1">
      <c r="A1111" s="15" t="s">
        <v>94</v>
      </c>
      <c r="B1111" s="15">
        <v>3021</v>
      </c>
      <c r="C1111" s="43">
        <v>2018</v>
      </c>
      <c r="D1111" s="15">
        <v>3</v>
      </c>
      <c r="E1111" s="17">
        <f>'[16]2018 Benchmarking Calculations'!$CD$10/1000</f>
        <v>11093.576670000002</v>
      </c>
      <c r="F1111" s="41">
        <f t="shared" si="221"/>
        <v>1.2994718602728874</v>
      </c>
      <c r="G1111" s="44">
        <f>'[16]2018 Benchmarking Calculations'!$CD$61/1000</f>
        <v>192.93700000000001</v>
      </c>
      <c r="H1111" s="16">
        <f t="shared" si="223"/>
        <v>208.47900000000001</v>
      </c>
      <c r="I1111" s="18">
        <f>'[16]2018 Benchmarking Calculations'!$CD$57</f>
        <v>42906</v>
      </c>
      <c r="J1111" s="18">
        <f>'[16]2018 Utility Characteristics'!$BX$103</f>
        <v>1135</v>
      </c>
      <c r="K1111" s="18">
        <f>'[16]2018 Utility Characteristics'!$BX$105</f>
        <v>622</v>
      </c>
      <c r="L1111" s="19">
        <f>K1111/J1111</f>
        <v>0.54801762114537445</v>
      </c>
      <c r="M1111" s="9"/>
      <c r="N1111" s="9"/>
    </row>
    <row r="1112" spans="1:14" s="15" customFormat="1">
      <c r="A1112" s="15" t="s">
        <v>94</v>
      </c>
      <c r="B1112" s="15">
        <v>3021</v>
      </c>
      <c r="C1112" s="43">
        <v>2019</v>
      </c>
      <c r="D1112" s="15">
        <v>3</v>
      </c>
      <c r="E1112" s="17"/>
      <c r="F1112" s="41">
        <f t="shared" si="221"/>
        <v>1.3352608354138498</v>
      </c>
      <c r="G1112" s="44"/>
      <c r="H1112" s="16"/>
      <c r="I1112" s="18"/>
      <c r="J1112" s="18"/>
      <c r="K1112" s="18"/>
      <c r="L1112" s="19"/>
      <c r="M1112" s="9"/>
      <c r="N1112" s="9"/>
    </row>
    <row r="1113" spans="1:14">
      <c r="A1113" s="15" t="str">
        <f>'[18]2. BM Database'!B820</f>
        <v>WOODSTOCK HYDRO SERVICES INC.</v>
      </c>
      <c r="B1113" s="15">
        <v>3042</v>
      </c>
      <c r="C1113" s="43">
        <f>'[18]2. BM Database'!C820</f>
        <v>2005</v>
      </c>
      <c r="D1113" s="15">
        <v>3</v>
      </c>
      <c r="E1113" s="17">
        <f>'[18]2. BM Database'!F820/1000</f>
        <v>2955.1394300000002</v>
      </c>
      <c r="F1113" s="41">
        <f t="shared" ref="F1113:F1127" si="224">F1098</f>
        <v>1</v>
      </c>
      <c r="G1113" s="44">
        <f>'[18]2. BM Database'!P820/1000</f>
        <v>79.084000000000003</v>
      </c>
      <c r="H1113" s="16">
        <f>G1113</f>
        <v>79.084000000000003</v>
      </c>
      <c r="I1113" s="18">
        <f>'[18]2. BM Database'!L820</f>
        <v>14195</v>
      </c>
      <c r="J1113" s="18">
        <f>'[18]2. BM Database'!R820</f>
        <v>254</v>
      </c>
      <c r="K1113" s="18">
        <f t="shared" ref="K1113:K1123" si="225">J1113*L1113</f>
        <v>104</v>
      </c>
      <c r="L1113" s="19">
        <f>'[18]2. BM Database'!T820</f>
        <v>0.40944881889763779</v>
      </c>
      <c r="M1113" s="9"/>
      <c r="N1113" s="9"/>
    </row>
    <row r="1114" spans="1:14">
      <c r="A1114" s="15" t="str">
        <f>'[18]2. BM Database'!B821</f>
        <v>WOODSTOCK HYDRO SERVICES INC.</v>
      </c>
      <c r="B1114" s="15">
        <v>3042</v>
      </c>
      <c r="C1114" s="43">
        <f>'[18]2. BM Database'!C821</f>
        <v>2006</v>
      </c>
      <c r="D1114" s="15">
        <v>3</v>
      </c>
      <c r="E1114" s="17">
        <f>'[18]2. BM Database'!F821/1000</f>
        <v>3054.6684499999997</v>
      </c>
      <c r="F1114" s="41">
        <f t="shared" si="224"/>
        <v>1.0181607380073696</v>
      </c>
      <c r="G1114" s="44">
        <f>'[18]2. BM Database'!P821/1000</f>
        <v>81.814999999999998</v>
      </c>
      <c r="H1114" s="16">
        <f>MAX(G1114,H1113)</f>
        <v>81.814999999999998</v>
      </c>
      <c r="I1114" s="18">
        <f>'[18]2. BM Database'!L821</f>
        <v>14316</v>
      </c>
      <c r="J1114" s="18">
        <f>'[18]2. BM Database'!R821</f>
        <v>260</v>
      </c>
      <c r="K1114" s="18">
        <f t="shared" si="225"/>
        <v>105</v>
      </c>
      <c r="L1114" s="19">
        <f>'[18]2. BM Database'!T821</f>
        <v>0.40384615384615385</v>
      </c>
      <c r="M1114" s="9"/>
      <c r="N1114" s="9"/>
    </row>
    <row r="1115" spans="1:14">
      <c r="A1115" s="15" t="str">
        <f>'[18]2. BM Database'!B822</f>
        <v>WOODSTOCK HYDRO SERVICES INC.</v>
      </c>
      <c r="B1115" s="15">
        <v>3042</v>
      </c>
      <c r="C1115" s="43">
        <f>'[18]2. BM Database'!C822</f>
        <v>2007</v>
      </c>
      <c r="D1115" s="15">
        <v>3</v>
      </c>
      <c r="E1115" s="17">
        <f>'[18]2. BM Database'!F822/1000</f>
        <v>3162.82845</v>
      </c>
      <c r="F1115" s="41">
        <f t="shared" si="224"/>
        <v>1.0531931014872313</v>
      </c>
      <c r="G1115" s="44">
        <f>'[18]2. BM Database'!P822/1000</f>
        <v>74.897000000000006</v>
      </c>
      <c r="H1115" s="16">
        <f t="shared" ref="H1115:H1123" si="226">MAX(G1115,H1114)</f>
        <v>81.814999999999998</v>
      </c>
      <c r="I1115" s="18">
        <f>'[18]2. BM Database'!L822</f>
        <v>14441</v>
      </c>
      <c r="J1115" s="18">
        <f>'[18]2. BM Database'!R822</f>
        <v>268</v>
      </c>
      <c r="K1115" s="18">
        <f t="shared" si="225"/>
        <v>115.99999999999999</v>
      </c>
      <c r="L1115" s="19">
        <f>'[18]2. BM Database'!T822</f>
        <v>0.43283582089552236</v>
      </c>
      <c r="M1115" s="9"/>
      <c r="N1115" s="9"/>
    </row>
    <row r="1116" spans="1:14">
      <c r="A1116" s="15" t="str">
        <f>'[18]2. BM Database'!B823</f>
        <v>WOODSTOCK HYDRO SERVICES INC.</v>
      </c>
      <c r="B1116" s="15">
        <v>3042</v>
      </c>
      <c r="C1116" s="43">
        <f>'[18]2. BM Database'!C823</f>
        <v>2008</v>
      </c>
      <c r="D1116" s="15">
        <v>3</v>
      </c>
      <c r="E1116" s="17">
        <f>'[18]2. BM Database'!F823/1000</f>
        <v>3215.6777000000002</v>
      </c>
      <c r="F1116" s="41">
        <f t="shared" si="224"/>
        <v>1.078564603993923</v>
      </c>
      <c r="G1116" s="44">
        <f>'[18]2. BM Database'!P823/1000</f>
        <v>74.117000000000004</v>
      </c>
      <c r="H1116" s="16">
        <f t="shared" si="226"/>
        <v>81.814999999999998</v>
      </c>
      <c r="I1116" s="18">
        <f>'[18]2. BM Database'!L823</f>
        <v>14645</v>
      </c>
      <c r="J1116" s="18">
        <f>'[18]2. BM Database'!R823</f>
        <v>246</v>
      </c>
      <c r="K1116" s="18">
        <f t="shared" si="225"/>
        <v>90</v>
      </c>
      <c r="L1116" s="19">
        <f>'[18]2. BM Database'!T823</f>
        <v>0.36585365853658536</v>
      </c>
      <c r="M1116" s="9"/>
      <c r="N1116" s="9"/>
    </row>
    <row r="1117" spans="1:14">
      <c r="A1117" s="15" t="str">
        <f>'[18]2. BM Database'!B824</f>
        <v>WOODSTOCK HYDRO SERVICES INC.</v>
      </c>
      <c r="B1117" s="15">
        <v>3042</v>
      </c>
      <c r="C1117" s="43">
        <f>'[18]2. BM Database'!C824</f>
        <v>2009</v>
      </c>
      <c r="D1117" s="15">
        <v>3</v>
      </c>
      <c r="E1117" s="17">
        <f>'[18]2. BM Database'!F824/1000</f>
        <v>3291.7994800000006</v>
      </c>
      <c r="F1117" s="41">
        <f t="shared" si="224"/>
        <v>1.0915070880241431</v>
      </c>
      <c r="G1117" s="44">
        <f>'[18]2. BM Database'!P824/1000</f>
        <v>72.543000000000006</v>
      </c>
      <c r="H1117" s="16">
        <f t="shared" si="226"/>
        <v>81.814999999999998</v>
      </c>
      <c r="I1117" s="18">
        <f>'[18]2. BM Database'!L824</f>
        <v>14799</v>
      </c>
      <c r="J1117" s="18">
        <f>'[18]2. BM Database'!R824</f>
        <v>245</v>
      </c>
      <c r="K1117" s="18">
        <f t="shared" si="225"/>
        <v>91</v>
      </c>
      <c r="L1117" s="19">
        <f>'[18]2. BM Database'!T824</f>
        <v>0.37142857142857144</v>
      </c>
      <c r="M1117" s="9"/>
      <c r="N1117" s="9"/>
    </row>
    <row r="1118" spans="1:14">
      <c r="A1118" s="15" t="str">
        <f>'[18]2. BM Database'!B825</f>
        <v>WOODSTOCK HYDRO SERVICES INC.</v>
      </c>
      <c r="B1118" s="15">
        <v>3042</v>
      </c>
      <c r="C1118" s="43">
        <f>'[18]2. BM Database'!C825</f>
        <v>2010</v>
      </c>
      <c r="D1118" s="15">
        <v>3</v>
      </c>
      <c r="E1118" s="17">
        <f>'[18]2. BM Database'!F825/1000</f>
        <v>3470.6199500000002</v>
      </c>
      <c r="F1118" s="41">
        <f t="shared" si="224"/>
        <v>1.1243125351578573</v>
      </c>
      <c r="G1118" s="44">
        <f>'[18]2. BM Database'!P825/1000</f>
        <v>74.659000000000006</v>
      </c>
      <c r="H1118" s="16">
        <f t="shared" si="226"/>
        <v>81.814999999999998</v>
      </c>
      <c r="I1118" s="18">
        <f>'[18]2. BM Database'!L825</f>
        <v>15074</v>
      </c>
      <c r="J1118" s="18">
        <f>'[18]2. BM Database'!R825</f>
        <v>248</v>
      </c>
      <c r="K1118" s="18">
        <f t="shared" si="225"/>
        <v>93</v>
      </c>
      <c r="L1118" s="19">
        <f>'[18]2. BM Database'!T825</f>
        <v>0.375</v>
      </c>
      <c r="M1118" s="9"/>
      <c r="N1118" s="9"/>
    </row>
    <row r="1119" spans="1:14">
      <c r="A1119" s="15" t="str">
        <f>'[18]2. BM Database'!B826</f>
        <v>WOODSTOCK HYDRO SERVICES INC.</v>
      </c>
      <c r="B1119" s="15">
        <v>3042</v>
      </c>
      <c r="C1119" s="43">
        <f>'[18]2. BM Database'!C826</f>
        <v>2011</v>
      </c>
      <c r="D1119" s="15">
        <v>3</v>
      </c>
      <c r="E1119" s="17">
        <f>'[18]2. BM Database'!F826/1000</f>
        <v>3701.7199874597495</v>
      </c>
      <c r="F1119" s="41">
        <f t="shared" si="224"/>
        <v>1.1430978626415853</v>
      </c>
      <c r="G1119" s="44">
        <f>'[18]2. BM Database'!P826/1000</f>
        <v>76.83</v>
      </c>
      <c r="H1119" s="16">
        <f t="shared" si="226"/>
        <v>81.814999999999998</v>
      </c>
      <c r="I1119" s="18">
        <f>'[18]2. BM Database'!L826</f>
        <v>15181</v>
      </c>
      <c r="J1119" s="18">
        <f>'[18]2. BM Database'!R826</f>
        <v>249</v>
      </c>
      <c r="K1119" s="18">
        <f t="shared" si="225"/>
        <v>94</v>
      </c>
      <c r="L1119" s="19">
        <f>'[18]2. BM Database'!T826</f>
        <v>0.37751004016064255</v>
      </c>
      <c r="M1119" s="9"/>
      <c r="N1119" s="9"/>
    </row>
    <row r="1120" spans="1:14">
      <c r="A1120" s="15" t="str">
        <f>'[18]2. BM Database'!B827</f>
        <v>WOODSTOCK HYDRO SERVICES INC.</v>
      </c>
      <c r="B1120" s="15">
        <v>3042</v>
      </c>
      <c r="C1120" s="43">
        <f>'[18]2. BM Database'!C827</f>
        <v>2012</v>
      </c>
      <c r="D1120" s="15">
        <v>3</v>
      </c>
      <c r="E1120" s="17">
        <f>'[18]2. BM Database'!F827/1000</f>
        <v>3717.4346600000008</v>
      </c>
      <c r="F1120" s="41">
        <f t="shared" si="224"/>
        <v>1.160126854517312</v>
      </c>
      <c r="G1120" s="44">
        <f>'[18]2. BM Database'!P827/1000</f>
        <v>74.379000000000005</v>
      </c>
      <c r="H1120" s="16">
        <f t="shared" si="226"/>
        <v>81.814999999999998</v>
      </c>
      <c r="I1120" s="18">
        <f>'[18]2. BM Database'!L827</f>
        <v>15356</v>
      </c>
      <c r="J1120" s="18">
        <f>'[18]2. BM Database'!R827</f>
        <v>252</v>
      </c>
      <c r="K1120" s="18">
        <f t="shared" si="225"/>
        <v>99</v>
      </c>
      <c r="L1120" s="19">
        <f>'[18]2. BM Database'!T827</f>
        <v>0.39285714285714285</v>
      </c>
      <c r="M1120" s="9"/>
      <c r="N1120" s="9"/>
    </row>
    <row r="1121" spans="1:14" s="15" customFormat="1">
      <c r="A1121" s="15" t="s">
        <v>95</v>
      </c>
      <c r="B1121" s="15">
        <v>3042</v>
      </c>
      <c r="C1121" s="43">
        <v>2013</v>
      </c>
      <c r="D1121" s="15">
        <v>3</v>
      </c>
      <c r="E1121" s="17">
        <f>HLOOKUP(A1121,'[19]2013 Benchmarking Calculations'!$I$3:$CC$76,6,FALSE)/1000</f>
        <v>3933.5637400000001</v>
      </c>
      <c r="F1121" s="41">
        <f t="shared" si="224"/>
        <v>1.178602141578931</v>
      </c>
      <c r="G1121" s="44">
        <f>HLOOKUP(A1121,'[19]2013 Benchmarking Calculations'!$I$3:$CC$76,57,FALSE)/1000</f>
        <v>87.430999999999997</v>
      </c>
      <c r="H1121" s="16">
        <f t="shared" si="226"/>
        <v>87.430999999999997</v>
      </c>
      <c r="I1121" s="18">
        <f>HLOOKUP(A1121,'[19]2013 Benchmarking Calculations'!$I$3:$CC$76,53,FALSE)</f>
        <v>15534</v>
      </c>
      <c r="J1121" s="18">
        <f>HLOOKUP(A1121,'[19]2013 Benchmarking Calculations'!$I$3:$CC$76,71,FALSE)</f>
        <v>237</v>
      </c>
      <c r="K1121" s="18">
        <f t="shared" si="225"/>
        <v>100</v>
      </c>
      <c r="L1121" s="19">
        <f>HLOOKUP(A1121,'[19]2013 PBR data '!B$42:BV$68,15,FALSE)/HLOOKUP(A1121,'[19]2013 PBR data '!B$42:BV$68,13,FALSE)</f>
        <v>0.4219409282700422</v>
      </c>
      <c r="M1121" s="9"/>
      <c r="N1121" s="9"/>
    </row>
    <row r="1122" spans="1:14" s="15" customFormat="1">
      <c r="A1122" s="15" t="s">
        <v>95</v>
      </c>
      <c r="B1122" s="15">
        <v>3042</v>
      </c>
      <c r="C1122" s="43">
        <v>2014</v>
      </c>
      <c r="D1122" s="15">
        <v>3</v>
      </c>
      <c r="E1122" s="17">
        <f>VLOOKUP(A1122,[20]Result!$B$12:$D$84,2,FALSE)/10^3</f>
        <v>3907.21</v>
      </c>
      <c r="F1122" s="41">
        <f t="shared" si="224"/>
        <v>1.2030671041042156</v>
      </c>
      <c r="G1122" s="44">
        <f>VLOOKUP(A1122,'[21]General transpose'!$A$1:$AF$73,26,FALSE)/10^3</f>
        <v>74.594999999999999</v>
      </c>
      <c r="H1122" s="16">
        <f t="shared" si="226"/>
        <v>87.430999999999997</v>
      </c>
      <c r="I1122" s="18">
        <f>VLOOKUP(A1122,'[21]General transpose'!$A$1:$AF$73,8,FALSE)</f>
        <v>15745</v>
      </c>
      <c r="J1122" s="18">
        <f>VLOOKUP(A1122,'[21]General transpose'!$A$1:$AF$73,16,FALSE)</f>
        <v>249</v>
      </c>
      <c r="K1122" s="18">
        <f t="shared" si="225"/>
        <v>102</v>
      </c>
      <c r="L1122" s="19">
        <f>VLOOKUP(A1122,'[21]General transpose'!$A$1:$AF$73,17,FALSE)</f>
        <v>0.40963855421686746</v>
      </c>
      <c r="M1122" s="9"/>
      <c r="N1122" s="9"/>
    </row>
    <row r="1123" spans="1:14" s="15" customFormat="1">
      <c r="A1123" s="15" t="s">
        <v>95</v>
      </c>
      <c r="B1123" s="15">
        <v>3042</v>
      </c>
      <c r="C1123" s="43">
        <v>2015</v>
      </c>
      <c r="D1123" s="15">
        <v>3</v>
      </c>
      <c r="E1123" s="17">
        <f>VLOOKUP(A1122,[20]Result!$B$12:$D$84,3,FALSE)/10^3</f>
        <v>3957.009</v>
      </c>
      <c r="F1123" s="41">
        <f t="shared" si="224"/>
        <v>1.2312762402864634</v>
      </c>
      <c r="G1123" s="44">
        <f>VLOOKUP(A1122,'[22]General transpose'!$A$1:$AF$73,26,FALSE)/10^3</f>
        <v>79.787000000000006</v>
      </c>
      <c r="H1123" s="16">
        <f t="shared" si="226"/>
        <v>87.430999999999997</v>
      </c>
      <c r="I1123" s="18">
        <f>VLOOKUP(A1122,'[22]General transpose'!$A$1:$AF$73,8,FALSE)</f>
        <v>15966</v>
      </c>
      <c r="J1123" s="18">
        <f>VLOOKUP(A1122,'[22]General transpose'!$A$1:$AF$73,16,FALSE)</f>
        <v>255</v>
      </c>
      <c r="K1123" s="18">
        <f t="shared" si="225"/>
        <v>113</v>
      </c>
      <c r="L1123" s="19">
        <f>VLOOKUP(A1122,'[22]General transpose'!$A$1:$AF$73,17,FALSE)</f>
        <v>0.44313725490196076</v>
      </c>
      <c r="M1123" s="9"/>
      <c r="N1123" s="9"/>
    </row>
    <row r="1124" spans="1:14" s="15" customFormat="1">
      <c r="A1124" s="15" t="s">
        <v>95</v>
      </c>
      <c r="B1124" s="15">
        <v>3042</v>
      </c>
      <c r="C1124" s="43">
        <v>2016</v>
      </c>
      <c r="D1124" s="15">
        <v>3</v>
      </c>
      <c r="E1124" s="17"/>
      <c r="F1124" s="41">
        <f t="shared" si="224"/>
        <v>1.2455044937824149</v>
      </c>
      <c r="G1124" s="44"/>
      <c r="H1124" s="16"/>
      <c r="I1124" s="18"/>
      <c r="J1124" s="18"/>
      <c r="L1124" s="19"/>
    </row>
    <row r="1125" spans="1:14" s="15" customFormat="1">
      <c r="A1125" s="15" t="s">
        <v>95</v>
      </c>
      <c r="B1125" s="15">
        <v>3042</v>
      </c>
      <c r="C1125" s="43">
        <v>2017</v>
      </c>
      <c r="D1125" s="15">
        <v>3</v>
      </c>
      <c r="E1125" s="17"/>
      <c r="F1125" s="41">
        <f t="shared" si="224"/>
        <v>1.2674505553724562</v>
      </c>
      <c r="G1125" s="44"/>
      <c r="H1125" s="16"/>
      <c r="I1125" s="18"/>
      <c r="J1125" s="18"/>
      <c r="L1125" s="19"/>
    </row>
    <row r="1126" spans="1:14" s="15" customFormat="1">
      <c r="A1126" s="15" t="s">
        <v>95</v>
      </c>
      <c r="B1126" s="15">
        <v>3042</v>
      </c>
      <c r="C1126" s="43">
        <v>2018</v>
      </c>
      <c r="D1126" s="15">
        <v>3</v>
      </c>
      <c r="E1126" s="17"/>
      <c r="F1126" s="41">
        <f t="shared" si="224"/>
        <v>1.2994718602728874</v>
      </c>
      <c r="G1126" s="45"/>
      <c r="H1126" s="16"/>
      <c r="I1126" s="18"/>
      <c r="J1126" s="18"/>
      <c r="L1126" s="19"/>
    </row>
    <row r="1127" spans="1:14" s="15" customFormat="1">
      <c r="A1127" s="15" t="s">
        <v>95</v>
      </c>
      <c r="B1127" s="15">
        <v>3042</v>
      </c>
      <c r="C1127" s="43">
        <v>2019</v>
      </c>
      <c r="D1127" s="15">
        <v>3</v>
      </c>
      <c r="E1127" s="17"/>
      <c r="F1127" s="41">
        <f t="shared" si="224"/>
        <v>1.3352608354138498</v>
      </c>
      <c r="G1127" s="44"/>
      <c r="H1127" s="16"/>
      <c r="I1127" s="18"/>
      <c r="J1127" s="18"/>
      <c r="L1127" s="19"/>
    </row>
    <row r="1128" spans="1:14" s="15" customFormat="1">
      <c r="C1128" s="43"/>
      <c r="E1128" s="17"/>
      <c r="F1128" s="41"/>
      <c r="G1128" s="44"/>
      <c r="H1128" s="16"/>
      <c r="I1128" s="18"/>
      <c r="J1128" s="18"/>
      <c r="L1128" s="19"/>
    </row>
    <row r="1129" spans="1:14" s="15" customFormat="1">
      <c r="C1129" s="43"/>
      <c r="E1129" s="17"/>
      <c r="F1129" s="41"/>
      <c r="G1129" s="44"/>
      <c r="H1129" s="16"/>
      <c r="I1129" s="18"/>
      <c r="J1129" s="18"/>
      <c r="L1129" s="19"/>
    </row>
    <row r="1130" spans="1:14" s="15" customFormat="1">
      <c r="C1130" s="43"/>
      <c r="E1130" s="17"/>
      <c r="F1130" s="41"/>
      <c r="G1130" s="44"/>
      <c r="H1130" s="16"/>
      <c r="I1130" s="18"/>
      <c r="J1130" s="18"/>
      <c r="L1130" s="19"/>
    </row>
    <row r="1131" spans="1:14" s="15" customFormat="1" hidden="1">
      <c r="A1131" s="46" t="s">
        <v>98</v>
      </c>
      <c r="C1131" s="43"/>
      <c r="E1131" s="17"/>
      <c r="F1131" s="41"/>
      <c r="G1131" s="44"/>
      <c r="H1131" s="16"/>
      <c r="I1131" s="18"/>
      <c r="J1131" s="18"/>
      <c r="L1131" s="19"/>
    </row>
    <row r="1132" spans="1:14" s="15" customFormat="1" hidden="1">
      <c r="C1132" s="43"/>
      <c r="E1132" s="17"/>
      <c r="F1132" s="41"/>
      <c r="G1132" s="44"/>
      <c r="H1132" s="16"/>
      <c r="I1132" s="18"/>
      <c r="J1132" s="18"/>
      <c r="L1132" s="19"/>
    </row>
    <row r="1133" spans="1:14" s="15" customFormat="1" hidden="1">
      <c r="A1133" s="15" t="str">
        <f>'[18]2. BM Database'!B358</f>
        <v>HYDRO ONE NETWORKS INC.</v>
      </c>
      <c r="B1133" s="15">
        <v>3001</v>
      </c>
      <c r="C1133" s="43">
        <f>'[18]2. BM Database'!C358</f>
        <v>2005</v>
      </c>
      <c r="D1133" s="15">
        <v>3</v>
      </c>
      <c r="E1133" s="17">
        <f>'[18]2. BM Database'!F358/1000</f>
        <v>329243.82668</v>
      </c>
      <c r="F1133" s="41">
        <v>1</v>
      </c>
      <c r="G1133" s="44">
        <f>'[18]2. BM Database'!P358/1000</f>
        <v>4407.2380000000003</v>
      </c>
      <c r="H1133" s="16">
        <v>4407.2380000000003</v>
      </c>
      <c r="I1133" s="18">
        <f>'[18]2. BM Database'!L358</f>
        <v>1152927</v>
      </c>
      <c r="J1133" s="18">
        <f>'[18]2. BM Database'!R358</f>
        <v>119650</v>
      </c>
      <c r="K1133" s="15">
        <v>0</v>
      </c>
      <c r="L1133" s="19">
        <f>'[18]2. BM Database'!T358</f>
        <v>3.5269536147095694E-2</v>
      </c>
    </row>
    <row r="1134" spans="1:14" s="15" customFormat="1" hidden="1">
      <c r="A1134" s="15" t="str">
        <f>'[18]2. BM Database'!B359</f>
        <v>HYDRO ONE NETWORKS INC.</v>
      </c>
      <c r="B1134" s="15">
        <v>3001</v>
      </c>
      <c r="C1134" s="43">
        <f>'[18]2. BM Database'!C359</f>
        <v>2006</v>
      </c>
      <c r="D1134" s="15">
        <v>3</v>
      </c>
      <c r="E1134" s="17">
        <f>'[18]2. BM Database'!F359/1000</f>
        <v>371996.26160999999</v>
      </c>
      <c r="F1134" s="41">
        <v>1.0181607380073696</v>
      </c>
      <c r="G1134" s="44">
        <f>'[18]2. BM Database'!P359/1000</f>
        <v>4163.1729999999998</v>
      </c>
      <c r="H1134" s="16">
        <v>4407.2380000000003</v>
      </c>
      <c r="I1134" s="18">
        <f>'[18]2. BM Database'!L359</f>
        <v>1164887</v>
      </c>
      <c r="J1134" s="18">
        <f>'[18]2. BM Database'!R359</f>
        <v>119879</v>
      </c>
      <c r="K1134" s="15">
        <v>0</v>
      </c>
      <c r="L1134" s="19">
        <f>'[18]2. BM Database'!T359</f>
        <v>3.5285579626123005E-2</v>
      </c>
    </row>
    <row r="1135" spans="1:14" s="15" customFormat="1" hidden="1">
      <c r="A1135" s="15" t="str">
        <f>'[18]2. BM Database'!B360</f>
        <v>HYDRO ONE NETWORKS INC.</v>
      </c>
      <c r="B1135" s="15">
        <v>3001</v>
      </c>
      <c r="C1135" s="43">
        <f>'[18]2. BM Database'!C360</f>
        <v>2007</v>
      </c>
      <c r="D1135" s="15">
        <v>3</v>
      </c>
      <c r="E1135" s="17">
        <f>'[18]2. BM Database'!F360/1000</f>
        <v>454177.4473</v>
      </c>
      <c r="F1135" s="41">
        <v>1.0531931014872313</v>
      </c>
      <c r="G1135" s="44">
        <f>'[18]2. BM Database'!P360/1000</f>
        <v>4146.9269999999997</v>
      </c>
      <c r="H1135" s="16">
        <v>4407.2380000000003</v>
      </c>
      <c r="I1135" s="18">
        <f>'[18]2. BM Database'!L360</f>
        <v>1173360</v>
      </c>
      <c r="J1135" s="18">
        <f>'[18]2. BM Database'!R360</f>
        <v>120231</v>
      </c>
      <c r="K1135" s="15">
        <v>0</v>
      </c>
      <c r="L1135" s="19">
        <f>'[18]2. BM Database'!T360</f>
        <v>3.5273764669677535E-2</v>
      </c>
    </row>
    <row r="1136" spans="1:14" s="15" customFormat="1" hidden="1">
      <c r="A1136" s="15" t="str">
        <f>'[18]2. BM Database'!B361</f>
        <v>HYDRO ONE NETWORKS INC.</v>
      </c>
      <c r="B1136" s="15">
        <v>3001</v>
      </c>
      <c r="C1136" s="43">
        <f>'[18]2. BM Database'!C361</f>
        <v>2008</v>
      </c>
      <c r="D1136" s="15">
        <v>3</v>
      </c>
      <c r="E1136" s="17">
        <f>'[18]2. BM Database'!F361/1000</f>
        <v>446088.02148</v>
      </c>
      <c r="F1136" s="41">
        <v>1.078564603993923</v>
      </c>
      <c r="G1136" s="44">
        <f>'[18]2. BM Database'!P361/1000</f>
        <v>3867.0549999999998</v>
      </c>
      <c r="H1136" s="16">
        <v>4407.2380000000003</v>
      </c>
      <c r="I1136" s="18">
        <f>'[18]2. BM Database'!L361</f>
        <v>1187253</v>
      </c>
      <c r="J1136" s="18">
        <f>'[18]2. BM Database'!R361</f>
        <v>120516</v>
      </c>
      <c r="K1136" s="15">
        <v>0</v>
      </c>
      <c r="L1136" s="19">
        <f>'[18]2. BM Database'!T361</f>
        <v>3.527332470377377E-2</v>
      </c>
    </row>
    <row r="1137" spans="1:12" s="15" customFormat="1" hidden="1">
      <c r="A1137" s="15" t="str">
        <f>'[18]2. BM Database'!B362</f>
        <v>HYDRO ONE NETWORKS INC.</v>
      </c>
      <c r="B1137" s="15">
        <v>3001</v>
      </c>
      <c r="C1137" s="43">
        <f>'[18]2. BM Database'!C362</f>
        <v>2009</v>
      </c>
      <c r="D1137" s="15">
        <v>3</v>
      </c>
      <c r="E1137" s="17">
        <f>'[18]2. BM Database'!F362/1000</f>
        <v>482799.62398389995</v>
      </c>
      <c r="F1137" s="41">
        <v>1.0915070880241431</v>
      </c>
      <c r="G1137" s="44">
        <f>'[18]2. BM Database'!P362/1000</f>
        <v>4143.3389999999999</v>
      </c>
      <c r="H1137" s="16">
        <v>4407.2380000000003</v>
      </c>
      <c r="I1137" s="18">
        <f>'[18]2. BM Database'!L362</f>
        <v>1193767</v>
      </c>
      <c r="J1137" s="18">
        <f>'[18]2. BM Database'!R362</f>
        <v>120750</v>
      </c>
      <c r="K1137" s="15">
        <v>0</v>
      </c>
      <c r="L1137" s="19">
        <f>'[18]2. BM Database'!T362</f>
        <v>3.5271221532091099E-2</v>
      </c>
    </row>
    <row r="1138" spans="1:12" s="15" customFormat="1" hidden="1">
      <c r="A1138" s="15" t="str">
        <f>'[18]2. BM Database'!B363</f>
        <v>HYDRO ONE NETWORKS INC.</v>
      </c>
      <c r="B1138" s="15">
        <v>3001</v>
      </c>
      <c r="C1138" s="43">
        <f>'[18]2. BM Database'!C363</f>
        <v>2010</v>
      </c>
      <c r="D1138" s="15">
        <v>3</v>
      </c>
      <c r="E1138" s="17">
        <f>'[18]2. BM Database'!F363/1000</f>
        <v>519892.96752000001</v>
      </c>
      <c r="F1138" s="41">
        <v>1.1243125351578573</v>
      </c>
      <c r="G1138" s="44">
        <f>'[18]2. BM Database'!P363/1000</f>
        <v>4180.5510000000004</v>
      </c>
      <c r="H1138" s="16">
        <v>4407.2380000000003</v>
      </c>
      <c r="I1138" s="18">
        <f>'[18]2. BM Database'!L363</f>
        <v>1203030</v>
      </c>
      <c r="J1138" s="18">
        <f>'[18]2. BM Database'!R363</f>
        <v>120921</v>
      </c>
      <c r="K1138" s="15">
        <v>0</v>
      </c>
      <c r="L1138" s="19">
        <f>'[18]2. BM Database'!T363</f>
        <v>3.527096203306291E-2</v>
      </c>
    </row>
    <row r="1139" spans="1:12" s="15" customFormat="1" hidden="1">
      <c r="A1139" s="15" t="str">
        <f>'[18]2. BM Database'!B364</f>
        <v>HYDRO ONE NETWORKS INC.</v>
      </c>
      <c r="B1139" s="15">
        <v>3001</v>
      </c>
      <c r="C1139" s="43">
        <f>'[18]2. BM Database'!C364</f>
        <v>2011</v>
      </c>
      <c r="D1139" s="15">
        <v>3</v>
      </c>
      <c r="E1139" s="17">
        <f>'[18]2. BM Database'!F364/1000</f>
        <v>522934.64277000003</v>
      </c>
      <c r="F1139" s="41">
        <v>1.1430978626415853</v>
      </c>
      <c r="G1139" s="44">
        <f>'[18]2. BM Database'!P364/1000</f>
        <v>3923.7710000000002</v>
      </c>
      <c r="H1139" s="16">
        <v>4407.2380000000003</v>
      </c>
      <c r="I1139" s="18">
        <f>'[18]2. BM Database'!L364</f>
        <v>1211071</v>
      </c>
      <c r="J1139" s="18">
        <f>'[18]2. BM Database'!R364</f>
        <v>117385</v>
      </c>
      <c r="K1139" s="15">
        <v>0</v>
      </c>
      <c r="L1139" s="19">
        <f>'[18]2. BM Database'!T364</f>
        <v>6.7180644886484647E-2</v>
      </c>
    </row>
    <row r="1140" spans="1:12" s="15" customFormat="1" hidden="1">
      <c r="A1140" s="15" t="str">
        <f>'[18]2. BM Database'!B365</f>
        <v>HYDRO ONE NETWORKS INC.</v>
      </c>
      <c r="B1140" s="15">
        <v>3001</v>
      </c>
      <c r="C1140" s="43">
        <f>'[18]2. BM Database'!C365</f>
        <v>2012</v>
      </c>
      <c r="D1140" s="15">
        <v>3</v>
      </c>
      <c r="E1140" s="17">
        <f>'[18]2. BM Database'!F365/1000</f>
        <v>509039.13318</v>
      </c>
      <c r="F1140" s="41">
        <v>1.160126854517312</v>
      </c>
      <c r="G1140" s="44">
        <f>'[18]2. BM Database'!P365/1000</f>
        <v>3716.7</v>
      </c>
      <c r="H1140" s="16">
        <v>4407.2380000000003</v>
      </c>
      <c r="I1140" s="18">
        <f>'[18]2. BM Database'!L365</f>
        <v>1221411</v>
      </c>
      <c r="J1140" s="18">
        <f>'[18]2. BM Database'!R365</f>
        <v>118340</v>
      </c>
      <c r="K1140" s="15">
        <v>0</v>
      </c>
      <c r="L1140" s="19">
        <f>'[18]2. BM Database'!T365</f>
        <v>6.8505999661990877E-2</v>
      </c>
    </row>
    <row r="1141" spans="1:12" s="15" customFormat="1" hidden="1">
      <c r="A1141" s="15" t="s">
        <v>54</v>
      </c>
      <c r="B1141" s="15">
        <v>3001</v>
      </c>
      <c r="C1141" s="43">
        <v>2013</v>
      </c>
      <c r="D1141" s="15">
        <v>3</v>
      </c>
      <c r="E1141" s="17">
        <f>HLOOKUP(A506,'[19]2013 Benchmarking Calculations'!$I$3:$CC$76,6,FALSE)/1000</f>
        <v>561763.82969000004</v>
      </c>
      <c r="F1141" s="41">
        <v>1.178602141578931</v>
      </c>
      <c r="G1141" s="44">
        <f>HLOOKUP(A506,'[19]2013 Benchmarking Calculations'!$I$3:$CC$76,57,FALSE)/1000</f>
        <v>6367</v>
      </c>
      <c r="H1141" s="16">
        <f>IF(G506&gt;H505,G506,H505)</f>
        <v>5657.3337621250357</v>
      </c>
      <c r="I1141" s="18">
        <f>HLOOKUP(A506,'[19]2013 Benchmarking Calculations'!$I$3:$CC$76,53,FALSE)</f>
        <v>1220476</v>
      </c>
      <c r="J1141" s="18">
        <f>HLOOKUP(A506,'[19]2013 Benchmarking Calculations'!$I$3:$CC$76,71,FALSE)</f>
        <v>119516</v>
      </c>
      <c r="L1141" s="19">
        <f>HLOOKUP(A506,'[19]2013 PBR data '!B$42:BV$68,15,FALSE)/HLOOKUP(A506,'[19]2013 PBR data '!B$42:BV$68,13,FALSE)</f>
        <v>7.1530171692493053E-2</v>
      </c>
    </row>
    <row r="1142" spans="1:12" s="15" customFormat="1" hidden="1">
      <c r="A1142" s="15" t="s">
        <v>54</v>
      </c>
      <c r="B1142" s="15">
        <v>3001</v>
      </c>
      <c r="C1142" s="43">
        <v>2014</v>
      </c>
      <c r="D1142" s="15">
        <v>3</v>
      </c>
      <c r="E1142" s="17" t="e">
        <f>VLOOKUP(A507,[20]Result!$B$12:$D$84,2,FALSE)/10^3</f>
        <v>#N/A</v>
      </c>
      <c r="F1142" s="41">
        <v>1.2030671041042156</v>
      </c>
      <c r="G1142" s="44">
        <f>VLOOKUP(A507,'[21]General transpose'!$A$1:$AF$73,26,FALSE)/10^3</f>
        <v>3769.643</v>
      </c>
      <c r="H1142" s="16">
        <f>IF(H506&gt;G507,H506,G507)</f>
        <v>5908.4543687728201</v>
      </c>
      <c r="I1142" s="18">
        <f>VLOOKUP(A507,'[21]General transpose'!$A$1:$AF$73,8,FALSE)</f>
        <v>1219292</v>
      </c>
      <c r="J1142" s="18">
        <f>VLOOKUP(A507,'[21]General transpose'!$A$1:$AF$73,16,FALSE)</f>
        <v>120185</v>
      </c>
      <c r="L1142" s="19">
        <f>VLOOKUP(A507,'[21]General transpose'!$A$1:$AF$73,17,FALSE)</f>
        <v>7.3137246744602077E-2</v>
      </c>
    </row>
    <row r="1143" spans="1:12" s="15" customFormat="1" hidden="1">
      <c r="A1143" s="15" t="s">
        <v>54</v>
      </c>
      <c r="B1143" s="15">
        <v>3001</v>
      </c>
      <c r="C1143" s="43">
        <v>2015</v>
      </c>
      <c r="D1143" s="15">
        <v>3</v>
      </c>
      <c r="E1143" s="17" t="e">
        <f>VLOOKUP(A507,[20]Result!$B$12:$D$84,3,FALSE)/10^3</f>
        <v>#N/A</v>
      </c>
      <c r="F1143" s="41">
        <v>1.2312762402864634</v>
      </c>
      <c r="G1143" s="44">
        <f>VLOOKUP(A507,'[22]General transpose'!$A$1:$AF$73,26,FALSE)/10^3</f>
        <v>4243.3900000000003</v>
      </c>
      <c r="H1143" s="16">
        <f>IF(H507&gt;G508,H507,G508)</f>
        <v>6305.6849978430755</v>
      </c>
      <c r="I1143" s="18">
        <f>VLOOKUP(A507,'[22]General transpose'!$A$1:$AF$73,8,FALSE)</f>
        <v>1257016</v>
      </c>
      <c r="J1143" s="18">
        <f>VLOOKUP(A507,'[22]General transpose'!$A$1:$AF$73,16,FALSE)</f>
        <v>121209</v>
      </c>
      <c r="L1143" s="19">
        <f>VLOOKUP(A507,'[22]General transpose'!$A$1:$AF$73,17,FALSE)</f>
        <v>7.5720449801582393E-2</v>
      </c>
    </row>
    <row r="1144" spans="1:12" s="15" customFormat="1" hidden="1">
      <c r="A1144" s="15" t="s">
        <v>54</v>
      </c>
      <c r="B1144" s="15">
        <v>3001</v>
      </c>
      <c r="C1144" s="43">
        <v>2016</v>
      </c>
      <c r="D1144" s="15">
        <v>3</v>
      </c>
      <c r="E1144" s="17">
        <f>HLOOKUP(A1144,[23]IS!$A$1:$BR$32,19,FALSE)/10^3</f>
        <v>564002.95322999998</v>
      </c>
      <c r="F1144" s="41">
        <v>1.2455044937824149</v>
      </c>
      <c r="G1144" s="44">
        <f>HLOOKUP(A1144,[23]General!$A$1:$BQ$23,22,FALSE)/10^3</f>
        <v>5641.0780000000004</v>
      </c>
      <c r="H1144" s="16">
        <f>IF(H1143&gt;G1144,H1143,G1144)</f>
        <v>6305.6849978430755</v>
      </c>
      <c r="I1144" s="18">
        <f>HLOOKUP(A1144,[23]General!$A$1:$BQ$23,9,FALSE)</f>
        <v>1307544</v>
      </c>
      <c r="J1144" s="18">
        <f>HLOOKUP(A1144,[23]General!$A$1:$BQ$23,17,FALSE)</f>
        <v>122366</v>
      </c>
      <c r="L1144" s="19">
        <f>HLOOKUP(A1144,[23]General!$A$1:$BQ$23,18,FALSE)</f>
        <v>7.4759328571662065E-2</v>
      </c>
    </row>
    <row r="1145" spans="1:12" s="15" customFormat="1" hidden="1">
      <c r="A1145" s="15" t="s">
        <v>54</v>
      </c>
      <c r="B1145" s="15">
        <v>3001</v>
      </c>
      <c r="C1145" s="43">
        <v>2017</v>
      </c>
      <c r="D1145" s="15">
        <v>3</v>
      </c>
      <c r="E1145" s="17"/>
      <c r="F1145" s="41">
        <v>1.2674505553724562</v>
      </c>
      <c r="G1145" s="44"/>
      <c r="H1145" s="16"/>
      <c r="I1145" s="18"/>
      <c r="J1145" s="18"/>
      <c r="L1145" s="19"/>
    </row>
    <row r="1146" spans="1:12" s="15" customFormat="1" hidden="1">
      <c r="C1146" s="43"/>
      <c r="E1146" s="17"/>
      <c r="F1146" s="41"/>
      <c r="G1146" s="44"/>
      <c r="H1146" s="16"/>
      <c r="I1146" s="18"/>
      <c r="J1146" s="18"/>
      <c r="L1146" s="19"/>
    </row>
    <row r="1147" spans="1:12" s="15" customFormat="1" hidden="1">
      <c r="C1147" s="43"/>
      <c r="E1147" s="17"/>
      <c r="F1147" s="41"/>
      <c r="G1147" s="44"/>
      <c r="H1147" s="16"/>
      <c r="I1147" s="18"/>
      <c r="J1147" s="18"/>
      <c r="L1147" s="19"/>
    </row>
    <row r="1148" spans="1:12" s="15" customFormat="1" hidden="1">
      <c r="C1148" s="43"/>
      <c r="E1148" s="17"/>
      <c r="F1148" s="41"/>
      <c r="G1148" s="44"/>
      <c r="H1148" s="16"/>
      <c r="I1148" s="18"/>
      <c r="J1148" s="18"/>
      <c r="L1148" s="19"/>
    </row>
    <row r="1149" spans="1:12" s="15" customFormat="1" hidden="1">
      <c r="C1149" s="43"/>
      <c r="E1149" s="17"/>
      <c r="F1149" s="41"/>
      <c r="G1149" s="44"/>
      <c r="H1149" s="16"/>
      <c r="I1149" s="18"/>
      <c r="J1149" s="18"/>
      <c r="L1149" s="19"/>
    </row>
    <row r="1150" spans="1:12" s="15" customFormat="1" hidden="1">
      <c r="A1150" s="15" t="str">
        <f>'[18]2. BM Database'!B523</f>
        <v>NORFOLK POWER DISTRIBUTION INC.</v>
      </c>
      <c r="B1150" s="15">
        <v>3038</v>
      </c>
      <c r="C1150" s="43">
        <f>'[18]2. BM Database'!C523</f>
        <v>2005</v>
      </c>
      <c r="D1150" s="15">
        <v>3</v>
      </c>
      <c r="E1150" s="17">
        <f>'[18]2. BM Database'!F523/1000</f>
        <v>3651.1250299999997</v>
      </c>
      <c r="F1150" s="41">
        <v>1</v>
      </c>
      <c r="G1150" s="44">
        <f>'[18]2. BM Database'!P523/1000</f>
        <v>73.575000000000003</v>
      </c>
      <c r="H1150" s="16">
        <v>73.575000000000003</v>
      </c>
      <c r="I1150" s="18">
        <f>'[18]2. BM Database'!L523</f>
        <v>18171</v>
      </c>
      <c r="J1150" s="18">
        <f>'[18]2. BM Database'!R523</f>
        <v>771</v>
      </c>
      <c r="K1150" s="15">
        <v>0</v>
      </c>
      <c r="L1150" s="19">
        <f>'[18]2. BM Database'!T523</f>
        <v>0.10116731517509728</v>
      </c>
    </row>
    <row r="1151" spans="1:12" s="15" customFormat="1" hidden="1">
      <c r="A1151" s="15" t="str">
        <f>'[18]2. BM Database'!B524</f>
        <v>NORFOLK POWER DISTRIBUTION INC.</v>
      </c>
      <c r="B1151" s="15">
        <v>3038</v>
      </c>
      <c r="C1151" s="43">
        <f>'[18]2. BM Database'!C524</f>
        <v>2006</v>
      </c>
      <c r="D1151" s="15">
        <v>3</v>
      </c>
      <c r="E1151" s="17">
        <f>'[18]2. BM Database'!F524/1000</f>
        <v>3957.08772</v>
      </c>
      <c r="F1151" s="41">
        <v>1.0181607380073696</v>
      </c>
      <c r="G1151" s="44">
        <f>'[18]2. BM Database'!P524/1000</f>
        <v>75.688999999999993</v>
      </c>
      <c r="H1151" s="16">
        <v>75.688999999999993</v>
      </c>
      <c r="I1151" s="18">
        <f>'[18]2. BM Database'!L524</f>
        <v>18384</v>
      </c>
      <c r="J1151" s="18">
        <f>'[18]2. BM Database'!R524</f>
        <v>653</v>
      </c>
      <c r="K1151" s="15">
        <v>0</v>
      </c>
      <c r="L1151" s="19">
        <f>'[18]2. BM Database'!T524</f>
        <v>0.1225114854517611</v>
      </c>
    </row>
    <row r="1152" spans="1:12" s="15" customFormat="1" hidden="1">
      <c r="A1152" s="15" t="str">
        <f>'[18]2. BM Database'!B525</f>
        <v>NORFOLK POWER DISTRIBUTION INC.</v>
      </c>
      <c r="B1152" s="15">
        <v>3038</v>
      </c>
      <c r="C1152" s="43">
        <f>'[18]2. BM Database'!C525</f>
        <v>2007</v>
      </c>
      <c r="D1152" s="15">
        <v>3</v>
      </c>
      <c r="E1152" s="17">
        <f>'[18]2. BM Database'!F525/1000</f>
        <v>4733.8966</v>
      </c>
      <c r="F1152" s="41">
        <v>1.0531931014872313</v>
      </c>
      <c r="G1152" s="44">
        <f>'[18]2. BM Database'!P525/1000</f>
        <v>77.718000000000004</v>
      </c>
      <c r="H1152" s="16">
        <v>77.718000000000004</v>
      </c>
      <c r="I1152" s="18">
        <f>'[18]2. BM Database'!L525</f>
        <v>18641</v>
      </c>
      <c r="J1152" s="18">
        <f>'[18]2. BM Database'!R525</f>
        <v>655</v>
      </c>
      <c r="K1152" s="15">
        <v>0</v>
      </c>
      <c r="L1152" s="19">
        <f>'[18]2. BM Database'!T525</f>
        <v>0.1251908396946565</v>
      </c>
    </row>
    <row r="1153" spans="1:12" s="15" customFormat="1" hidden="1">
      <c r="A1153" s="15" t="str">
        <f>'[18]2. BM Database'!B526</f>
        <v>NORFOLK POWER DISTRIBUTION INC.</v>
      </c>
      <c r="B1153" s="15">
        <v>3038</v>
      </c>
      <c r="C1153" s="43">
        <f>'[18]2. BM Database'!C526</f>
        <v>2008</v>
      </c>
      <c r="D1153" s="15">
        <v>3</v>
      </c>
      <c r="E1153" s="17">
        <f>'[18]2. BM Database'!F526/1000</f>
        <v>5327.4266499999985</v>
      </c>
      <c r="F1153" s="41">
        <v>1.078564603993923</v>
      </c>
      <c r="G1153" s="44">
        <f>'[18]2. BM Database'!P526/1000</f>
        <v>75.381</v>
      </c>
      <c r="H1153" s="16">
        <v>77.718000000000004</v>
      </c>
      <c r="I1153" s="18">
        <f>'[18]2. BM Database'!L526</f>
        <v>18806</v>
      </c>
      <c r="J1153" s="18">
        <f>'[18]2. BM Database'!R526</f>
        <v>691</v>
      </c>
      <c r="K1153" s="15">
        <v>0</v>
      </c>
      <c r="L1153" s="19">
        <f>'[18]2. BM Database'!T526</f>
        <v>0.12156295224312591</v>
      </c>
    </row>
    <row r="1154" spans="1:12" s="15" customFormat="1" hidden="1">
      <c r="A1154" s="15" t="str">
        <f>'[18]2. BM Database'!B527</f>
        <v>NORFOLK POWER DISTRIBUTION INC.</v>
      </c>
      <c r="B1154" s="15">
        <v>3038</v>
      </c>
      <c r="C1154" s="43">
        <f>'[18]2. BM Database'!C527</f>
        <v>2009</v>
      </c>
      <c r="D1154" s="15">
        <v>3</v>
      </c>
      <c r="E1154" s="17">
        <f>'[18]2. BM Database'!F527/1000</f>
        <v>4369.6723400000001</v>
      </c>
      <c r="F1154" s="41">
        <v>1.0915070880241431</v>
      </c>
      <c r="G1154" s="44">
        <f>'[18]2. BM Database'!P527/1000</f>
        <v>92.162000000000006</v>
      </c>
      <c r="H1154" s="16">
        <v>92.162000000000006</v>
      </c>
      <c r="I1154" s="18">
        <f>'[18]2. BM Database'!L527</f>
        <v>18893</v>
      </c>
      <c r="J1154" s="18">
        <f>'[18]2. BM Database'!R527</f>
        <v>765</v>
      </c>
      <c r="K1154" s="15">
        <v>0</v>
      </c>
      <c r="L1154" s="19">
        <f>'[18]2. BM Database'!T527</f>
        <v>0.14117647058823529</v>
      </c>
    </row>
    <row r="1155" spans="1:12" s="15" customFormat="1" hidden="1">
      <c r="A1155" s="15" t="str">
        <f>'[18]2. BM Database'!B528</f>
        <v>NORFOLK POWER DISTRIBUTION INC.</v>
      </c>
      <c r="B1155" s="15">
        <v>3038</v>
      </c>
      <c r="C1155" s="43">
        <f>'[18]2. BM Database'!C528</f>
        <v>2010</v>
      </c>
      <c r="D1155" s="15">
        <v>3</v>
      </c>
      <c r="E1155" s="17">
        <f>'[18]2. BM Database'!F528/1000</f>
        <v>4649.6524900000004</v>
      </c>
      <c r="F1155" s="41">
        <v>1.1243125351578573</v>
      </c>
      <c r="G1155" s="44">
        <f>'[18]2. BM Database'!P528/1000</f>
        <v>87.941000000000003</v>
      </c>
      <c r="H1155" s="16">
        <v>92.162000000000006</v>
      </c>
      <c r="I1155" s="18">
        <f>'[18]2. BM Database'!L528</f>
        <v>18940</v>
      </c>
      <c r="J1155" s="18">
        <f>'[18]2. BM Database'!R528</f>
        <v>768</v>
      </c>
      <c r="K1155" s="15">
        <v>0</v>
      </c>
      <c r="L1155" s="19">
        <f>'[18]2. BM Database'!T528</f>
        <v>0.140625</v>
      </c>
    </row>
    <row r="1156" spans="1:12" s="15" customFormat="1" hidden="1">
      <c r="A1156" s="15" t="str">
        <f>'[18]2. BM Database'!B529</f>
        <v>NORFOLK POWER DISTRIBUTION INC.</v>
      </c>
      <c r="B1156" s="15">
        <v>3038</v>
      </c>
      <c r="C1156" s="43">
        <f>'[18]2. BM Database'!C529</f>
        <v>2011</v>
      </c>
      <c r="D1156" s="15">
        <v>3</v>
      </c>
      <c r="E1156" s="17">
        <f>'[18]2. BM Database'!F529/1000</f>
        <v>4646.7851900000005</v>
      </c>
      <c r="F1156" s="41">
        <v>1.1430978626415853</v>
      </c>
      <c r="G1156" s="44">
        <f>'[18]2. BM Database'!P529/1000</f>
        <v>80.766000000000005</v>
      </c>
      <c r="H1156" s="16">
        <v>92.162000000000006</v>
      </c>
      <c r="I1156" s="18">
        <f>'[18]2. BM Database'!L529</f>
        <v>19032</v>
      </c>
      <c r="J1156" s="18">
        <f>'[18]2. BM Database'!R529</f>
        <v>770</v>
      </c>
      <c r="K1156" s="15">
        <v>0</v>
      </c>
      <c r="L1156" s="19">
        <f>'[18]2. BM Database'!T529</f>
        <v>0.14805194805194805</v>
      </c>
    </row>
    <row r="1157" spans="1:12" s="15" customFormat="1" hidden="1">
      <c r="A1157" s="15" t="str">
        <f>'[18]2. BM Database'!B530</f>
        <v>NORFOLK POWER DISTRIBUTION INC.</v>
      </c>
      <c r="B1157" s="15">
        <v>3038</v>
      </c>
      <c r="C1157" s="43">
        <f>'[18]2. BM Database'!C530</f>
        <v>2012</v>
      </c>
      <c r="D1157" s="15">
        <v>3</v>
      </c>
      <c r="E1157" s="17">
        <f>'[18]2. BM Database'!F530/1000</f>
        <v>5957.9760117999995</v>
      </c>
      <c r="F1157" s="41">
        <v>1.160126854517312</v>
      </c>
      <c r="G1157" s="44">
        <f>'[18]2. BM Database'!P530/1000</f>
        <v>86.337999999999994</v>
      </c>
      <c r="H1157" s="16">
        <v>92.162000000000006</v>
      </c>
      <c r="I1157" s="18">
        <f>'[18]2. BM Database'!L530</f>
        <v>19075</v>
      </c>
      <c r="J1157" s="18">
        <f>'[18]2. BM Database'!R530</f>
        <v>779</v>
      </c>
      <c r="K1157" s="15">
        <v>0</v>
      </c>
      <c r="L1157" s="19">
        <f>'[18]2. BM Database'!T530</f>
        <v>0.14890885750962773</v>
      </c>
    </row>
    <row r="1158" spans="1:12" s="15" customFormat="1" hidden="1">
      <c r="A1158" s="15" t="s">
        <v>68</v>
      </c>
      <c r="B1158" s="15">
        <v>3038</v>
      </c>
      <c r="C1158" s="43">
        <v>2013</v>
      </c>
      <c r="D1158" s="15">
        <v>3</v>
      </c>
      <c r="E1158" s="17" t="e">
        <f>HLOOKUP(#REF!,'[19]2013 Benchmarking Calculations'!$I$3:$CC$76,6,FALSE)/1000</f>
        <v>#REF!</v>
      </c>
      <c r="F1158" s="41">
        <v>1.178602141578931</v>
      </c>
      <c r="G1158" s="44" t="e">
        <f>HLOOKUP(#REF!,'[19]2013 Benchmarking Calculations'!$I$3:$CC$76,57,FALSE)/1000</f>
        <v>#REF!</v>
      </c>
      <c r="H1158" s="16" t="e">
        <f>IF(#REF!&gt;#REF!,#REF!,#REF!)</f>
        <v>#REF!</v>
      </c>
      <c r="I1158" s="18" t="e">
        <f>HLOOKUP(#REF!,'[19]2013 Benchmarking Calculations'!$I$3:$CC$76,53,FALSE)</f>
        <v>#REF!</v>
      </c>
      <c r="J1158" s="18" t="e">
        <f>HLOOKUP(#REF!,'[19]2013 Benchmarking Calculations'!$I$3:$CC$76,71,FALSE)</f>
        <v>#REF!</v>
      </c>
      <c r="L1158" s="19" t="e">
        <f>HLOOKUP(#REF!,'[19]2013 PBR data '!B$42:BV$68,15,FALSE)/HLOOKUP(#REF!,'[19]2013 PBR data '!B$42:BV$68,13,FALSE)</f>
        <v>#REF!</v>
      </c>
    </row>
    <row r="1159" spans="1:12" s="15" customFormat="1" hidden="1">
      <c r="A1159" s="15" t="s">
        <v>68</v>
      </c>
      <c r="B1159" s="15">
        <v>3038</v>
      </c>
      <c r="C1159" s="43">
        <v>2014</v>
      </c>
      <c r="D1159" s="15">
        <v>3</v>
      </c>
      <c r="E1159" s="17" t="e">
        <f>VLOOKUP(#REF!,[20]Result!$B$12:$D$84,2,FALSE)/10^3</f>
        <v>#REF!</v>
      </c>
      <c r="F1159" s="41">
        <v>1.2030671041042156</v>
      </c>
      <c r="G1159" s="44" t="e">
        <f>VLOOKUP(#REF!,'[21]General transpose'!$A$1:$AF$73,26,FALSE)/10^3</f>
        <v>#REF!</v>
      </c>
      <c r="H1159" s="16" t="e">
        <f>IF(#REF!&gt;#REF!,#REF!,#REF!)</f>
        <v>#REF!</v>
      </c>
      <c r="I1159" s="18" t="e">
        <f>VLOOKUP(#REF!,'[21]General transpose'!$A$1:$AF$73,8,FALSE)</f>
        <v>#REF!</v>
      </c>
      <c r="J1159" s="18" t="e">
        <f>VLOOKUP(#REF!,'[21]General transpose'!$A$1:$AF$73,16,FALSE)</f>
        <v>#REF!</v>
      </c>
      <c r="L1159" s="19" t="e">
        <f>VLOOKUP(#REF!,'[21]General transpose'!$A$1:$AF$73,17,FALSE)</f>
        <v>#REF!</v>
      </c>
    </row>
    <row r="1160" spans="1:12" s="15" customFormat="1" hidden="1">
      <c r="A1160" s="15" t="s">
        <v>68</v>
      </c>
      <c r="B1160" s="15">
        <v>3038</v>
      </c>
      <c r="C1160" s="43">
        <v>2015</v>
      </c>
      <c r="D1160" s="15">
        <v>3</v>
      </c>
      <c r="E1160" s="17" t="e">
        <f>VLOOKUP(#REF!,[20]Result!$B$12:$D$84,3,FALSE)/10^3</f>
        <v>#REF!</v>
      </c>
      <c r="F1160" s="41">
        <v>1.2312762402864634</v>
      </c>
      <c r="G1160" s="44" t="e">
        <f>VLOOKUP(#REF!,'[22]General transpose'!$A$1:$AF$73,26,FALSE)/10^3</f>
        <v>#REF!</v>
      </c>
      <c r="H1160" s="16" t="e">
        <f>IF(#REF!&gt;#REF!,#REF!,#REF!)</f>
        <v>#REF!</v>
      </c>
      <c r="I1160" s="18" t="e">
        <f>VLOOKUP(#REF!,'[22]General transpose'!$A$1:$AF$73,8,FALSE)</f>
        <v>#REF!</v>
      </c>
      <c r="J1160" s="18" t="e">
        <f>VLOOKUP(#REF!,'[22]General transpose'!$A$1:$AF$73,16,FALSE)</f>
        <v>#REF!</v>
      </c>
      <c r="L1160" s="19" t="e">
        <f>VLOOKUP(#REF!,'[22]General transpose'!$A$1:$AF$73,17,FALSE)</f>
        <v>#REF!</v>
      </c>
    </row>
    <row r="1161" spans="1:12" s="15" customFormat="1" hidden="1">
      <c r="A1161" s="15" t="s">
        <v>68</v>
      </c>
      <c r="B1161" s="15">
        <v>3038</v>
      </c>
      <c r="C1161" s="43">
        <v>2016</v>
      </c>
      <c r="D1161" s="15">
        <v>3</v>
      </c>
      <c r="E1161" s="17"/>
      <c r="F1161" s="41"/>
      <c r="G1161" s="44"/>
      <c r="H1161" s="16"/>
      <c r="I1161" s="18"/>
      <c r="J1161" s="18"/>
      <c r="L1161" s="19"/>
    </row>
    <row r="1162" spans="1:12" s="15" customFormat="1" hidden="1">
      <c r="A1162" s="15" t="s">
        <v>68</v>
      </c>
      <c r="B1162" s="15">
        <v>3038</v>
      </c>
      <c r="C1162" s="43">
        <v>2017</v>
      </c>
      <c r="D1162" s="15">
        <v>3</v>
      </c>
      <c r="E1162" s="17"/>
      <c r="F1162" s="41"/>
      <c r="G1162" s="44"/>
      <c r="H1162" s="16"/>
      <c r="I1162" s="18"/>
      <c r="J1162" s="18"/>
      <c r="L1162" s="19"/>
    </row>
    <row r="1163" spans="1:12" s="15" customFormat="1" hidden="1">
      <c r="C1163" s="43"/>
      <c r="E1163" s="17"/>
      <c r="F1163" s="41"/>
      <c r="G1163" s="44"/>
      <c r="H1163" s="16"/>
      <c r="I1163" s="18"/>
      <c r="J1163" s="18"/>
      <c r="L1163" s="19"/>
    </row>
    <row r="1164" spans="1:12" s="15" customFormat="1" hidden="1">
      <c r="C1164" s="43"/>
      <c r="E1164" s="17"/>
      <c r="F1164" s="41"/>
      <c r="G1164" s="44"/>
      <c r="H1164" s="16"/>
      <c r="I1164" s="18"/>
      <c r="J1164" s="18"/>
      <c r="L1164" s="19"/>
    </row>
    <row r="1165" spans="1:12" s="15" customFormat="1" hidden="1">
      <c r="C1165" s="43"/>
      <c r="E1165" s="17"/>
      <c r="F1165" s="41"/>
      <c r="G1165" s="44"/>
      <c r="H1165" s="16"/>
      <c r="I1165" s="18"/>
      <c r="J1165" s="18"/>
      <c r="L1165" s="19"/>
    </row>
    <row r="1166" spans="1:12" s="15" customFormat="1" hidden="1">
      <c r="C1166" s="43"/>
      <c r="E1166" s="17"/>
      <c r="F1166" s="41"/>
      <c r="G1166" s="44"/>
      <c r="H1166" s="16"/>
      <c r="I1166" s="18"/>
      <c r="J1166" s="18"/>
      <c r="L1166" s="19"/>
    </row>
    <row r="1167" spans="1:12" s="15" customFormat="1" hidden="1">
      <c r="A1167" s="15" t="str">
        <f>'[18]2. BM Database'!B391</f>
        <v>INNISFIL HYDRO DISTRIBUTION SYSTEMS LIMITED</v>
      </c>
      <c r="B1167" s="15">
        <v>3043</v>
      </c>
      <c r="C1167" s="43">
        <f>'[18]2. BM Database'!C391</f>
        <v>2005</v>
      </c>
      <c r="D1167" s="15">
        <v>3</v>
      </c>
      <c r="E1167" s="17">
        <f>'[18]2. BM Database'!F391/1000</f>
        <v>2593.7866799999997</v>
      </c>
      <c r="F1167" s="41">
        <v>1</v>
      </c>
      <c r="G1167" s="44">
        <f>'[18]2. BM Database'!P391/1000</f>
        <v>62.728999999999999</v>
      </c>
      <c r="H1167" s="16">
        <v>62.728999999999999</v>
      </c>
      <c r="I1167" s="18">
        <f>'[18]2. BM Database'!L391</f>
        <v>13793</v>
      </c>
      <c r="J1167" s="18">
        <f>'[18]2. BM Database'!R391</f>
        <v>597</v>
      </c>
      <c r="K1167" s="15">
        <v>0</v>
      </c>
      <c r="L1167" s="19">
        <f>'[18]2. BM Database'!T391</f>
        <v>0.17420435510887772</v>
      </c>
    </row>
    <row r="1168" spans="1:12" s="15" customFormat="1" hidden="1">
      <c r="A1168" s="15" t="str">
        <f>'[18]2. BM Database'!B392</f>
        <v>INNISFIL HYDRO DISTRIBUTION SYSTEMS LIMITED</v>
      </c>
      <c r="B1168" s="15">
        <v>3043</v>
      </c>
      <c r="C1168" s="43">
        <f>'[18]2. BM Database'!C392</f>
        <v>2006</v>
      </c>
      <c r="D1168" s="15">
        <v>3</v>
      </c>
      <c r="E1168" s="17">
        <f>'[18]2. BM Database'!F392/1000</f>
        <v>2864.5698499999994</v>
      </c>
      <c r="F1168" s="41">
        <v>1.0181607380073696</v>
      </c>
      <c r="G1168" s="44">
        <f>'[18]2. BM Database'!P392/1000</f>
        <v>48.244999999999997</v>
      </c>
      <c r="H1168" s="16">
        <v>62.728999999999999</v>
      </c>
      <c r="I1168" s="18">
        <f>'[18]2. BM Database'!L392</f>
        <v>13832</v>
      </c>
      <c r="J1168" s="18">
        <f>'[18]2. BM Database'!R392</f>
        <v>631</v>
      </c>
      <c r="K1168" s="15">
        <v>0</v>
      </c>
      <c r="L1168" s="19">
        <f>'[18]2. BM Database'!T392</f>
        <v>0.17591125198098256</v>
      </c>
    </row>
    <row r="1169" spans="1:12" s="15" customFormat="1" hidden="1">
      <c r="A1169" s="15" t="str">
        <f>'[18]2. BM Database'!B393</f>
        <v>INNISFIL HYDRO DISTRIBUTION SYSTEMS LIMITED</v>
      </c>
      <c r="B1169" s="15">
        <v>3043</v>
      </c>
      <c r="C1169" s="43">
        <f>'[18]2. BM Database'!C393</f>
        <v>2007</v>
      </c>
      <c r="D1169" s="15">
        <v>3</v>
      </c>
      <c r="E1169" s="17">
        <f>'[18]2. BM Database'!F393/1000</f>
        <v>3178.2351720000001</v>
      </c>
      <c r="F1169" s="41">
        <v>1.0531931014872313</v>
      </c>
      <c r="G1169" s="44">
        <f>'[18]2. BM Database'!P393/1000</f>
        <v>48.561999999999998</v>
      </c>
      <c r="H1169" s="16">
        <v>62.728999999999999</v>
      </c>
      <c r="I1169" s="18">
        <f>'[18]2. BM Database'!L393</f>
        <v>14120</v>
      </c>
      <c r="J1169" s="18">
        <f>'[18]2. BM Database'!R393</f>
        <v>637</v>
      </c>
      <c r="K1169" s="15">
        <v>0</v>
      </c>
      <c r="L1169" s="19">
        <f>'[18]2. BM Database'!T393</f>
        <v>0.18210361067503925</v>
      </c>
    </row>
    <row r="1170" spans="1:12" s="15" customFormat="1" hidden="1">
      <c r="A1170" s="15" t="str">
        <f>'[18]2. BM Database'!B394</f>
        <v>INNISFIL HYDRO DISTRIBUTION SYSTEMS LIMITED</v>
      </c>
      <c r="B1170" s="15">
        <v>3043</v>
      </c>
      <c r="C1170" s="43">
        <f>'[18]2. BM Database'!C394</f>
        <v>2008</v>
      </c>
      <c r="D1170" s="15">
        <v>3</v>
      </c>
      <c r="E1170" s="17">
        <f>'[18]2. BM Database'!F394/1000</f>
        <v>3585.0779899999998</v>
      </c>
      <c r="F1170" s="41">
        <v>1.078564603993923</v>
      </c>
      <c r="G1170" s="44">
        <f>'[18]2. BM Database'!P394/1000</f>
        <v>49.1</v>
      </c>
      <c r="H1170" s="16">
        <v>62.728999999999999</v>
      </c>
      <c r="I1170" s="18">
        <f>'[18]2. BM Database'!L394</f>
        <v>14471</v>
      </c>
      <c r="J1170" s="18">
        <f>'[18]2. BM Database'!R394</f>
        <v>647</v>
      </c>
      <c r="K1170" s="15">
        <v>0</v>
      </c>
      <c r="L1170" s="19">
        <f>'[18]2. BM Database'!T394</f>
        <v>0.18856259659969088</v>
      </c>
    </row>
    <row r="1171" spans="1:12" s="15" customFormat="1" hidden="1">
      <c r="A1171" s="15" t="str">
        <f>'[18]2. BM Database'!B395</f>
        <v>INNISFIL HYDRO DISTRIBUTION SYSTEMS LIMITED</v>
      </c>
      <c r="B1171" s="15">
        <v>3043</v>
      </c>
      <c r="C1171" s="43">
        <f>'[18]2. BM Database'!C395</f>
        <v>2009</v>
      </c>
      <c r="D1171" s="15">
        <v>3</v>
      </c>
      <c r="E1171" s="17">
        <f>'[18]2. BM Database'!F395/1000</f>
        <v>3677.9810599999996</v>
      </c>
      <c r="F1171" s="41">
        <v>1.0915070880241431</v>
      </c>
      <c r="G1171" s="44">
        <f>'[18]2. BM Database'!P395/1000</f>
        <v>49.692</v>
      </c>
      <c r="H1171" s="16">
        <v>62.728999999999999</v>
      </c>
      <c r="I1171" s="18">
        <f>'[18]2. BM Database'!L395</f>
        <v>14563</v>
      </c>
      <c r="J1171" s="18">
        <f>'[18]2. BM Database'!R395</f>
        <v>741</v>
      </c>
      <c r="K1171" s="15">
        <v>0</v>
      </c>
      <c r="L1171" s="19">
        <f>'[18]2. BM Database'!T395</f>
        <v>0.18353576248313092</v>
      </c>
    </row>
    <row r="1172" spans="1:12" s="15" customFormat="1" hidden="1">
      <c r="A1172" s="15" t="str">
        <f>'[18]2. BM Database'!B396</f>
        <v>INNISFIL HYDRO DISTRIBUTION SYSTEMS LIMITED</v>
      </c>
      <c r="B1172" s="15">
        <v>3043</v>
      </c>
      <c r="C1172" s="43">
        <f>'[18]2. BM Database'!C396</f>
        <v>2010</v>
      </c>
      <c r="D1172" s="15">
        <v>3</v>
      </c>
      <c r="E1172" s="17">
        <f>'[18]2. BM Database'!F396/1000</f>
        <v>3824.8855900000003</v>
      </c>
      <c r="F1172" s="41">
        <v>1.1243125351578573</v>
      </c>
      <c r="G1172" s="44">
        <f>'[18]2. BM Database'!P396/1000</f>
        <v>51.326999999999998</v>
      </c>
      <c r="H1172" s="16">
        <v>62.728999999999999</v>
      </c>
      <c r="I1172" s="18">
        <f>'[18]2. BM Database'!L396</f>
        <v>14707</v>
      </c>
      <c r="J1172" s="18">
        <f>'[18]2. BM Database'!R396</f>
        <v>753</v>
      </c>
      <c r="K1172" s="15">
        <v>0</v>
      </c>
      <c r="L1172" s="19">
        <f>'[18]2. BM Database'!T396</f>
        <v>0.18592297476759628</v>
      </c>
    </row>
    <row r="1173" spans="1:12" s="15" customFormat="1" hidden="1">
      <c r="A1173" s="15" t="str">
        <f>'[18]2. BM Database'!B397</f>
        <v>INNISFIL HYDRO DISTRIBUTION SYSTEMS LIMITED</v>
      </c>
      <c r="B1173" s="15">
        <v>3043</v>
      </c>
      <c r="C1173" s="43">
        <f>'[18]2. BM Database'!C397</f>
        <v>2011</v>
      </c>
      <c r="D1173" s="15">
        <v>3</v>
      </c>
      <c r="E1173" s="17">
        <f>'[18]2. BM Database'!F397/1000</f>
        <v>4174.0171700000001</v>
      </c>
      <c r="F1173" s="41">
        <v>1.1430978626415853</v>
      </c>
      <c r="G1173" s="44">
        <f>'[18]2. BM Database'!P397/1000</f>
        <v>49.22</v>
      </c>
      <c r="H1173" s="16">
        <v>62.728999999999999</v>
      </c>
      <c r="I1173" s="18">
        <f>'[18]2. BM Database'!L397</f>
        <v>14826</v>
      </c>
      <c r="J1173" s="18">
        <f>'[18]2. BM Database'!R397</f>
        <v>748</v>
      </c>
      <c r="K1173" s="15">
        <v>0</v>
      </c>
      <c r="L1173" s="19">
        <f>'[18]2. BM Database'!T397</f>
        <v>0.18850267379679145</v>
      </c>
    </row>
    <row r="1174" spans="1:12" s="15" customFormat="1" hidden="1">
      <c r="A1174" s="15" t="str">
        <f>'[18]2. BM Database'!B398</f>
        <v>INNISFIL HYDRO DISTRIBUTION SYSTEMS LIMITED</v>
      </c>
      <c r="B1174" s="15">
        <v>3043</v>
      </c>
      <c r="C1174" s="43">
        <f>'[18]2. BM Database'!C398</f>
        <v>2012</v>
      </c>
      <c r="D1174" s="15">
        <v>3</v>
      </c>
      <c r="E1174" s="17">
        <f>'[18]2. BM Database'!F398/1000</f>
        <v>4715.3175844999996</v>
      </c>
      <c r="F1174" s="41">
        <v>1.160126854517312</v>
      </c>
      <c r="G1174" s="44">
        <f>'[18]2. BM Database'!P398/1000</f>
        <v>46.737000000000002</v>
      </c>
      <c r="H1174" s="16">
        <v>62.728999999999999</v>
      </c>
      <c r="I1174" s="18">
        <f>'[18]2. BM Database'!L398</f>
        <v>15062</v>
      </c>
      <c r="J1174" s="18">
        <f>'[18]2. BM Database'!R398</f>
        <v>783</v>
      </c>
      <c r="K1174" s="15">
        <v>0</v>
      </c>
      <c r="L1174" s="19">
        <f>'[18]2. BM Database'!T398</f>
        <v>0.20817369093231161</v>
      </c>
    </row>
    <row r="1175" spans="1:12" s="15" customFormat="1" hidden="1">
      <c r="A1175" s="15" t="s">
        <v>56</v>
      </c>
      <c r="B1175" s="15">
        <v>3043</v>
      </c>
      <c r="C1175" s="43">
        <v>2013</v>
      </c>
      <c r="D1175" s="15">
        <v>3</v>
      </c>
      <c r="E1175" s="17">
        <f>HLOOKUP(A536,'[19]2013 Benchmarking Calculations'!$I$3:$CC$76,6,FALSE)/1000</f>
        <v>4983.1837300000007</v>
      </c>
      <c r="F1175" s="41">
        <v>1.178602141578931</v>
      </c>
      <c r="G1175" s="44">
        <f>HLOOKUP(A536,'[19]2013 Benchmarking Calculations'!$I$3:$CC$76,57,FALSE)/1000</f>
        <v>58.024999999999999</v>
      </c>
      <c r="H1175" s="16">
        <f>IF(G536&gt;H535,G536,H535)</f>
        <v>62.728999999999999</v>
      </c>
      <c r="I1175" s="18">
        <f>HLOOKUP(A536,'[19]2013 Benchmarking Calculations'!$I$3:$CC$76,53,FALSE)</f>
        <v>15341</v>
      </c>
      <c r="J1175" s="18">
        <f>HLOOKUP(A536,'[19]2013 Benchmarking Calculations'!$I$3:$CC$76,71,FALSE)</f>
        <v>793</v>
      </c>
      <c r="L1175" s="19">
        <f>HLOOKUP(A536,'[19]2013 PBR data '!B$42:BV$68,15,FALSE)/HLOOKUP(A536,'[19]2013 PBR data '!B$42:BV$68,13,FALSE)</f>
        <v>0.20554854981084489</v>
      </c>
    </row>
    <row r="1176" spans="1:12" s="15" customFormat="1" hidden="1">
      <c r="A1176" s="15" t="s">
        <v>56</v>
      </c>
      <c r="B1176" s="15">
        <v>3043</v>
      </c>
      <c r="C1176" s="43">
        <v>2014</v>
      </c>
      <c r="D1176" s="15">
        <v>3</v>
      </c>
      <c r="E1176" s="17">
        <f>VLOOKUP(A537,[20]Result!$B$12:$D$84,2,FALSE)/10^3</f>
        <v>5190.6639999999998</v>
      </c>
      <c r="F1176" s="41">
        <v>1.2030671041042156</v>
      </c>
      <c r="G1176" s="44" t="e">
        <f>VLOOKUP(A537,'[21]General transpose'!$A$1:$AF$73,26,FALSE)/10^3</f>
        <v>#N/A</v>
      </c>
      <c r="H1176" s="16">
        <f>IF(H536&gt;G537,H536,G537)</f>
        <v>62.728999999999999</v>
      </c>
      <c r="I1176" s="18" t="e">
        <f>VLOOKUP(A537,'[21]General transpose'!$A$1:$AF$73,8,FALSE)</f>
        <v>#N/A</v>
      </c>
      <c r="J1176" s="18" t="e">
        <f>VLOOKUP(A537,'[21]General transpose'!$A$1:$AF$73,16,FALSE)</f>
        <v>#N/A</v>
      </c>
      <c r="L1176" s="19" t="e">
        <f>VLOOKUP(A537,'[21]General transpose'!$A$1:$AF$73,17,FALSE)</f>
        <v>#N/A</v>
      </c>
    </row>
    <row r="1177" spans="1:12" s="15" customFormat="1" hidden="1">
      <c r="A1177" s="15" t="s">
        <v>56</v>
      </c>
      <c r="B1177" s="15">
        <v>3043</v>
      </c>
      <c r="C1177" s="43">
        <v>2015</v>
      </c>
      <c r="D1177" s="15">
        <v>3</v>
      </c>
      <c r="E1177" s="17">
        <f>VLOOKUP(A537,[20]Result!$B$12:$D$84,3,FALSE)/10^3</f>
        <v>5396.3190000000004</v>
      </c>
      <c r="F1177" s="41">
        <v>1.2312762402864634</v>
      </c>
      <c r="G1177" s="44" t="e">
        <f>VLOOKUP(A537,'[22]General transpose'!$A$1:$AF$73,26,FALSE)/10^3</f>
        <v>#N/A</v>
      </c>
      <c r="H1177" s="16">
        <f>IF(H537&gt;G538,H537,G538)</f>
        <v>62.728999999999999</v>
      </c>
      <c r="I1177" s="18" t="e">
        <f>VLOOKUP(A537,'[22]General transpose'!$A$1:$AF$73,8,FALSE)</f>
        <v>#N/A</v>
      </c>
      <c r="J1177" s="18" t="e">
        <f>VLOOKUP(A537,'[22]General transpose'!$A$1:$AF$73,16,FALSE)</f>
        <v>#N/A</v>
      </c>
      <c r="L1177" s="19" t="e">
        <f>VLOOKUP(A537,'[22]General transpose'!$A$1:$AF$73,17,FALSE)</f>
        <v>#N/A</v>
      </c>
    </row>
    <row r="1178" spans="1:12" s="15" customFormat="1" hidden="1">
      <c r="A1178" s="15" t="s">
        <v>56</v>
      </c>
      <c r="B1178" s="15">
        <v>3043</v>
      </c>
      <c r="C1178" s="43">
        <v>2016</v>
      </c>
      <c r="D1178" s="15">
        <v>3</v>
      </c>
      <c r="E1178" s="17" t="e">
        <f>HLOOKUP(A1178,[23]IS!$A$1:$BR$32,19,FALSE)/10^3</f>
        <v>#N/A</v>
      </c>
      <c r="F1178" s="41">
        <v>1.2455044937824149</v>
      </c>
      <c r="G1178" s="44" t="e">
        <f>HLOOKUP(A1178,[23]General!$A$1:$BQ$23,22,FALSE)/10^3</f>
        <v>#N/A</v>
      </c>
      <c r="H1178" s="16" t="e">
        <f>IF(H1177&gt;G1178,H1177,G1178)</f>
        <v>#N/A</v>
      </c>
      <c r="I1178" s="18" t="e">
        <f>HLOOKUP(A1178,[23]General!$A$1:$BQ$23,9,FALSE)</f>
        <v>#N/A</v>
      </c>
      <c r="J1178" s="18" t="e">
        <f>HLOOKUP(A1178,[23]General!$A$1:$BQ$23,17,FALSE)</f>
        <v>#N/A</v>
      </c>
      <c r="L1178" s="19" t="e">
        <f>HLOOKUP(A1178,[23]General!$A$1:$BQ$23,18,FALSE)</f>
        <v>#N/A</v>
      </c>
    </row>
    <row r="1179" spans="1:12" s="15" customFormat="1" hidden="1">
      <c r="A1179" s="15" t="s">
        <v>56</v>
      </c>
      <c r="B1179" s="15">
        <v>3043</v>
      </c>
      <c r="C1179" s="43">
        <v>2017</v>
      </c>
      <c r="D1179" s="15">
        <v>3</v>
      </c>
      <c r="E1179" s="17"/>
      <c r="F1179" s="41">
        <v>1.2674505553724562</v>
      </c>
      <c r="G1179" s="44"/>
      <c r="H1179" s="16"/>
      <c r="I1179" s="18"/>
      <c r="J1179" s="18"/>
      <c r="L1179" s="19"/>
    </row>
    <row r="1180" spans="1:12" s="15" customFormat="1" hidden="1">
      <c r="C1180" s="43"/>
      <c r="E1180" s="17"/>
      <c r="F1180" s="41"/>
      <c r="G1180" s="44"/>
      <c r="H1180" s="16"/>
      <c r="I1180" s="18"/>
      <c r="J1180" s="18"/>
      <c r="L1180" s="19"/>
    </row>
    <row r="1181" spans="1:12" s="15" customFormat="1" hidden="1">
      <c r="C1181" s="43"/>
      <c r="E1181" s="17"/>
      <c r="F1181" s="41"/>
      <c r="G1181" s="44"/>
      <c r="H1181" s="16"/>
      <c r="I1181" s="18"/>
      <c r="J1181" s="18"/>
      <c r="L1181" s="19"/>
    </row>
    <row r="1182" spans="1:12" s="15" customFormat="1" hidden="1">
      <c r="C1182" s="43"/>
      <c r="E1182" s="17"/>
      <c r="F1182" s="41"/>
      <c r="G1182" s="44"/>
      <c r="H1182" s="16"/>
      <c r="I1182" s="18"/>
      <c r="J1182" s="18"/>
      <c r="L1182" s="19"/>
    </row>
    <row r="1183" spans="1:12" s="15" customFormat="1" hidden="1">
      <c r="C1183" s="43"/>
      <c r="E1183" s="17"/>
      <c r="F1183" s="41"/>
      <c r="G1183" s="44"/>
      <c r="H1183" s="16"/>
      <c r="I1183" s="18"/>
      <c r="J1183" s="18"/>
      <c r="L1183" s="19"/>
    </row>
    <row r="1184" spans="1:12" s="15" customFormat="1" hidden="1">
      <c r="A1184" s="15" t="s">
        <v>56</v>
      </c>
      <c r="B1184" s="15">
        <v>3043</v>
      </c>
      <c r="C1184" s="43">
        <v>2013</v>
      </c>
      <c r="D1184" s="15">
        <v>3</v>
      </c>
      <c r="E1184" s="17">
        <f>HLOOKUP(A536,'[19]2013 Benchmarking Calculations'!$I$3:$CC$76,6,FALSE)/1000</f>
        <v>4983.1837300000007</v>
      </c>
      <c r="F1184" s="41">
        <v>1.178602141578931</v>
      </c>
      <c r="G1184" s="44">
        <f>HLOOKUP(A536,'[19]2013 Benchmarking Calculations'!$I$3:$CC$76,57,FALSE)/1000</f>
        <v>58.024999999999999</v>
      </c>
      <c r="H1184" s="16">
        <f>IF(G536&gt;H535,G536,H535)</f>
        <v>62.728999999999999</v>
      </c>
      <c r="I1184" s="18">
        <f>HLOOKUP(A536,'[19]2013 Benchmarking Calculations'!$I$3:$CC$76,53,FALSE)</f>
        <v>15341</v>
      </c>
      <c r="J1184" s="18">
        <f>HLOOKUP(A536,'[19]2013 Benchmarking Calculations'!$I$3:$CC$76,71,FALSE)</f>
        <v>793</v>
      </c>
      <c r="L1184" s="19">
        <f>HLOOKUP(A536,'[19]2013 PBR data '!B$42:BV$68,15,FALSE)/HLOOKUP(A536,'[19]2013 PBR data '!B$42:BV$68,13,FALSE)</f>
        <v>0.20554854981084489</v>
      </c>
    </row>
    <row r="1185" spans="1:12" s="15" customFormat="1" hidden="1">
      <c r="A1185" s="47" t="s">
        <v>99</v>
      </c>
      <c r="B1185" s="15">
        <v>3043</v>
      </c>
      <c r="C1185" s="43">
        <v>2014</v>
      </c>
      <c r="D1185" s="15">
        <v>3</v>
      </c>
      <c r="E1185" s="17">
        <f>VLOOKUP(A537,[20]Result!$B$12:$D$84,2,FALSE)/10^3</f>
        <v>5190.6639999999998</v>
      </c>
      <c r="F1185" s="41">
        <v>1.2030671041042156</v>
      </c>
      <c r="G1185" s="44">
        <f>VLOOKUP(A1185,'[21]General transpose'!$A$1:$AF$73,26,FALSE)/10^3</f>
        <v>51.363</v>
      </c>
      <c r="H1185" s="16">
        <f>IF(H1184&gt;G1185,H1184,G1185)</f>
        <v>62.728999999999999</v>
      </c>
      <c r="I1185" s="18">
        <f>VLOOKUP(A1185,'[21]General transpose'!$A$1:$AF$73,8,FALSE)</f>
        <v>15790</v>
      </c>
      <c r="J1185" s="18">
        <f>VLOOKUP(A1185,'[21]General transpose'!$A$1:$AF$73,16,FALSE)</f>
        <v>818</v>
      </c>
      <c r="L1185" s="19">
        <f>VLOOKUP(A1185,'[21]General transpose'!$A$1:$AF$73,17,FALSE)</f>
        <v>0.20537897310513448</v>
      </c>
    </row>
    <row r="1186" spans="1:12" s="15" customFormat="1" hidden="1">
      <c r="A1186" s="47" t="s">
        <v>99</v>
      </c>
      <c r="B1186" s="15">
        <v>3043</v>
      </c>
      <c r="C1186" s="43">
        <v>2015</v>
      </c>
      <c r="D1186" s="15">
        <v>3</v>
      </c>
      <c r="E1186" s="17">
        <f>VLOOKUP(A537,[20]Result!$B$12:$D$84,3,FALSE)/10^3</f>
        <v>5396.3190000000004</v>
      </c>
      <c r="F1186" s="41">
        <v>1.2312762402864634</v>
      </c>
      <c r="G1186" s="44">
        <f>VLOOKUP(A1186,'[22]General transpose'!$A$1:$AF$73,26,FALSE)/10^3</f>
        <v>50.975000000000001</v>
      </c>
      <c r="H1186" s="16">
        <f>IF(H1185&gt;G1186,H1185,G1186)</f>
        <v>62.728999999999999</v>
      </c>
      <c r="I1186" s="18">
        <f>VLOOKUP(A1186,'[22]General transpose'!$A$1:$AF$73,8,FALSE)</f>
        <v>16157</v>
      </c>
      <c r="J1186" s="18">
        <f>VLOOKUP(A1186,'[22]General transpose'!$A$1:$AF$73,16,FALSE)</f>
        <v>833</v>
      </c>
      <c r="L1186" s="19">
        <f>VLOOKUP(A1186,'[22]General transpose'!$A$1:$AF$73,17,FALSE)</f>
        <v>0.20768307322929172</v>
      </c>
    </row>
    <row r="1187" spans="1:12" s="15" customFormat="1" hidden="1">
      <c r="A1187" s="47" t="s">
        <v>99</v>
      </c>
      <c r="B1187" s="15">
        <v>3043</v>
      </c>
      <c r="C1187" s="43">
        <v>2016</v>
      </c>
      <c r="D1187" s="15">
        <v>3</v>
      </c>
      <c r="E1187" s="17">
        <f>HLOOKUP(A1187,[23]IS!$A$1:$BR$32,19,FALSE)/10^3</f>
        <v>5823.5883700000013</v>
      </c>
      <c r="F1187" s="41">
        <v>1.2455044937824149</v>
      </c>
      <c r="G1187" s="44">
        <f>HLOOKUP(A1187,[23]General!$A$1:$BQ$23,22,FALSE)/10^3</f>
        <v>52.171999999999997</v>
      </c>
      <c r="H1187" s="16">
        <f>IF(H1186&gt;G1187,H1186,G1187)</f>
        <v>62.728999999999999</v>
      </c>
      <c r="I1187" s="18">
        <f>HLOOKUP(A1187,[23]General!$A$1:$BQ$23,9,FALSE)</f>
        <v>16443</v>
      </c>
      <c r="J1187" s="18">
        <f>HLOOKUP(A1187,[23]General!$A$1:$BQ$23,17,FALSE)</f>
        <v>843</v>
      </c>
      <c r="L1187" s="19">
        <f>HLOOKUP(A1187,[23]General!$A$1:$BQ$23,18,FALSE)</f>
        <v>0.21708185053380782</v>
      </c>
    </row>
    <row r="1188" spans="1:12" s="15" customFormat="1" hidden="1">
      <c r="A1188" s="47" t="s">
        <v>99</v>
      </c>
      <c r="B1188" s="15">
        <v>3043</v>
      </c>
      <c r="C1188" s="43">
        <v>2017</v>
      </c>
      <c r="D1188" s="15">
        <v>3</v>
      </c>
      <c r="E1188" s="17"/>
      <c r="F1188" s="41">
        <v>1.2674505553724562</v>
      </c>
      <c r="G1188" s="44"/>
      <c r="H1188" s="16"/>
      <c r="I1188" s="18"/>
      <c r="J1188" s="18"/>
      <c r="L1188" s="19"/>
    </row>
    <row r="1189" spans="1:12" s="15" customFormat="1" hidden="1">
      <c r="C1189" s="43"/>
      <c r="E1189" s="17"/>
      <c r="F1189" s="41"/>
      <c r="G1189" s="44"/>
      <c r="H1189" s="16"/>
      <c r="I1189" s="18"/>
      <c r="J1189" s="18"/>
      <c r="L1189" s="19"/>
    </row>
    <row r="1190" spans="1:12" s="15" customFormat="1" hidden="1">
      <c r="C1190" s="43"/>
      <c r="E1190" s="17"/>
      <c r="F1190" s="41"/>
      <c r="G1190" s="44"/>
      <c r="H1190" s="16"/>
      <c r="I1190" s="18"/>
      <c r="J1190" s="18"/>
      <c r="L1190" s="19"/>
    </row>
    <row r="1191" spans="1:12" s="15" customFormat="1" hidden="1">
      <c r="A1191" s="15" t="s">
        <v>31</v>
      </c>
      <c r="B1191" s="15">
        <v>3016</v>
      </c>
      <c r="C1191" s="43">
        <v>2005</v>
      </c>
      <c r="D1191" s="15">
        <v>3</v>
      </c>
      <c r="E1191" s="17">
        <v>7085.857</v>
      </c>
      <c r="F1191" s="41">
        <v>1</v>
      </c>
      <c r="G1191" s="44">
        <v>312.44799999999998</v>
      </c>
      <c r="H1191" s="16">
        <v>312.44799999999998</v>
      </c>
      <c r="I1191" s="18">
        <v>47346</v>
      </c>
      <c r="J1191" s="18">
        <v>1089</v>
      </c>
      <c r="K1191" s="15">
        <v>0</v>
      </c>
      <c r="L1191" s="19">
        <v>0.33241505968778695</v>
      </c>
    </row>
    <row r="1192" spans="1:12" s="15" customFormat="1" hidden="1">
      <c r="A1192" s="15" t="s">
        <v>31</v>
      </c>
      <c r="B1192" s="15">
        <v>3016</v>
      </c>
      <c r="C1192" s="43">
        <v>2006</v>
      </c>
      <c r="D1192" s="15">
        <v>3</v>
      </c>
      <c r="E1192" s="17">
        <v>7284.4380000000001</v>
      </c>
      <c r="F1192" s="41">
        <v>1.0181607380073696</v>
      </c>
      <c r="G1192" s="44">
        <v>308.91199999999998</v>
      </c>
      <c r="H1192" s="16">
        <v>312.44799999999998</v>
      </c>
      <c r="I1192" s="18">
        <v>48619</v>
      </c>
      <c r="J1192" s="18">
        <v>1097</v>
      </c>
      <c r="K1192" s="15">
        <v>0</v>
      </c>
      <c r="L1192" s="19">
        <v>0.33637192342752964</v>
      </c>
    </row>
    <row r="1193" spans="1:12" s="15" customFormat="1" hidden="1">
      <c r="A1193" s="15" t="s">
        <v>31</v>
      </c>
      <c r="B1193" s="15">
        <v>3016</v>
      </c>
      <c r="C1193" s="43">
        <v>2007</v>
      </c>
      <c r="D1193" s="15">
        <v>3</v>
      </c>
      <c r="E1193" s="17">
        <v>8070.9319999999998</v>
      </c>
      <c r="F1193" s="41">
        <v>1.0531931014872313</v>
      </c>
      <c r="G1193" s="44">
        <v>308.39299999999997</v>
      </c>
      <c r="H1193" s="16">
        <v>312.44799999999998</v>
      </c>
      <c r="I1193" s="18">
        <v>48944</v>
      </c>
      <c r="J1193" s="18">
        <v>1101</v>
      </c>
      <c r="K1193" s="15">
        <v>0</v>
      </c>
      <c r="L1193" s="19">
        <v>0.33878292461398729</v>
      </c>
    </row>
    <row r="1194" spans="1:12" s="15" customFormat="1" hidden="1">
      <c r="A1194" s="15" t="s">
        <v>31</v>
      </c>
      <c r="B1194" s="15">
        <v>3016</v>
      </c>
      <c r="C1194" s="43">
        <v>2008</v>
      </c>
      <c r="D1194" s="15">
        <v>3</v>
      </c>
      <c r="E1194" s="17">
        <v>8566.6828100000002</v>
      </c>
      <c r="F1194" s="41">
        <v>1.078564603993923</v>
      </c>
      <c r="G1194" s="44">
        <v>291.29199999999997</v>
      </c>
      <c r="H1194" s="16">
        <v>312.44799999999998</v>
      </c>
      <c r="I1194" s="18">
        <v>49297</v>
      </c>
      <c r="J1194" s="18">
        <v>1112</v>
      </c>
      <c r="K1194" s="15">
        <v>0</v>
      </c>
      <c r="L1194" s="19">
        <v>0.34352517985611508</v>
      </c>
    </row>
    <row r="1195" spans="1:12" s="15" customFormat="1" hidden="1">
      <c r="A1195" s="15" t="s">
        <v>31</v>
      </c>
      <c r="B1195" s="15">
        <v>3016</v>
      </c>
      <c r="C1195" s="43">
        <v>2009</v>
      </c>
      <c r="D1195" s="15">
        <v>3</v>
      </c>
      <c r="E1195" s="17">
        <v>9538.0431499999995</v>
      </c>
      <c r="F1195" s="41">
        <v>1.0915070880241431</v>
      </c>
      <c r="G1195" s="44">
        <v>286.911</v>
      </c>
      <c r="H1195" s="16">
        <v>312.44799999999998</v>
      </c>
      <c r="I1195" s="18">
        <v>50136</v>
      </c>
      <c r="J1195" s="18">
        <v>1105</v>
      </c>
      <c r="K1195" s="15">
        <v>0</v>
      </c>
      <c r="L1195" s="19">
        <v>0.35927601809954751</v>
      </c>
    </row>
    <row r="1196" spans="1:12" s="15" customFormat="1" hidden="1">
      <c r="A1196" s="15" t="s">
        <v>31</v>
      </c>
      <c r="B1196" s="15">
        <v>3016</v>
      </c>
      <c r="C1196" s="43">
        <v>2010</v>
      </c>
      <c r="D1196" s="15">
        <v>3</v>
      </c>
      <c r="E1196" s="17">
        <v>9278.4211899999991</v>
      </c>
      <c r="F1196" s="41">
        <v>1.1243125351578573</v>
      </c>
      <c r="G1196" s="44">
        <v>302.53699999999998</v>
      </c>
      <c r="H1196" s="16">
        <v>312.44799999999998</v>
      </c>
      <c r="I1196" s="18">
        <v>50890</v>
      </c>
      <c r="J1196" s="18">
        <v>1111</v>
      </c>
      <c r="K1196" s="15">
        <v>0</v>
      </c>
      <c r="L1196" s="19">
        <v>0.36273627362736272</v>
      </c>
    </row>
    <row r="1197" spans="1:12" s="15" customFormat="1" hidden="1">
      <c r="A1197" s="15" t="s">
        <v>31</v>
      </c>
      <c r="B1197" s="15">
        <v>3016</v>
      </c>
      <c r="C1197" s="43">
        <v>2011</v>
      </c>
      <c r="D1197" s="15">
        <v>3</v>
      </c>
      <c r="E1197" s="17">
        <v>10516.31143</v>
      </c>
      <c r="F1197" s="41">
        <v>1.1430978626415853</v>
      </c>
      <c r="G1197" s="44">
        <v>309.69</v>
      </c>
      <c r="H1197" s="16">
        <v>312.44799999999998</v>
      </c>
      <c r="I1197" s="18">
        <v>51586</v>
      </c>
      <c r="J1197" s="18">
        <v>1119</v>
      </c>
      <c r="K1197" s="15">
        <v>0</v>
      </c>
      <c r="L1197" s="19">
        <v>0.36282394995531725</v>
      </c>
    </row>
    <row r="1198" spans="1:12" s="15" customFormat="1" hidden="1">
      <c r="A1198" s="15" t="s">
        <v>31</v>
      </c>
      <c r="B1198" s="15">
        <v>3016</v>
      </c>
      <c r="C1198" s="43">
        <v>2012</v>
      </c>
      <c r="D1198" s="15">
        <v>3</v>
      </c>
      <c r="E1198" s="17">
        <v>13013.0475408</v>
      </c>
      <c r="F1198" s="41">
        <v>1.160126854517312</v>
      </c>
      <c r="G1198" s="44">
        <v>294.03699999999998</v>
      </c>
      <c r="H1198" s="16">
        <v>312.44799999999998</v>
      </c>
      <c r="I1198" s="18">
        <v>51985</v>
      </c>
      <c r="J1198" s="18">
        <v>1124</v>
      </c>
      <c r="K1198" s="15">
        <v>0</v>
      </c>
      <c r="L1198" s="19">
        <v>0.36743772241992884</v>
      </c>
    </row>
    <row r="1199" spans="1:12" s="15" customFormat="1" hidden="1">
      <c r="A1199" s="15" t="s">
        <v>31</v>
      </c>
      <c r="B1199" s="15">
        <v>3016</v>
      </c>
      <c r="C1199" s="43">
        <v>2013</v>
      </c>
      <c r="D1199" s="15">
        <v>3</v>
      </c>
      <c r="E1199" s="17">
        <v>14096.6335</v>
      </c>
      <c r="F1199" s="41">
        <v>1.178602141578931</v>
      </c>
      <c r="G1199" s="44">
        <v>292.23500000000001</v>
      </c>
      <c r="H1199" s="16">
        <v>312.44799999999998</v>
      </c>
      <c r="I1199" s="18">
        <v>52214</v>
      </c>
      <c r="J1199" s="18">
        <v>1135</v>
      </c>
      <c r="L1199" s="19">
        <v>0.36475770925110135</v>
      </c>
    </row>
    <row r="1200" spans="1:12" s="15" customFormat="1" hidden="1">
      <c r="A1200" s="15" t="s">
        <v>31</v>
      </c>
      <c r="B1200" s="15">
        <v>3016</v>
      </c>
      <c r="C1200" s="43">
        <v>2014</v>
      </c>
      <c r="D1200" s="15">
        <v>3</v>
      </c>
      <c r="E1200" s="17">
        <v>14116.772000000001</v>
      </c>
      <c r="F1200" s="41">
        <v>1.2030671041042156</v>
      </c>
      <c r="G1200" s="44">
        <v>280.68700000000001</v>
      </c>
      <c r="H1200" s="16">
        <v>312.44799999999998</v>
      </c>
      <c r="I1200" s="18">
        <v>52684</v>
      </c>
      <c r="J1200" s="18">
        <v>1143</v>
      </c>
      <c r="L1200" s="19">
        <v>0.36832895888014</v>
      </c>
    </row>
    <row r="1201" spans="1:12" s="15" customFormat="1" hidden="1">
      <c r="A1201" s="15" t="s">
        <v>31</v>
      </c>
      <c r="B1201" s="15">
        <v>3016</v>
      </c>
      <c r="C1201" s="43">
        <v>2015</v>
      </c>
      <c r="D1201" s="15">
        <v>3</v>
      </c>
      <c r="E1201" s="17">
        <v>14084.888000000001</v>
      </c>
      <c r="F1201" s="41">
        <v>1.2312762402864634</v>
      </c>
      <c r="G1201" s="44">
        <v>281.52600000000001</v>
      </c>
      <c r="H1201" s="16">
        <v>312.44799999999998</v>
      </c>
      <c r="I1201" s="18">
        <v>53106</v>
      </c>
      <c r="J1201" s="18">
        <v>1162</v>
      </c>
      <c r="L1201" s="19">
        <v>0.37865748709122204</v>
      </c>
    </row>
    <row r="1202" spans="1:12" s="15" customFormat="1" hidden="1">
      <c r="A1202" s="15" t="s">
        <v>31</v>
      </c>
      <c r="B1202" s="15">
        <v>3016</v>
      </c>
      <c r="C1202" s="43">
        <v>2016</v>
      </c>
      <c r="D1202" s="15">
        <v>3</v>
      </c>
      <c r="E1202" s="17" t="e">
        <v>#N/A</v>
      </c>
      <c r="F1202" s="41">
        <v>1.2455044937824149</v>
      </c>
      <c r="G1202" s="44" t="e">
        <v>#N/A</v>
      </c>
      <c r="H1202" s="16" t="e">
        <v>#N/A</v>
      </c>
      <c r="I1202" s="18" t="e">
        <v>#N/A</v>
      </c>
      <c r="J1202" s="18" t="e">
        <v>#N/A</v>
      </c>
      <c r="L1202" s="19" t="e">
        <v>#N/A</v>
      </c>
    </row>
    <row r="1203" spans="1:12" s="15" customFormat="1" hidden="1">
      <c r="A1203" s="15" t="s">
        <v>31</v>
      </c>
      <c r="B1203" s="15">
        <v>3016</v>
      </c>
      <c r="C1203" s="43">
        <v>2017</v>
      </c>
      <c r="D1203" s="15">
        <v>3</v>
      </c>
      <c r="E1203" s="17"/>
      <c r="F1203" s="41">
        <v>1.2674505553724562</v>
      </c>
      <c r="G1203" s="44"/>
      <c r="H1203" s="16"/>
      <c r="I1203" s="18"/>
      <c r="J1203" s="18"/>
      <c r="L1203" s="19"/>
    </row>
    <row r="1204" spans="1:12" s="15" customFormat="1" hidden="1">
      <c r="E1204" s="17"/>
      <c r="F1204" s="41"/>
      <c r="G1204" s="44"/>
      <c r="H1204" s="16"/>
      <c r="L1204" s="19"/>
    </row>
    <row r="1205" spans="1:12" hidden="1">
      <c r="A1205" s="15" t="s">
        <v>28</v>
      </c>
      <c r="B1205" s="15">
        <v>3051</v>
      </c>
      <c r="C1205" s="43">
        <v>2005</v>
      </c>
      <c r="D1205" s="15">
        <v>3</v>
      </c>
      <c r="E1205" s="17">
        <v>2977.8517199999997</v>
      </c>
      <c r="F1205" s="41">
        <v>1</v>
      </c>
      <c r="G1205" s="44">
        <v>46.125</v>
      </c>
      <c r="H1205" s="16">
        <v>46.125</v>
      </c>
      <c r="I1205" s="18">
        <v>9149</v>
      </c>
      <c r="J1205" s="18">
        <v>432</v>
      </c>
      <c r="K1205" s="15">
        <v>0</v>
      </c>
      <c r="L1205" s="19">
        <v>6.25E-2</v>
      </c>
    </row>
    <row r="1206" spans="1:12" hidden="1">
      <c r="A1206" s="15" t="s">
        <v>28</v>
      </c>
      <c r="B1206" s="15">
        <v>3051</v>
      </c>
      <c r="C1206" s="43">
        <v>2006</v>
      </c>
      <c r="D1206" s="15">
        <v>3</v>
      </c>
      <c r="E1206" s="17">
        <v>3267.3333499999994</v>
      </c>
      <c r="F1206" s="41">
        <v>1.0181607380073696</v>
      </c>
      <c r="G1206" s="44">
        <v>46.817</v>
      </c>
      <c r="H1206" s="16">
        <v>46.817</v>
      </c>
      <c r="I1206" s="18">
        <v>9284</v>
      </c>
      <c r="J1206" s="18">
        <v>321</v>
      </c>
      <c r="K1206" s="15">
        <v>0</v>
      </c>
      <c r="L1206" s="19">
        <v>0.11838006230529595</v>
      </c>
    </row>
    <row r="1207" spans="1:12" hidden="1">
      <c r="A1207" s="15" t="s">
        <v>28</v>
      </c>
      <c r="B1207" s="15">
        <v>3051</v>
      </c>
      <c r="C1207" s="43">
        <v>2007</v>
      </c>
      <c r="D1207" s="15">
        <v>3</v>
      </c>
      <c r="E1207" s="17">
        <v>1466.8774800000001</v>
      </c>
      <c r="F1207" s="41">
        <v>1.0531931014872313</v>
      </c>
      <c r="G1207" s="44">
        <v>46.817</v>
      </c>
      <c r="H1207" s="16">
        <v>46.817</v>
      </c>
      <c r="I1207" s="18">
        <v>9339</v>
      </c>
      <c r="J1207" s="18">
        <v>290</v>
      </c>
      <c r="K1207" s="15">
        <v>0</v>
      </c>
      <c r="L1207" s="19">
        <v>0.1310344827586207</v>
      </c>
    </row>
    <row r="1208" spans="1:12" hidden="1">
      <c r="A1208" s="15" t="s">
        <v>28</v>
      </c>
      <c r="B1208" s="15">
        <v>3051</v>
      </c>
      <c r="C1208" s="43">
        <v>2008</v>
      </c>
      <c r="D1208" s="15">
        <v>3</v>
      </c>
      <c r="E1208" s="17">
        <v>3364.5215700000003</v>
      </c>
      <c r="F1208" s="41">
        <v>1.078564603993923</v>
      </c>
      <c r="G1208" s="44">
        <v>46.817</v>
      </c>
      <c r="H1208" s="16">
        <v>46.817</v>
      </c>
      <c r="I1208" s="18">
        <v>9456</v>
      </c>
      <c r="J1208" s="18">
        <v>320</v>
      </c>
      <c r="K1208" s="15">
        <v>0</v>
      </c>
      <c r="L1208" s="19">
        <v>0.11874999999999999</v>
      </c>
    </row>
    <row r="1209" spans="1:12" hidden="1">
      <c r="A1209" s="15" t="s">
        <v>28</v>
      </c>
      <c r="B1209" s="15">
        <v>3051</v>
      </c>
      <c r="C1209" s="43">
        <v>2009</v>
      </c>
      <c r="D1209" s="15">
        <v>3</v>
      </c>
      <c r="E1209" s="17">
        <v>4410.2186200000006</v>
      </c>
      <c r="F1209" s="41">
        <v>1.0915070880241431</v>
      </c>
      <c r="G1209" s="44">
        <v>46.817</v>
      </c>
      <c r="H1209" s="16">
        <v>46.817</v>
      </c>
      <c r="I1209" s="18">
        <v>9563</v>
      </c>
      <c r="J1209" s="18">
        <v>320</v>
      </c>
      <c r="K1209" s="15">
        <v>0</v>
      </c>
      <c r="L1209" s="19">
        <v>0.11874999999999999</v>
      </c>
    </row>
    <row r="1210" spans="1:12" hidden="1">
      <c r="A1210" s="15" t="s">
        <v>28</v>
      </c>
      <c r="B1210" s="15">
        <v>3051</v>
      </c>
      <c r="C1210" s="43">
        <v>2010</v>
      </c>
      <c r="D1210" s="15">
        <v>3</v>
      </c>
      <c r="E1210" s="17">
        <v>4195.1144800000002</v>
      </c>
      <c r="F1210" s="41">
        <v>1.1243125351578573</v>
      </c>
      <c r="G1210" s="44">
        <v>46.817</v>
      </c>
      <c r="H1210" s="16">
        <v>46.817</v>
      </c>
      <c r="I1210" s="18">
        <v>9667</v>
      </c>
      <c r="J1210" s="18">
        <v>320</v>
      </c>
      <c r="K1210" s="15">
        <v>0</v>
      </c>
      <c r="L1210" s="19">
        <v>0.11874999999999999</v>
      </c>
    </row>
    <row r="1211" spans="1:12" hidden="1">
      <c r="A1211" s="15" t="s">
        <v>28</v>
      </c>
      <c r="B1211" s="15">
        <v>3051</v>
      </c>
      <c r="C1211" s="43">
        <v>2011</v>
      </c>
      <c r="D1211" s="15">
        <v>3</v>
      </c>
      <c r="E1211" s="17">
        <v>4777.0363799999996</v>
      </c>
      <c r="F1211" s="41">
        <v>1.1430978626415853</v>
      </c>
      <c r="G1211" s="44">
        <v>57.677</v>
      </c>
      <c r="H1211" s="16">
        <v>57.677</v>
      </c>
      <c r="I1211" s="18">
        <v>9741</v>
      </c>
      <c r="J1211" s="18">
        <v>332</v>
      </c>
      <c r="K1211" s="15">
        <v>0</v>
      </c>
      <c r="L1211" s="19">
        <v>0.12650602409638553</v>
      </c>
    </row>
    <row r="1212" spans="1:12" hidden="1">
      <c r="A1212" s="15" t="s">
        <v>28</v>
      </c>
      <c r="B1212" s="15">
        <v>3051</v>
      </c>
      <c r="C1212" s="43">
        <v>2012</v>
      </c>
      <c r="D1212" s="15">
        <v>3</v>
      </c>
      <c r="E1212" s="17">
        <v>4034.5698598999998</v>
      </c>
      <c r="F1212" s="41">
        <v>1.160126854517312</v>
      </c>
      <c r="G1212" s="44">
        <v>57.677</v>
      </c>
      <c r="H1212" s="16">
        <v>57.677</v>
      </c>
      <c r="I1212" s="18">
        <v>9783</v>
      </c>
      <c r="J1212" s="18">
        <v>493</v>
      </c>
      <c r="K1212" s="15">
        <v>0</v>
      </c>
      <c r="L1212" s="19">
        <v>0.15415821501014199</v>
      </c>
    </row>
    <row r="1213" spans="1:12" hidden="1">
      <c r="A1213" s="15" t="s">
        <v>28</v>
      </c>
      <c r="B1213" s="15">
        <v>3051</v>
      </c>
      <c r="C1213" s="43">
        <v>2013</v>
      </c>
      <c r="D1213" s="15">
        <v>3</v>
      </c>
      <c r="E1213" s="17">
        <v>3899.1130499999995</v>
      </c>
      <c r="F1213" s="41">
        <v>1.178602141578931</v>
      </c>
      <c r="G1213" s="44">
        <v>60.448</v>
      </c>
      <c r="H1213" s="16">
        <v>60.448</v>
      </c>
      <c r="I1213" s="18">
        <v>9858</v>
      </c>
      <c r="J1213" s="18">
        <v>517</v>
      </c>
      <c r="K1213" s="15"/>
      <c r="L1213" s="19">
        <v>7.5435203094777567E-2</v>
      </c>
    </row>
    <row r="1214" spans="1:12" hidden="1">
      <c r="A1214" s="15" t="s">
        <v>28</v>
      </c>
      <c r="B1214" s="15">
        <v>3051</v>
      </c>
      <c r="C1214" s="43">
        <v>2014</v>
      </c>
      <c r="D1214" s="15">
        <v>3</v>
      </c>
      <c r="E1214" s="17">
        <v>3605.386</v>
      </c>
      <c r="F1214" s="41">
        <v>1.2030671041042156</v>
      </c>
      <c r="G1214" s="44">
        <v>56.197000000000003</v>
      </c>
      <c r="H1214" s="16">
        <v>60.448</v>
      </c>
      <c r="I1214" s="18">
        <v>9971</v>
      </c>
      <c r="J1214" s="18">
        <v>554</v>
      </c>
      <c r="K1214" s="15"/>
      <c r="L1214" s="19">
        <v>0.15342960288808663</v>
      </c>
    </row>
    <row r="1215" spans="1:12" hidden="1">
      <c r="A1215" s="15" t="s">
        <v>28</v>
      </c>
      <c r="B1215" s="15">
        <v>3051</v>
      </c>
      <c r="C1215" s="43">
        <v>2015</v>
      </c>
      <c r="D1215" s="15">
        <v>3</v>
      </c>
      <c r="E1215" s="17">
        <v>3053.6129999999998</v>
      </c>
      <c r="F1215" s="41">
        <v>1.2312762402864634</v>
      </c>
      <c r="G1215" s="44">
        <v>57.253</v>
      </c>
      <c r="H1215" s="16">
        <v>60.448</v>
      </c>
      <c r="I1215" s="18">
        <v>10058</v>
      </c>
      <c r="J1215" s="18">
        <v>556</v>
      </c>
      <c r="K1215" s="15"/>
      <c r="L1215" s="19">
        <v>0.15287769784172661</v>
      </c>
    </row>
    <row r="1216" spans="1:12" hidden="1">
      <c r="A1216" s="15" t="s">
        <v>28</v>
      </c>
      <c r="B1216" s="15">
        <v>3051</v>
      </c>
      <c r="C1216" s="43">
        <v>2016</v>
      </c>
      <c r="D1216" s="15">
        <v>3</v>
      </c>
      <c r="E1216" s="17" t="e">
        <v>#N/A</v>
      </c>
      <c r="F1216" s="41">
        <v>1.2455044937824149</v>
      </c>
      <c r="G1216" s="44" t="e">
        <v>#N/A</v>
      </c>
      <c r="H1216" s="16" t="e">
        <v>#N/A</v>
      </c>
      <c r="I1216" s="18" t="e">
        <v>#N/A</v>
      </c>
      <c r="J1216" s="18" t="e">
        <v>#N/A</v>
      </c>
      <c r="K1216" s="15"/>
      <c r="L1216" s="19" t="e">
        <v>#N/A</v>
      </c>
    </row>
    <row r="1217" spans="1:12" hidden="1">
      <c r="A1217" s="15" t="s">
        <v>28</v>
      </c>
      <c r="B1217" s="15">
        <v>3051</v>
      </c>
      <c r="C1217" s="43">
        <v>2017</v>
      </c>
      <c r="D1217" s="15">
        <v>3</v>
      </c>
      <c r="E1217" s="17"/>
      <c r="F1217" s="41">
        <v>1.2674505553724562</v>
      </c>
      <c r="G1217" s="44"/>
      <c r="H1217" s="16"/>
      <c r="I1217" s="18"/>
      <c r="J1217" s="18"/>
      <c r="K1217" s="15"/>
      <c r="L1217" s="19"/>
    </row>
    <row r="1218" spans="1:12" hidden="1">
      <c r="A1218" s="15"/>
      <c r="B1218" s="15"/>
      <c r="C1218" s="15"/>
      <c r="D1218" s="15"/>
      <c r="E1218" s="17"/>
      <c r="F1218" s="41"/>
      <c r="G1218" s="44"/>
      <c r="H1218" s="16"/>
      <c r="I1218" s="15"/>
      <c r="J1218" s="15"/>
      <c r="K1218" s="15"/>
      <c r="L1218" s="19"/>
    </row>
    <row r="1219" spans="1:12">
      <c r="A1219" s="15"/>
      <c r="B1219" s="15"/>
      <c r="C1219" s="15"/>
      <c r="D1219" s="15"/>
      <c r="E1219" s="17"/>
      <c r="F1219" s="41"/>
      <c r="G1219" s="44"/>
      <c r="H1219" s="16"/>
      <c r="I1219" s="15"/>
      <c r="J1219" s="15"/>
      <c r="K1219" s="15"/>
      <c r="L1219" s="19"/>
    </row>
    <row r="1220" spans="1:12">
      <c r="A1220" s="15"/>
      <c r="B1220" s="15"/>
      <c r="C1220" s="15"/>
      <c r="D1220" s="15"/>
      <c r="E1220" s="17"/>
      <c r="F1220" s="41"/>
      <c r="G1220" s="44"/>
      <c r="H1220" s="16"/>
      <c r="I1220" s="15"/>
      <c r="J1220" s="15"/>
      <c r="K1220" s="15"/>
      <c r="L1220" s="19"/>
    </row>
    <row r="1221" spans="1:12">
      <c r="A1221" s="15"/>
      <c r="B1221" s="15"/>
      <c r="C1221" s="15"/>
      <c r="D1221" s="15"/>
      <c r="E1221" s="17"/>
      <c r="F1221" s="41"/>
      <c r="G1221" s="44"/>
      <c r="H1221" s="16"/>
      <c r="I1221" s="15"/>
      <c r="J1221" s="15"/>
      <c r="K1221" s="15"/>
      <c r="L1221" s="19"/>
    </row>
    <row r="1222" spans="1:12">
      <c r="A1222" s="15"/>
      <c r="B1222" s="15"/>
      <c r="C1222" s="15"/>
      <c r="D1222" s="15"/>
      <c r="E1222" s="17"/>
      <c r="F1222" s="41"/>
      <c r="G1222" s="44"/>
      <c r="H1222" s="16"/>
      <c r="I1222" s="15"/>
      <c r="J1222" s="15"/>
      <c r="K1222" s="15"/>
      <c r="L1222" s="19"/>
    </row>
    <row r="1223" spans="1:12">
      <c r="A1223" s="15"/>
      <c r="B1223" s="15"/>
      <c r="C1223" s="15"/>
      <c r="D1223" s="15"/>
      <c r="E1223" s="17"/>
      <c r="F1223" s="41"/>
      <c r="G1223" s="44"/>
      <c r="H1223" s="16"/>
      <c r="I1223" s="15"/>
      <c r="J1223" s="15"/>
      <c r="K1223" s="15"/>
      <c r="L1223" s="19"/>
    </row>
    <row r="1224" spans="1:12">
      <c r="A1224" s="15"/>
      <c r="B1224" s="15"/>
      <c r="C1224" s="15"/>
      <c r="D1224" s="15"/>
      <c r="E1224" s="17"/>
      <c r="F1224" s="41"/>
      <c r="G1224" s="44"/>
      <c r="H1224" s="16"/>
      <c r="I1224" s="15"/>
      <c r="J1224" s="15"/>
      <c r="K1224" s="15"/>
      <c r="L1224" s="19"/>
    </row>
    <row r="1225" spans="1:12">
      <c r="A1225" s="15"/>
      <c r="B1225" s="15"/>
      <c r="C1225" s="15"/>
      <c r="D1225" s="15"/>
      <c r="E1225" s="17"/>
      <c r="F1225" s="41"/>
      <c r="G1225" s="44"/>
      <c r="H1225" s="16"/>
      <c r="I1225" s="15"/>
      <c r="J1225" s="15"/>
      <c r="K1225" s="15"/>
      <c r="L1225" s="19"/>
    </row>
    <row r="1226" spans="1:12">
      <c r="A1226" s="15"/>
      <c r="B1226" s="15"/>
      <c r="C1226" s="15"/>
      <c r="D1226" s="15"/>
      <c r="E1226" s="17"/>
      <c r="F1226" s="41"/>
      <c r="G1226" s="44"/>
      <c r="H1226" s="16"/>
      <c r="I1226" s="15"/>
      <c r="J1226" s="15"/>
      <c r="K1226" s="15"/>
      <c r="L1226" s="19"/>
    </row>
    <row r="1227" spans="1:12">
      <c r="A1227" s="15"/>
      <c r="B1227" s="15"/>
      <c r="C1227" s="15"/>
      <c r="D1227" s="15"/>
      <c r="E1227" s="17"/>
      <c r="F1227" s="41"/>
      <c r="G1227" s="44"/>
      <c r="H1227" s="16"/>
      <c r="I1227" s="15"/>
      <c r="J1227" s="15"/>
      <c r="K1227" s="15"/>
      <c r="L1227" s="19"/>
    </row>
    <row r="1228" spans="1:12">
      <c r="A1228" s="15"/>
      <c r="B1228" s="15"/>
      <c r="C1228" s="15"/>
      <c r="D1228" s="15"/>
      <c r="E1228" s="17"/>
      <c r="F1228" s="41"/>
      <c r="G1228" s="44"/>
      <c r="H1228" s="16"/>
      <c r="I1228" s="15"/>
      <c r="J1228" s="15"/>
      <c r="K1228" s="15"/>
      <c r="L1228" s="19"/>
    </row>
    <row r="1229" spans="1:12">
      <c r="A1229" s="15"/>
      <c r="B1229" s="15"/>
      <c r="C1229" s="15"/>
      <c r="D1229" s="15"/>
      <c r="E1229" s="17"/>
      <c r="F1229" s="41"/>
      <c r="G1229" s="44"/>
      <c r="H1229" s="16"/>
      <c r="I1229" s="15"/>
      <c r="J1229" s="15"/>
      <c r="K1229" s="15"/>
      <c r="L1229" s="19"/>
    </row>
    <row r="1230" spans="1:12">
      <c r="A1230" s="15"/>
      <c r="B1230" s="15"/>
      <c r="C1230" s="15"/>
      <c r="D1230" s="15"/>
      <c r="E1230" s="17"/>
      <c r="F1230" s="41"/>
      <c r="G1230" s="44"/>
      <c r="H1230" s="16"/>
      <c r="I1230" s="15"/>
      <c r="J1230" s="15"/>
      <c r="K1230" s="15"/>
      <c r="L1230" s="19"/>
    </row>
    <row r="1231" spans="1:12">
      <c r="A1231" s="15"/>
      <c r="B1231" s="15"/>
      <c r="C1231" s="15"/>
      <c r="D1231" s="15"/>
      <c r="E1231" s="17"/>
      <c r="F1231" s="41"/>
      <c r="G1231" s="44"/>
      <c r="H1231" s="16"/>
      <c r="I1231" s="15"/>
      <c r="J1231" s="15"/>
      <c r="K1231" s="15"/>
      <c r="L1231" s="19"/>
    </row>
    <row r="1232" spans="1:12">
      <c r="A1232" s="15"/>
      <c r="B1232" s="15"/>
      <c r="C1232" s="15"/>
      <c r="D1232" s="15"/>
      <c r="E1232" s="17"/>
      <c r="F1232" s="41"/>
      <c r="G1232" s="44"/>
      <c r="H1232" s="16"/>
      <c r="I1232" s="15"/>
      <c r="J1232" s="15"/>
      <c r="K1232" s="15"/>
      <c r="L1232" s="19"/>
    </row>
    <row r="1233" spans="1:12">
      <c r="A1233" s="15"/>
      <c r="B1233" s="15"/>
      <c r="C1233" s="15"/>
      <c r="D1233" s="15"/>
      <c r="E1233" s="17"/>
      <c r="F1233" s="41"/>
      <c r="G1233" s="44"/>
      <c r="H1233" s="16"/>
      <c r="I1233" s="15"/>
      <c r="J1233" s="15"/>
      <c r="K1233" s="15"/>
      <c r="L1233" s="19"/>
    </row>
    <row r="1234" spans="1:12">
      <c r="A1234" s="15"/>
      <c r="B1234" s="15"/>
      <c r="C1234" s="15"/>
      <c r="D1234" s="15"/>
      <c r="E1234" s="17"/>
      <c r="F1234" s="41"/>
      <c r="G1234" s="44"/>
      <c r="H1234" s="16"/>
      <c r="I1234" s="15"/>
      <c r="J1234" s="15"/>
      <c r="K1234" s="15"/>
      <c r="L1234" s="19"/>
    </row>
    <row r="1235" spans="1:12">
      <c r="A1235" s="15"/>
      <c r="B1235" s="15"/>
      <c r="C1235" s="15"/>
      <c r="D1235" s="15"/>
      <c r="E1235" s="17"/>
      <c r="F1235" s="41"/>
      <c r="G1235" s="44"/>
      <c r="H1235" s="16"/>
      <c r="I1235" s="15"/>
      <c r="J1235" s="15"/>
      <c r="K1235" s="15"/>
      <c r="L1235" s="19"/>
    </row>
    <row r="1236" spans="1:12">
      <c r="A1236" s="15"/>
      <c r="B1236" s="15"/>
      <c r="C1236" s="15"/>
      <c r="D1236" s="15"/>
      <c r="E1236" s="17"/>
      <c r="F1236" s="41"/>
      <c r="G1236" s="44"/>
      <c r="H1236" s="16"/>
      <c r="I1236" s="15"/>
      <c r="J1236" s="15"/>
      <c r="K1236" s="15"/>
      <c r="L1236" s="19"/>
    </row>
    <row r="1237" spans="1:12">
      <c r="A1237" s="15"/>
      <c r="B1237" s="15"/>
      <c r="C1237" s="15"/>
      <c r="D1237" s="15"/>
      <c r="E1237" s="17"/>
      <c r="F1237" s="41"/>
      <c r="G1237" s="44"/>
      <c r="H1237" s="16"/>
      <c r="I1237" s="15"/>
      <c r="J1237" s="15"/>
      <c r="K1237" s="15"/>
      <c r="L1237" s="19"/>
    </row>
    <row r="1238" spans="1:12">
      <c r="A1238" s="15"/>
      <c r="B1238" s="15"/>
      <c r="C1238" s="15"/>
      <c r="D1238" s="15"/>
      <c r="E1238" s="17"/>
      <c r="F1238" s="41"/>
      <c r="G1238" s="44"/>
      <c r="H1238" s="16"/>
      <c r="I1238" s="15"/>
      <c r="J1238" s="15"/>
      <c r="K1238" s="15"/>
      <c r="L1238" s="19"/>
    </row>
    <row r="1239" spans="1:12">
      <c r="A1239" s="15"/>
      <c r="B1239" s="15"/>
      <c r="C1239" s="15"/>
      <c r="D1239" s="15"/>
      <c r="E1239" s="17"/>
      <c r="F1239" s="41"/>
      <c r="G1239" s="44"/>
      <c r="H1239" s="16"/>
      <c r="I1239" s="15"/>
      <c r="J1239" s="15"/>
      <c r="K1239" s="15"/>
      <c r="L1239" s="19"/>
    </row>
    <row r="1240" spans="1:12">
      <c r="A1240" s="15"/>
      <c r="B1240" s="15"/>
      <c r="C1240" s="15"/>
      <c r="D1240" s="15"/>
      <c r="E1240" s="17"/>
      <c r="F1240" s="41"/>
      <c r="G1240" s="44"/>
      <c r="H1240" s="16"/>
      <c r="I1240" s="15"/>
      <c r="J1240" s="15"/>
      <c r="K1240" s="15"/>
      <c r="L1240" s="19"/>
    </row>
    <row r="1241" spans="1:12">
      <c r="A1241" s="15"/>
      <c r="B1241" s="15"/>
      <c r="C1241" s="15"/>
      <c r="D1241" s="15"/>
      <c r="E1241" s="17"/>
      <c r="F1241" s="41"/>
      <c r="G1241" s="44"/>
      <c r="H1241" s="16"/>
      <c r="I1241" s="15"/>
      <c r="J1241" s="15"/>
      <c r="K1241" s="15"/>
      <c r="L1241" s="19"/>
    </row>
    <row r="1242" spans="1:12">
      <c r="A1242" s="15"/>
      <c r="B1242" s="15"/>
      <c r="C1242" s="15"/>
      <c r="D1242" s="15"/>
      <c r="E1242" s="17"/>
      <c r="F1242" s="41"/>
      <c r="G1242" s="44"/>
      <c r="H1242" s="16"/>
      <c r="I1242" s="15"/>
      <c r="J1242" s="15"/>
      <c r="K1242" s="15"/>
      <c r="L1242" s="19"/>
    </row>
    <row r="1243" spans="1:12">
      <c r="A1243" s="15"/>
      <c r="B1243" s="15"/>
      <c r="C1243" s="15"/>
      <c r="D1243" s="15"/>
      <c r="E1243" s="17"/>
      <c r="F1243" s="41"/>
      <c r="G1243" s="44"/>
      <c r="H1243" s="16"/>
      <c r="I1243" s="15"/>
      <c r="J1243" s="15"/>
      <c r="K1243" s="15"/>
      <c r="L1243" s="19"/>
    </row>
    <row r="1244" spans="1:12">
      <c r="A1244" s="15"/>
      <c r="B1244" s="15"/>
      <c r="C1244" s="15"/>
      <c r="D1244" s="15"/>
      <c r="E1244" s="17"/>
      <c r="F1244" s="41"/>
      <c r="G1244" s="44"/>
      <c r="H1244" s="16"/>
      <c r="I1244" s="15"/>
      <c r="J1244" s="15"/>
      <c r="K1244" s="15"/>
      <c r="L1244" s="19"/>
    </row>
  </sheetData>
  <autoFilter ref="A2:AC1125" xr:uid="{00000000-0009-0000-0000-000001000000}"/>
  <pageMargins left="0.70866141732283472" right="0.70866141732283472" top="0.74803149606299213" bottom="0.74803149606299213" header="0.31496062992125984" footer="0.31496062992125984"/>
  <pageSetup paperSize="9" scale="1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490DA-2B3B-46EA-91FF-DE9CA15E80FA}">
  <sheetPr>
    <tabColor rgb="FF7030A0"/>
  </sheetPr>
  <dimension ref="A1:L531"/>
  <sheetViews>
    <sheetView zoomScale="90" zoomScaleNormal="90" workbookViewId="0">
      <pane xSplit="2" ySplit="1" topLeftCell="C501" activePane="bottomRight" state="frozen"/>
      <selection pane="topRight" activeCell="C1" sqref="C1"/>
      <selection pane="bottomLeft" activeCell="A2" sqref="A2"/>
      <selection pane="bottomRight" activeCell="D13" sqref="D13"/>
    </sheetView>
  </sheetViews>
  <sheetFormatPr baseColWidth="10" defaultColWidth="8.83203125" defaultRowHeight="15"/>
  <cols>
    <col min="1" max="1" width="12.83203125" customWidth="1"/>
    <col min="2" max="2" width="12.83203125" style="2" customWidth="1"/>
    <col min="3" max="3" width="12.83203125" customWidth="1"/>
    <col min="4" max="4" width="12.83203125" style="3" customWidth="1"/>
    <col min="5" max="5" width="12.83203125" style="5" customWidth="1"/>
    <col min="6" max="10" width="12.83203125" style="3" customWidth="1"/>
    <col min="11" max="11" width="12.83203125" style="12" customWidth="1"/>
    <col min="12" max="12" width="46.1640625" style="20" customWidth="1"/>
    <col min="13" max="16384" width="8.83203125" style="6"/>
  </cols>
  <sheetData>
    <row r="1" spans="1:12" s="8" customFormat="1" ht="16">
      <c r="A1" s="132" t="s">
        <v>16</v>
      </c>
      <c r="B1" s="132" t="s">
        <v>17</v>
      </c>
      <c r="C1" s="132" t="s">
        <v>18</v>
      </c>
      <c r="D1" s="159" t="s">
        <v>2</v>
      </c>
      <c r="E1" s="159" t="s">
        <v>19</v>
      </c>
      <c r="F1" s="159" t="s">
        <v>20</v>
      </c>
      <c r="G1" s="159" t="s">
        <v>21</v>
      </c>
      <c r="H1" s="159" t="s">
        <v>22</v>
      </c>
      <c r="I1" s="159" t="s">
        <v>23</v>
      </c>
      <c r="J1" s="159" t="s">
        <v>324</v>
      </c>
      <c r="K1" s="159" t="s">
        <v>24</v>
      </c>
      <c r="L1" s="132" t="s">
        <v>15</v>
      </c>
    </row>
    <row r="2" spans="1:12">
      <c r="A2">
        <v>3001</v>
      </c>
      <c r="B2">
        <v>2005</v>
      </c>
      <c r="C2">
        <v>3</v>
      </c>
      <c r="D2" s="3">
        <f>DNSPOntSourceData!E393+DNSPOntSourceData!E498+DNSPOntSourceData!E708+DNSPOntSourceData!E1113</f>
        <v>341131.28391</v>
      </c>
      <c r="E2" s="5">
        <f t="shared" ref="E2:E16" si="0">E17</f>
        <v>1</v>
      </c>
      <c r="F2" s="3">
        <f>DNSPOntSourceData!G393+DNSPOntSourceData!G498+DNSPOntSourceData!G708+DNSPOntSourceData!G1113</f>
        <v>4648.5190000000002</v>
      </c>
      <c r="G2" s="3">
        <f>F2</f>
        <v>4648.5190000000002</v>
      </c>
      <c r="H2" s="3">
        <f>DNSPOntSourceData!I393+DNSPOntSourceData!I498+DNSPOntSourceData!I708+DNSPOntSourceData!I1113</f>
        <v>1205755</v>
      </c>
      <c r="I2" s="3">
        <f>DNSPOntSourceData!J393+DNSPOntSourceData!J498+DNSPOntSourceData!J708+DNSPOntSourceData!J1113</f>
        <v>122340</v>
      </c>
      <c r="J2" s="3">
        <f>DNSPOntSourceData!K393+DNSPOntSourceData!K498+DNSPOntSourceData!K708+DNSPOntSourceData!K1113</f>
        <v>4482</v>
      </c>
      <c r="K2" s="12">
        <f>J2/I2</f>
        <v>3.6635605689063266E-2</v>
      </c>
      <c r="L2" s="20" t="s">
        <v>54</v>
      </c>
    </row>
    <row r="3" spans="1:12">
      <c r="A3">
        <v>3001</v>
      </c>
      <c r="B3" s="2">
        <v>2006</v>
      </c>
      <c r="C3">
        <v>3</v>
      </c>
      <c r="D3" s="3">
        <f>DNSPOntSourceData!E394+DNSPOntSourceData!E499+DNSPOntSourceData!E709+DNSPOntSourceData!E1114</f>
        <v>384421.42158000002</v>
      </c>
      <c r="E3" s="5">
        <f t="shared" si="0"/>
        <v>1.0181607380073696</v>
      </c>
      <c r="F3" s="3">
        <f>DNSPOntSourceData!G394+DNSPOntSourceData!G499+DNSPOntSourceData!G709+DNSPOntSourceData!G1114</f>
        <v>4405.6729999999998</v>
      </c>
      <c r="G3" s="3">
        <f t="shared" ref="G3:G13" si="1">MAX(F3,G2)</f>
        <v>4648.5190000000002</v>
      </c>
      <c r="H3" s="3">
        <f>DNSPOntSourceData!I394+DNSPOntSourceData!I499+DNSPOntSourceData!I709+DNSPOntSourceData!I1114</f>
        <v>1218164</v>
      </c>
      <c r="I3" s="3">
        <f>DNSPOntSourceData!J394+DNSPOntSourceData!J499+DNSPOntSourceData!J709+DNSPOntSourceData!J1114</f>
        <v>122485</v>
      </c>
      <c r="J3" s="3">
        <f>DNSPOntSourceData!K394+DNSPOntSourceData!K499+DNSPOntSourceData!K709+DNSPOntSourceData!K1114</f>
        <v>4493</v>
      </c>
      <c r="K3" s="12">
        <f t="shared" ref="K3:K13" si="2">J3/I3</f>
        <v>3.6682042699106014E-2</v>
      </c>
      <c r="L3" s="20" t="s">
        <v>54</v>
      </c>
    </row>
    <row r="4" spans="1:12">
      <c r="A4">
        <v>3001</v>
      </c>
      <c r="B4">
        <v>2007</v>
      </c>
      <c r="C4">
        <v>3</v>
      </c>
      <c r="D4" s="3">
        <f>DNSPOntSourceData!E395+DNSPOntSourceData!E500+DNSPOntSourceData!E710+DNSPOntSourceData!E1115</f>
        <v>469113.87728999997</v>
      </c>
      <c r="E4" s="5">
        <f t="shared" si="0"/>
        <v>1.0531931014872313</v>
      </c>
      <c r="F4" s="3">
        <f>DNSPOntSourceData!G395+DNSPOntSourceData!G500+DNSPOntSourceData!G710+DNSPOntSourceData!G1115</f>
        <v>4387.4759999999997</v>
      </c>
      <c r="G4" s="3">
        <f t="shared" si="1"/>
        <v>4648.5190000000002</v>
      </c>
      <c r="H4" s="3">
        <f>DNSPOntSourceData!I395+DNSPOntSourceData!I500+DNSPOntSourceData!I710+DNSPOntSourceData!I1115</f>
        <v>1227140</v>
      </c>
      <c r="I4" s="3">
        <f>DNSPOntSourceData!J395+DNSPOntSourceData!J500+DNSPOntSourceData!J710+DNSPOntSourceData!J1115</f>
        <v>122860</v>
      </c>
      <c r="J4" s="3">
        <f>DNSPOntSourceData!K395+DNSPOntSourceData!K500+DNSPOntSourceData!K710+DNSPOntSourceData!K1115</f>
        <v>4520</v>
      </c>
      <c r="K4" s="12">
        <f t="shared" si="2"/>
        <v>3.6789842096695426E-2</v>
      </c>
      <c r="L4" s="20" t="s">
        <v>54</v>
      </c>
    </row>
    <row r="5" spans="1:12">
      <c r="A5">
        <v>3001</v>
      </c>
      <c r="B5" s="2">
        <v>2008</v>
      </c>
      <c r="C5">
        <v>3</v>
      </c>
      <c r="D5" s="3">
        <f>DNSPOntSourceData!E396+DNSPOntSourceData!E501+DNSPOntSourceData!E711+DNSPOntSourceData!E1116</f>
        <v>461660.31044999999</v>
      </c>
      <c r="E5" s="5">
        <f t="shared" si="0"/>
        <v>1.078564603993923</v>
      </c>
      <c r="F5" s="3">
        <f>DNSPOntSourceData!G396+DNSPOntSourceData!G501+DNSPOntSourceData!G711+DNSPOntSourceData!G1116</f>
        <v>4104.7509999999993</v>
      </c>
      <c r="G5" s="3">
        <f t="shared" si="1"/>
        <v>4648.5190000000002</v>
      </c>
      <c r="H5" s="3">
        <f>DNSPOntSourceData!I396+DNSPOntSourceData!I501+DNSPOntSourceData!I711+DNSPOntSourceData!I1116</f>
        <v>1241519</v>
      </c>
      <c r="I5" s="3">
        <f>DNSPOntSourceData!J396+DNSPOntSourceData!J501+DNSPOntSourceData!J711+DNSPOntSourceData!J1116</f>
        <v>123169</v>
      </c>
      <c r="J5" s="3">
        <f>DNSPOntSourceData!K396+DNSPOntSourceData!K501+DNSPOntSourceData!K711+DNSPOntSourceData!K1116</f>
        <v>4508</v>
      </c>
      <c r="K5" s="12">
        <f t="shared" si="2"/>
        <v>3.6600118536320017E-2</v>
      </c>
      <c r="L5" s="20" t="s">
        <v>54</v>
      </c>
    </row>
    <row r="6" spans="1:12">
      <c r="A6">
        <v>3001</v>
      </c>
      <c r="B6">
        <v>2009</v>
      </c>
      <c r="C6">
        <v>3</v>
      </c>
      <c r="D6" s="3">
        <f>DNSPOntSourceData!E397+DNSPOntSourceData!E502+DNSPOntSourceData!E712+DNSPOntSourceData!E1117</f>
        <v>497359.50549389992</v>
      </c>
      <c r="E6" s="5">
        <f t="shared" si="0"/>
        <v>1.0915070880241431</v>
      </c>
      <c r="F6" s="3">
        <f>DNSPOntSourceData!G397+DNSPOntSourceData!G502+DNSPOntSourceData!G712+DNSPOntSourceData!G1117</f>
        <v>4422.7529999999997</v>
      </c>
      <c r="G6" s="3">
        <f t="shared" si="1"/>
        <v>4648.5190000000002</v>
      </c>
      <c r="H6" s="3">
        <f>DNSPOntSourceData!I397+DNSPOntSourceData!I502+DNSPOntSourceData!I712+DNSPOntSourceData!I1117</f>
        <v>1248286</v>
      </c>
      <c r="I6" s="3">
        <f>DNSPOntSourceData!J397+DNSPOntSourceData!J502+DNSPOntSourceData!J712+DNSPOntSourceData!J1117</f>
        <v>123491</v>
      </c>
      <c r="J6" s="3">
        <f>DNSPOntSourceData!K397+DNSPOntSourceData!K502+DNSPOntSourceData!K712+DNSPOntSourceData!K1117</f>
        <v>4546</v>
      </c>
      <c r="K6" s="12">
        <f t="shared" si="2"/>
        <v>3.6812399284158359E-2</v>
      </c>
      <c r="L6" s="20" t="s">
        <v>54</v>
      </c>
    </row>
    <row r="7" spans="1:12">
      <c r="A7">
        <v>3001</v>
      </c>
      <c r="B7" s="2">
        <v>2010</v>
      </c>
      <c r="C7">
        <v>3</v>
      </c>
      <c r="D7" s="3">
        <f>DNSPOntSourceData!E398+DNSPOntSourceData!E503+DNSPOntSourceData!E713+DNSPOntSourceData!E1118</f>
        <v>534752.23927999998</v>
      </c>
      <c r="E7" s="5">
        <f t="shared" si="0"/>
        <v>1.1243125351578573</v>
      </c>
      <c r="F7" s="3">
        <f>DNSPOntSourceData!G398+DNSPOntSourceData!G503+DNSPOntSourceData!G713+DNSPOntSourceData!G1118</f>
        <v>4441.3739999999998</v>
      </c>
      <c r="G7" s="3">
        <f t="shared" si="1"/>
        <v>4648.5190000000002</v>
      </c>
      <c r="H7" s="3">
        <f>DNSPOntSourceData!I398+DNSPOntSourceData!I503+DNSPOntSourceData!I713+DNSPOntSourceData!I1118</f>
        <v>1258015</v>
      </c>
      <c r="I7" s="3">
        <f>DNSPOntSourceData!J398+DNSPOntSourceData!J503+DNSPOntSourceData!J713+DNSPOntSourceData!J1118</f>
        <v>123660</v>
      </c>
      <c r="J7" s="3">
        <f>DNSPOntSourceData!K398+DNSPOntSourceData!K503+DNSPOntSourceData!K713+DNSPOntSourceData!K1118</f>
        <v>4555</v>
      </c>
      <c r="K7" s="12">
        <f t="shared" si="2"/>
        <v>3.6834869804302117E-2</v>
      </c>
      <c r="L7" s="20" t="s">
        <v>54</v>
      </c>
    </row>
    <row r="8" spans="1:12">
      <c r="A8">
        <v>3001</v>
      </c>
      <c r="B8">
        <v>2011</v>
      </c>
      <c r="C8">
        <v>3</v>
      </c>
      <c r="D8" s="3">
        <f>DNSPOntSourceData!E399+DNSPOntSourceData!E504+DNSPOntSourceData!E714+DNSPOntSourceData!E1119</f>
        <v>538566.43489745969</v>
      </c>
      <c r="E8" s="5">
        <f t="shared" si="0"/>
        <v>1.1430978626415853</v>
      </c>
      <c r="F8" s="3">
        <f>DNSPOntSourceData!G399+DNSPOntSourceData!G504+DNSPOntSourceData!G714+DNSPOntSourceData!G1119</f>
        <v>4181.9489999999996</v>
      </c>
      <c r="G8" s="3">
        <f t="shared" si="1"/>
        <v>4648.5190000000002</v>
      </c>
      <c r="H8" s="3">
        <f>DNSPOntSourceData!I399+DNSPOntSourceData!I504+DNSPOntSourceData!I714+DNSPOntSourceData!I1119</f>
        <v>1266362</v>
      </c>
      <c r="I8" s="3">
        <f>DNSPOntSourceData!J399+DNSPOntSourceData!J504+DNSPOntSourceData!J714+DNSPOntSourceData!J1119</f>
        <v>120138</v>
      </c>
      <c r="J8" s="3">
        <f>DNSPOntSourceData!K399+DNSPOntSourceData!K504+DNSPOntSourceData!K714+DNSPOntSourceData!K1119</f>
        <v>8186</v>
      </c>
      <c r="K8" s="12">
        <f t="shared" si="2"/>
        <v>6.8138307612911814E-2</v>
      </c>
      <c r="L8" s="20" t="s">
        <v>54</v>
      </c>
    </row>
    <row r="9" spans="1:12">
      <c r="A9">
        <v>3001</v>
      </c>
      <c r="B9" s="2">
        <v>2012</v>
      </c>
      <c r="C9">
        <v>3</v>
      </c>
      <c r="D9" s="3">
        <f>DNSPOntSourceData!E400+DNSPOntSourceData!E505+DNSPOntSourceData!E715+DNSPOntSourceData!E1120</f>
        <v>526731.83098810003</v>
      </c>
      <c r="E9" s="5">
        <f t="shared" si="0"/>
        <v>1.160126854517312</v>
      </c>
      <c r="F9" s="3">
        <f>DNSPOntSourceData!G400+DNSPOntSourceData!G505+DNSPOntSourceData!G715+DNSPOntSourceData!G1120</f>
        <v>3974.4449999999997</v>
      </c>
      <c r="G9" s="3">
        <f t="shared" si="1"/>
        <v>4648.5190000000002</v>
      </c>
      <c r="H9" s="3">
        <f>DNSPOntSourceData!I400+DNSPOntSourceData!I505+DNSPOntSourceData!I715+DNSPOntSourceData!I1120</f>
        <v>1277008</v>
      </c>
      <c r="I9" s="3">
        <f>DNSPOntSourceData!J400+DNSPOntSourceData!J505+DNSPOntSourceData!J715+DNSPOntSourceData!J1120</f>
        <v>121119</v>
      </c>
      <c r="J9" s="3">
        <f>DNSPOntSourceData!K400+DNSPOntSourceData!K505+DNSPOntSourceData!K715+DNSPOntSourceData!K1120</f>
        <v>8418</v>
      </c>
      <c r="K9" s="12">
        <f t="shared" si="2"/>
        <v>6.9501894830703695E-2</v>
      </c>
      <c r="L9" s="20" t="s">
        <v>54</v>
      </c>
    </row>
    <row r="10" spans="1:12">
      <c r="A10">
        <v>3001</v>
      </c>
      <c r="B10">
        <v>2013</v>
      </c>
      <c r="C10">
        <v>3</v>
      </c>
      <c r="D10" s="3">
        <f>DNSPOntSourceData!E401+DNSPOntSourceData!E506+DNSPOntSourceData!E716+DNSPOntSourceData!E1121</f>
        <v>579035.23967000004</v>
      </c>
      <c r="E10" s="5">
        <f t="shared" si="0"/>
        <v>1.178602141578931</v>
      </c>
      <c r="F10" s="3">
        <f>DNSPOntSourceData!G401+DNSPOntSourceData!G506+DNSPOntSourceData!G716+DNSPOntSourceData!G1121</f>
        <v>5924.584762125035</v>
      </c>
      <c r="G10" s="3">
        <f t="shared" si="1"/>
        <v>5924.584762125035</v>
      </c>
      <c r="H10" s="3">
        <f>DNSPOntSourceData!I401+DNSPOntSourceData!I506+DNSPOntSourceData!I716+DNSPOntSourceData!I1121</f>
        <v>1276577</v>
      </c>
      <c r="I10" s="3">
        <f>DNSPOntSourceData!J401+DNSPOntSourceData!J506+DNSPOntSourceData!J716+DNSPOntSourceData!J1121</f>
        <v>122281</v>
      </c>
      <c r="J10" s="3">
        <f>DNSPOntSourceData!K401+DNSPOntSourceData!K506+DNSPOntSourceData!K716+DNSPOntSourceData!K1121</f>
        <v>8868</v>
      </c>
      <c r="K10" s="12">
        <f t="shared" si="2"/>
        <v>7.2521487393789719E-2</v>
      </c>
      <c r="L10" s="20" t="s">
        <v>54</v>
      </c>
    </row>
    <row r="11" spans="1:12">
      <c r="A11">
        <v>3001</v>
      </c>
      <c r="B11" s="2">
        <v>2014</v>
      </c>
      <c r="C11">
        <v>3</v>
      </c>
      <c r="D11" s="3">
        <f>DNSPOntSourceData!E402+DNSPOntSourceData!E507+DNSPOntSourceData!E717+DNSPOntSourceData!E1122</f>
        <v>610739.59220999992</v>
      </c>
      <c r="E11" s="5">
        <f t="shared" si="0"/>
        <v>1.2030671041042156</v>
      </c>
      <c r="F11" s="3">
        <f>DNSPOntSourceData!G402+DNSPOntSourceData!G507+DNSPOntSourceData!G717+DNSPOntSourceData!G1122</f>
        <v>6133.5493687728203</v>
      </c>
      <c r="G11" s="3">
        <f t="shared" si="1"/>
        <v>6133.5493687728203</v>
      </c>
      <c r="H11" s="3">
        <f>DNSPOntSourceData!I402+DNSPOntSourceData!I507+DNSPOntSourceData!I717+DNSPOntSourceData!I1122</f>
        <v>1276310</v>
      </c>
      <c r="I11" s="3">
        <f>DNSPOntSourceData!J402+DNSPOntSourceData!J507+DNSPOntSourceData!J717+DNSPOntSourceData!J1122</f>
        <v>122165</v>
      </c>
      <c r="J11" s="3">
        <f>DNSPOntSourceData!K402+DNSPOntSourceData!K507+DNSPOntSourceData!K717+DNSPOntSourceData!K1122</f>
        <v>8985</v>
      </c>
      <c r="K11" s="12">
        <f t="shared" si="2"/>
        <v>7.3548070232881763E-2</v>
      </c>
      <c r="L11" s="20" t="s">
        <v>54</v>
      </c>
    </row>
    <row r="12" spans="1:12">
      <c r="A12">
        <v>3001</v>
      </c>
      <c r="B12">
        <v>2015</v>
      </c>
      <c r="C12">
        <v>3</v>
      </c>
      <c r="D12" s="3">
        <f>DNSPOntSourceData!E403+DNSPOntSourceData!E508+DNSPOntSourceData!E718+DNSPOntSourceData!E1123</f>
        <v>540811.93599999999</v>
      </c>
      <c r="E12" s="5">
        <f t="shared" si="0"/>
        <v>1.2312762402864634</v>
      </c>
      <c r="F12" s="3">
        <f>DNSPOntSourceData!G403+DNSPOntSourceData!G508+DNSPOntSourceData!G718+DNSPOntSourceData!G1123</f>
        <v>6459.2159978430755</v>
      </c>
      <c r="G12" s="3">
        <f t="shared" si="1"/>
        <v>6459.2159978430755</v>
      </c>
      <c r="H12" s="3">
        <f>DNSPOntSourceData!I403+DNSPOntSourceData!I508+DNSPOntSourceData!I718+DNSPOntSourceData!I1123</f>
        <v>1294848</v>
      </c>
      <c r="I12" s="3">
        <f>DNSPOntSourceData!J403+DNSPOntSourceData!J508+DNSPOntSourceData!J718+DNSPOntSourceData!J1123</f>
        <v>123197</v>
      </c>
      <c r="J12" s="3">
        <f>DNSPOntSourceData!K403+DNSPOntSourceData!K508+DNSPOntSourceData!K718+DNSPOntSourceData!K1123</f>
        <v>9388</v>
      </c>
      <c r="K12" s="12">
        <f t="shared" si="2"/>
        <v>7.6203154297588421E-2</v>
      </c>
      <c r="L12" s="20" t="s">
        <v>54</v>
      </c>
    </row>
    <row r="13" spans="1:12">
      <c r="A13">
        <v>3001</v>
      </c>
      <c r="B13" s="2">
        <v>2016</v>
      </c>
      <c r="C13">
        <v>3</v>
      </c>
      <c r="D13" s="3">
        <f>DNSPOntSourceData!E404+DNSPOntSourceData!E509+DNSPOntSourceData!E719+DNSPOntSourceData!E1124</f>
        <v>544519.28041999985</v>
      </c>
      <c r="E13" s="5">
        <f t="shared" si="0"/>
        <v>1.2455044937824149</v>
      </c>
      <c r="F13" s="3">
        <f>DNSPOntSourceData!G404+DNSPOntSourceData!G509+DNSPOntSourceData!G719+DNSPOntSourceData!G1124</f>
        <v>5641.0780000000004</v>
      </c>
      <c r="G13" s="3">
        <f t="shared" si="1"/>
        <v>6459.2159978430755</v>
      </c>
      <c r="H13" s="3">
        <f>DNSPOntSourceData!I404+DNSPOntSourceData!I509+DNSPOntSourceData!I719+DNSPOntSourceData!I1124</f>
        <v>1307906</v>
      </c>
      <c r="I13" s="3">
        <f>DNSPOntSourceData!J404+DNSPOntSourceData!J509+DNSPOntSourceData!J719+DNSPOntSourceData!J1124</f>
        <v>122366</v>
      </c>
      <c r="J13" s="3">
        <f>DNSPOntSourceData!K404+DNSPOntSourceData!K509+DNSPOntSourceData!K719+DNSPOntSourceData!K1124</f>
        <v>9148</v>
      </c>
      <c r="K13" s="12">
        <f t="shared" si="2"/>
        <v>7.4759328571662065E-2</v>
      </c>
      <c r="L13" s="20" t="s">
        <v>54</v>
      </c>
    </row>
    <row r="14" spans="1:12">
      <c r="A14">
        <v>3001</v>
      </c>
      <c r="B14">
        <v>2017</v>
      </c>
      <c r="C14">
        <v>3</v>
      </c>
      <c r="D14" s="3">
        <f>DNSPOntSourceData!E405+DNSPOntSourceData!E510+DNSPOntSourceData!E720+DNSPOntSourceData!E1125</f>
        <v>531008.99735999992</v>
      </c>
      <c r="E14" s="5">
        <f t="shared" si="0"/>
        <v>1.2674505553724562</v>
      </c>
      <c r="F14" s="3">
        <f>DNSPOntSourceData!G405+DNSPOntSourceData!G510+DNSPOntSourceData!G720+DNSPOntSourceData!G1125</f>
        <v>5361.9920000000002</v>
      </c>
      <c r="G14" s="3">
        <f t="shared" ref="G14" si="3">MAX(F14,G13)</f>
        <v>6459.2159978430755</v>
      </c>
      <c r="H14" s="3">
        <f>DNSPOntSourceData!I405+DNSPOntSourceData!I510+DNSPOntSourceData!I720+DNSPOntSourceData!I1125</f>
        <v>1320458</v>
      </c>
      <c r="I14" s="3">
        <f>DNSPOntSourceData!J405+DNSPOntSourceData!J510+DNSPOntSourceData!J720+DNSPOntSourceData!J1125</f>
        <v>123119</v>
      </c>
      <c r="J14" s="3">
        <f>DNSPOntSourceData!K405+DNSPOntSourceData!K510+DNSPOntSourceData!K720+DNSPOntSourceData!K1125</f>
        <v>9365</v>
      </c>
      <c r="K14" s="12">
        <f t="shared" ref="K14" si="4">J14/I14</f>
        <v>7.6064620407898048E-2</v>
      </c>
      <c r="L14" s="20" t="s">
        <v>54</v>
      </c>
    </row>
    <row r="15" spans="1:12">
      <c r="A15">
        <v>3001</v>
      </c>
      <c r="B15" s="2">
        <v>2018</v>
      </c>
      <c r="C15">
        <v>3</v>
      </c>
      <c r="D15" s="3">
        <f>DNSPOntSourceData!E406+DNSPOntSourceData!E511+DNSPOntSourceData!E721+DNSPOntSourceData!E1126</f>
        <v>535524.47184000001</v>
      </c>
      <c r="E15" s="5">
        <f t="shared" si="0"/>
        <v>1.2994718602728874</v>
      </c>
      <c r="F15" s="3">
        <f>DNSPOntSourceData!G406+DNSPOntSourceData!G511+DNSPOntSourceData!G721+DNSPOntSourceData!G1126</f>
        <v>5812.4319999999998</v>
      </c>
      <c r="G15" s="3">
        <f t="shared" ref="G15" si="5">MAX(F15,G14)</f>
        <v>6459.2159978430755</v>
      </c>
      <c r="H15" s="3">
        <f>DNSPOntSourceData!I406+DNSPOntSourceData!I511+DNSPOntSourceData!I721+DNSPOntSourceData!I1126</f>
        <v>1333961</v>
      </c>
      <c r="I15" s="3">
        <f>DNSPOntSourceData!J406+DNSPOntSourceData!J511+DNSPOntSourceData!J721+DNSPOntSourceData!J1126</f>
        <v>123176</v>
      </c>
      <c r="J15" s="3">
        <f>DNSPOntSourceData!K406+DNSPOntSourceData!K511+DNSPOntSourceData!K721+DNSPOntSourceData!K1126</f>
        <v>9558</v>
      </c>
      <c r="K15" s="12">
        <f t="shared" ref="K15" si="6">J15/I15</f>
        <v>7.7596284990582576E-2</v>
      </c>
      <c r="L15" s="20" t="s">
        <v>54</v>
      </c>
    </row>
    <row r="16" spans="1:12">
      <c r="A16" s="142">
        <v>3001</v>
      </c>
      <c r="B16" s="142">
        <v>2019</v>
      </c>
      <c r="C16" s="142">
        <v>3</v>
      </c>
      <c r="D16" s="3">
        <f>DNSPOntSourceData!E407+DNSPOntSourceData!E512+DNSPOntSourceData!E722+DNSPOntSourceData!E1127</f>
        <v>538618.19463000004</v>
      </c>
      <c r="E16" s="5">
        <f t="shared" si="0"/>
        <v>1.3352608354138498</v>
      </c>
      <c r="F16" s="3">
        <f>DNSPOntSourceData!G407+DNSPOntSourceData!G512+DNSPOntSourceData!G722+DNSPOntSourceData!G1127</f>
        <v>6291.23</v>
      </c>
      <c r="G16" s="3">
        <f t="shared" ref="G16" si="7">MAX(F16,G15)</f>
        <v>6459.2159978430755</v>
      </c>
      <c r="H16" s="3">
        <f>DNSPOntSourceData!I407+DNSPOntSourceData!I512+DNSPOntSourceData!I722+DNSPOntSourceData!I1127</f>
        <v>1344318</v>
      </c>
      <c r="I16" s="3">
        <f>DNSPOntSourceData!J407+DNSPOntSourceData!J512+DNSPOntSourceData!J722+DNSPOntSourceData!J1127</f>
        <v>123139</v>
      </c>
      <c r="J16" s="3">
        <f>DNSPOntSourceData!K407+DNSPOntSourceData!K512+DNSPOntSourceData!K722+DNSPOntSourceData!K1127</f>
        <v>9749</v>
      </c>
      <c r="K16" s="12">
        <f t="shared" ref="K16" si="8">J16/I16</f>
        <v>7.917069328157611E-2</v>
      </c>
      <c r="L16" s="20" t="s">
        <v>54</v>
      </c>
    </row>
    <row r="17" spans="1:12">
      <c r="A17">
        <v>3002</v>
      </c>
      <c r="B17">
        <v>2005</v>
      </c>
      <c r="C17">
        <v>3</v>
      </c>
      <c r="D17" s="3">
        <f>DNSPOntSourceData!E978</f>
        <v>136233.68462000001</v>
      </c>
      <c r="E17" s="5">
        <f>DNSPOntSourceData!F978</f>
        <v>1</v>
      </c>
      <c r="F17" s="3">
        <f>DNSPOntSourceData!G978</f>
        <v>5005.2049999999999</v>
      </c>
      <c r="G17" s="3">
        <f>DNSPOntSourceData!H978</f>
        <v>5005.2049999999999</v>
      </c>
      <c r="H17" s="3">
        <f>DNSPOntSourceData!I978</f>
        <v>676678</v>
      </c>
      <c r="I17" s="10">
        <f>I18/1.0035</f>
        <v>9713.6492893774375</v>
      </c>
      <c r="J17" s="94">
        <f>I17*K17</f>
        <v>5369.0957388352035</v>
      </c>
      <c r="K17" s="12">
        <f>DNSPOntSourceData!L978</f>
        <v>0.55273724414846737</v>
      </c>
      <c r="L17" s="20" t="s">
        <v>86</v>
      </c>
    </row>
    <row r="18" spans="1:12">
      <c r="A18">
        <v>3002</v>
      </c>
      <c r="B18" s="2">
        <v>2006</v>
      </c>
      <c r="C18">
        <v>3</v>
      </c>
      <c r="D18" s="3">
        <f>DNSPOntSourceData!E979</f>
        <v>139336.87824000002</v>
      </c>
      <c r="E18" s="5">
        <f>DNSPOntSourceData!F979</f>
        <v>1.0181607380073696</v>
      </c>
      <c r="F18" s="3">
        <f>DNSPOntSourceData!G979</f>
        <v>5018.2780000000002</v>
      </c>
      <c r="G18" s="3">
        <f>DNSPOntSourceData!H979</f>
        <v>5018.2780000000002</v>
      </c>
      <c r="H18" s="3">
        <f>DNSPOntSourceData!I979</f>
        <v>678106</v>
      </c>
      <c r="I18" s="10">
        <f>I19/1.0035</f>
        <v>9747.6470618902586</v>
      </c>
      <c r="J18" s="94">
        <f t="shared" ref="J18:J19" si="9">I18*K18</f>
        <v>5444.9313061559778</v>
      </c>
      <c r="K18" s="11">
        <f>K17+(K$20-K$17)/3</f>
        <v>0.55858929560998072</v>
      </c>
      <c r="L18" s="20" t="s">
        <v>86</v>
      </c>
    </row>
    <row r="19" spans="1:12">
      <c r="A19">
        <v>3002</v>
      </c>
      <c r="B19">
        <v>2007</v>
      </c>
      <c r="C19">
        <v>3</v>
      </c>
      <c r="D19" s="3">
        <f>DNSPOntSourceData!E980</f>
        <v>151045.66658000002</v>
      </c>
      <c r="E19" s="5">
        <f>DNSPOntSourceData!F980</f>
        <v>1.0531931014872313</v>
      </c>
      <c r="F19" s="3">
        <f>DNSPOntSourceData!G980</f>
        <v>4788.3410000000003</v>
      </c>
      <c r="G19" s="3">
        <f>DNSPOntSourceData!H980</f>
        <v>5018.2780000000002</v>
      </c>
      <c r="H19" s="3">
        <f>DNSPOntSourceData!I980</f>
        <v>679913</v>
      </c>
      <c r="I19" s="10">
        <f>I20/1.0035</f>
        <v>9781.7638266068752</v>
      </c>
      <c r="J19" s="94">
        <f t="shared" si="9"/>
        <v>5521.2319510251973</v>
      </c>
      <c r="K19" s="11">
        <f>K18+(K$20-K$17)/3</f>
        <v>0.56444134707149407</v>
      </c>
      <c r="L19" s="20" t="s">
        <v>86</v>
      </c>
    </row>
    <row r="20" spans="1:12">
      <c r="A20">
        <v>3002</v>
      </c>
      <c r="B20" s="2">
        <v>2008</v>
      </c>
      <c r="C20">
        <v>3</v>
      </c>
      <c r="D20" s="3">
        <f>DNSPOntSourceData!E981</f>
        <v>160730.46316999997</v>
      </c>
      <c r="E20" s="5">
        <f>DNSPOntSourceData!F981</f>
        <v>1.078564603993923</v>
      </c>
      <c r="F20" s="3">
        <f>DNSPOntSourceData!G981</f>
        <v>4564.3490000000002</v>
      </c>
      <c r="G20" s="3">
        <f>DNSPOntSourceData!H981</f>
        <v>5018.2780000000002</v>
      </c>
      <c r="H20" s="3">
        <f>DNSPOntSourceData!I981</f>
        <v>684145</v>
      </c>
      <c r="I20" s="3">
        <f>DNSPOntSourceData!J981</f>
        <v>9816</v>
      </c>
      <c r="J20" s="3">
        <f>DNSPOntSourceData!K981</f>
        <v>5598</v>
      </c>
      <c r="K20" s="12">
        <f>DNSPOntSourceData!L981</f>
        <v>0.57029339853300731</v>
      </c>
      <c r="L20" s="20" t="s">
        <v>86</v>
      </c>
    </row>
    <row r="21" spans="1:12">
      <c r="A21">
        <v>3002</v>
      </c>
      <c r="B21">
        <v>2009</v>
      </c>
      <c r="C21">
        <v>3</v>
      </c>
      <c r="D21" s="3">
        <f>DNSPOntSourceData!E982</f>
        <v>171291.28877000001</v>
      </c>
      <c r="E21" s="5">
        <f>DNSPOntSourceData!F982</f>
        <v>1.0915070880241431</v>
      </c>
      <c r="F21" s="3">
        <f>DNSPOntSourceData!G982</f>
        <v>4607.3459999999995</v>
      </c>
      <c r="G21" s="3">
        <f>DNSPOntSourceData!H982</f>
        <v>5018.2780000000002</v>
      </c>
      <c r="H21" s="3">
        <f>DNSPOntSourceData!I982</f>
        <v>689138</v>
      </c>
      <c r="I21" s="3">
        <f>DNSPOntSourceData!J982</f>
        <v>9794</v>
      </c>
      <c r="J21" s="3">
        <f>DNSPOntSourceData!K982</f>
        <v>5641</v>
      </c>
      <c r="K21" s="12">
        <f>DNSPOntSourceData!L982</f>
        <v>0.57596487645497241</v>
      </c>
      <c r="L21" s="20" t="s">
        <v>86</v>
      </c>
    </row>
    <row r="22" spans="1:12">
      <c r="A22">
        <v>3002</v>
      </c>
      <c r="B22" s="2">
        <v>2010</v>
      </c>
      <c r="C22">
        <v>3</v>
      </c>
      <c r="D22" s="3">
        <f>DNSPOntSourceData!E983</f>
        <v>198558.92424000002</v>
      </c>
      <c r="E22" s="5">
        <f>DNSPOntSourceData!F983</f>
        <v>1.1243125351578573</v>
      </c>
      <c r="F22" s="3">
        <f>DNSPOntSourceData!G983</f>
        <v>4785.8760000000002</v>
      </c>
      <c r="G22" s="3">
        <f>DNSPOntSourceData!H983</f>
        <v>5018.2780000000002</v>
      </c>
      <c r="H22" s="3">
        <f>DNSPOntSourceData!I983</f>
        <v>700386</v>
      </c>
      <c r="I22" s="3">
        <f>DNSPOntSourceData!J983</f>
        <v>9990</v>
      </c>
      <c r="J22" s="3">
        <f>DNSPOntSourceData!K983</f>
        <v>5776</v>
      </c>
      <c r="K22" s="12">
        <f>DNSPOntSourceData!L983</f>
        <v>0.57817817817817818</v>
      </c>
      <c r="L22" s="20" t="s">
        <v>86</v>
      </c>
    </row>
    <row r="23" spans="1:12">
      <c r="A23">
        <v>3002</v>
      </c>
      <c r="B23">
        <v>2011</v>
      </c>
      <c r="C23">
        <v>3</v>
      </c>
      <c r="D23" s="3">
        <f>DNSPOntSourceData!E984</f>
        <v>219422.07525000002</v>
      </c>
      <c r="E23" s="5">
        <f>DNSPOntSourceData!F984</f>
        <v>1.1430978626415853</v>
      </c>
      <c r="F23" s="3">
        <f>DNSPOntSourceData!G984</f>
        <v>4919.1499999999996</v>
      </c>
      <c r="G23" s="3">
        <f>DNSPOntSourceData!H984</f>
        <v>5018.2780000000002</v>
      </c>
      <c r="H23" s="3">
        <f>DNSPOntSourceData!I984</f>
        <v>709323</v>
      </c>
      <c r="I23" s="3">
        <f>DNSPOntSourceData!J984</f>
        <v>10061</v>
      </c>
      <c r="J23" s="3">
        <f>DNSPOntSourceData!K984</f>
        <v>5893</v>
      </c>
      <c r="K23" s="12">
        <f>DNSPOntSourceData!L984</f>
        <v>0.5857270649040851</v>
      </c>
      <c r="L23" s="20" t="s">
        <v>86</v>
      </c>
    </row>
    <row r="24" spans="1:12">
      <c r="A24">
        <v>3002</v>
      </c>
      <c r="B24" s="2">
        <v>2012</v>
      </c>
      <c r="C24">
        <v>3</v>
      </c>
      <c r="D24" s="3">
        <f>DNSPOntSourceData!E985</f>
        <v>211458.81523999994</v>
      </c>
      <c r="E24" s="5">
        <f>DNSPOntSourceData!F985</f>
        <v>1.160126854517312</v>
      </c>
      <c r="F24" s="3">
        <f>DNSPOntSourceData!G985</f>
        <v>4829.6270000000004</v>
      </c>
      <c r="G24" s="3">
        <f>DNSPOntSourceData!H985</f>
        <v>5018.2780000000002</v>
      </c>
      <c r="H24" s="3">
        <f>DNSPOntSourceData!I985</f>
        <v>718661</v>
      </c>
      <c r="I24" s="3">
        <f>DNSPOntSourceData!J985</f>
        <v>9913</v>
      </c>
      <c r="J24" s="3">
        <f>DNSPOntSourceData!K985</f>
        <v>5764</v>
      </c>
      <c r="K24" s="12">
        <f>DNSPOntSourceData!L985</f>
        <v>0.58145869060829214</v>
      </c>
      <c r="L24" s="20" t="s">
        <v>86</v>
      </c>
    </row>
    <row r="25" spans="1:12">
      <c r="A25">
        <v>3002</v>
      </c>
      <c r="B25">
        <v>2013</v>
      </c>
      <c r="C25">
        <v>3</v>
      </c>
      <c r="D25" s="3">
        <f>DNSPOntSourceData!E986</f>
        <v>232504.07309999995</v>
      </c>
      <c r="E25" s="5">
        <f>DNSPOntSourceData!F986</f>
        <v>1.178602141578931</v>
      </c>
      <c r="F25" s="3">
        <f>DNSPOntSourceData!G986</f>
        <v>4914.8980000000001</v>
      </c>
      <c r="G25" s="3">
        <f>DNSPOntSourceData!H986</f>
        <v>5018.2780000000002</v>
      </c>
      <c r="H25" s="3">
        <f>DNSPOntSourceData!I986</f>
        <v>734576</v>
      </c>
      <c r="I25" s="3">
        <f>DNSPOntSourceData!J986</f>
        <v>10160</v>
      </c>
      <c r="J25" s="3">
        <f>DNSPOntSourceData!K986</f>
        <v>6019</v>
      </c>
      <c r="K25" s="12">
        <f>DNSPOntSourceData!L986</f>
        <v>0.5924212598425197</v>
      </c>
      <c r="L25" s="20" t="s">
        <v>86</v>
      </c>
    </row>
    <row r="26" spans="1:12">
      <c r="A26">
        <v>3002</v>
      </c>
      <c r="B26" s="2">
        <v>2014</v>
      </c>
      <c r="C26">
        <v>3</v>
      </c>
      <c r="D26" s="3">
        <f>DNSPOntSourceData!E987</f>
        <v>228241.69399999999</v>
      </c>
      <c r="E26" s="5">
        <f>DNSPOntSourceData!F987</f>
        <v>1.2030671041042156</v>
      </c>
      <c r="F26" s="3">
        <f>DNSPOntSourceData!G987</f>
        <v>4273.5039999999999</v>
      </c>
      <c r="G26" s="3">
        <f>DNSPOntSourceData!H987</f>
        <v>5018.2780000000002</v>
      </c>
      <c r="H26" s="3">
        <f>DNSPOntSourceData!I987</f>
        <v>744252</v>
      </c>
      <c r="I26" s="3">
        <f>DNSPOntSourceData!J987</f>
        <v>10184</v>
      </c>
      <c r="J26" s="3">
        <f>DNSPOntSourceData!K987</f>
        <v>6065</v>
      </c>
      <c r="K26" s="12">
        <f>DNSPOntSourceData!L987</f>
        <v>0.59554202670856249</v>
      </c>
      <c r="L26" s="20" t="s">
        <v>86</v>
      </c>
    </row>
    <row r="27" spans="1:12">
      <c r="A27">
        <v>3002</v>
      </c>
      <c r="B27">
        <v>2015</v>
      </c>
      <c r="C27">
        <v>3</v>
      </c>
      <c r="D27" s="3">
        <f>DNSPOntSourceData!E988</f>
        <v>228941.345</v>
      </c>
      <c r="E27" s="5">
        <f>DNSPOntSourceData!F988</f>
        <v>1.2312762402864634</v>
      </c>
      <c r="F27" s="3">
        <f>DNSPOntSourceData!G988</f>
        <v>4404.3819999999996</v>
      </c>
      <c r="G27" s="3">
        <f>DNSPOntSourceData!H988</f>
        <v>5018.2780000000002</v>
      </c>
      <c r="H27" s="3">
        <f>DNSPOntSourceData!I988</f>
        <v>758311</v>
      </c>
      <c r="I27" s="3">
        <f>DNSPOntSourceData!J988</f>
        <v>10348</v>
      </c>
      <c r="J27" s="3">
        <f>DNSPOntSourceData!K988</f>
        <v>6243</v>
      </c>
      <c r="K27" s="12">
        <f>DNSPOntSourceData!L988</f>
        <v>0.60330498647081565</v>
      </c>
      <c r="L27" s="20" t="s">
        <v>86</v>
      </c>
    </row>
    <row r="28" spans="1:12">
      <c r="A28">
        <v>3002</v>
      </c>
      <c r="B28" s="2">
        <v>2016</v>
      </c>
      <c r="C28">
        <v>3</v>
      </c>
      <c r="D28" s="3">
        <f>DNSPOntSourceData!E989</f>
        <v>232383.92843999996</v>
      </c>
      <c r="E28" s="5">
        <f>DNSPOntSourceData!F989</f>
        <v>1.2455044937824149</v>
      </c>
      <c r="F28" s="3">
        <f>DNSPOntSourceData!G989</f>
        <v>4591.5590000000002</v>
      </c>
      <c r="G28" s="3">
        <f>DNSPOntSourceData!H989</f>
        <v>5018.2780000000002</v>
      </c>
      <c r="H28" s="3">
        <f>DNSPOntSourceData!I989</f>
        <v>761920</v>
      </c>
      <c r="I28" s="94">
        <f>I27*I27/I26</f>
        <v>10514.641005498821</v>
      </c>
      <c r="J28" s="94">
        <f>J27*J27/J26</f>
        <v>6426.224072547403</v>
      </c>
      <c r="K28" s="95">
        <f>J28/I28</f>
        <v>0.61116913731878186</v>
      </c>
      <c r="L28" s="20" t="s">
        <v>86</v>
      </c>
    </row>
    <row r="29" spans="1:12">
      <c r="A29">
        <v>3002</v>
      </c>
      <c r="B29">
        <v>2017</v>
      </c>
      <c r="C29">
        <v>3</v>
      </c>
      <c r="D29" s="3">
        <f>DNSPOntSourceData!E990</f>
        <v>234078.55725999997</v>
      </c>
      <c r="E29" s="5">
        <f>DNSPOntSourceData!F990</f>
        <v>1.2674505553724562</v>
      </c>
      <c r="F29" s="3">
        <f>DNSPOntSourceData!G990</f>
        <v>4246.6880000000001</v>
      </c>
      <c r="G29" s="3">
        <f>DNSPOntSourceData!H990</f>
        <v>5018.2780000000002</v>
      </c>
      <c r="H29" s="3">
        <f>DNSPOntSourceData!I990</f>
        <v>767946</v>
      </c>
      <c r="I29" s="94">
        <f>I28*DNSPOntSourceData!J990/DNSPOntSourceData!J989</f>
        <v>10572.718728934193</v>
      </c>
      <c r="J29" s="94">
        <f>J28*DNSPOntSourceData!K990/DNSPOntSourceData!K989</f>
        <v>6512.9317877243693</v>
      </c>
      <c r="K29" s="95">
        <f>J29/I29</f>
        <v>0.61601296267350147</v>
      </c>
      <c r="L29" s="20" t="s">
        <v>86</v>
      </c>
    </row>
    <row r="30" spans="1:12">
      <c r="A30">
        <v>3002</v>
      </c>
      <c r="B30" s="2">
        <v>2018</v>
      </c>
      <c r="C30">
        <v>3</v>
      </c>
      <c r="D30" s="3">
        <f>DNSPOntSourceData!E991</f>
        <v>249021.33004999999</v>
      </c>
      <c r="E30" s="5">
        <f>DNSPOntSourceData!F991</f>
        <v>1.2994718602728874</v>
      </c>
      <c r="F30" s="3">
        <f>DNSPOntSourceData!G991</f>
        <v>4559.5320000000002</v>
      </c>
      <c r="G30" s="3">
        <f>DNSPOntSourceData!H991</f>
        <v>5018.2780000000002</v>
      </c>
      <c r="H30" s="3">
        <f>DNSPOntSourceData!I991</f>
        <v>772624</v>
      </c>
      <c r="I30" s="94">
        <f>I29*DNSPOntSourceData!J991/DNSPOntSourceData!J990</f>
        <v>10557.647927283242</v>
      </c>
      <c r="J30" s="94">
        <f>J29*DNSPOntSourceData!K991/DNSPOntSourceData!K990</f>
        <v>6506.5272405806154</v>
      </c>
      <c r="K30" s="95">
        <f>J30/I30</f>
        <v>0.6162856808064554</v>
      </c>
      <c r="L30" s="20" t="s">
        <v>86</v>
      </c>
    </row>
    <row r="31" spans="1:12">
      <c r="A31" s="142">
        <v>3002</v>
      </c>
      <c r="B31" s="142">
        <v>2019</v>
      </c>
      <c r="C31" s="142">
        <v>3</v>
      </c>
      <c r="D31" s="3">
        <f>DNSPOntSourceData!E992</f>
        <v>253196.23609999998</v>
      </c>
      <c r="E31" s="5">
        <f>DNSPOntSourceData!F992</f>
        <v>1.3352608354138498</v>
      </c>
      <c r="F31" s="3">
        <f>DNSPOntSourceData!G992</f>
        <v>4271.8509999999997</v>
      </c>
      <c r="G31" s="3">
        <f>DNSPOntSourceData!H992</f>
        <v>5018.2780000000002</v>
      </c>
      <c r="H31" s="3">
        <f>DNSPOntSourceData!I992</f>
        <v>777904</v>
      </c>
      <c r="I31" s="94">
        <f>I30*DNSPOntSourceData!J992/DNSPOntSourceData!J991</f>
        <v>10618.298714415118</v>
      </c>
      <c r="J31" s="94">
        <f>J30*DNSPOntSourceData!K992/DNSPOntSourceData!K991</f>
        <v>6605.0587350998949</v>
      </c>
      <c r="K31" s="95">
        <f>J31/I31</f>
        <v>0.62204491630406333</v>
      </c>
      <c r="L31" s="20" t="s">
        <v>86</v>
      </c>
    </row>
    <row r="32" spans="1:12">
      <c r="A32">
        <v>3003</v>
      </c>
      <c r="B32">
        <v>2005</v>
      </c>
      <c r="C32">
        <v>3</v>
      </c>
      <c r="D32" s="3">
        <f>DNSPOntSourceData!E858</f>
        <v>44920.078160000005</v>
      </c>
      <c r="E32" s="5">
        <f>DNSPOntSourceData!F858</f>
        <v>1</v>
      </c>
      <c r="F32" s="3">
        <f>DNSPOntSourceData!G858</f>
        <v>1802.105</v>
      </c>
      <c r="G32" s="3">
        <f>DNSPOntSourceData!H858</f>
        <v>1802.105</v>
      </c>
      <c r="H32" s="3">
        <f>DNSPOntSourceData!I858</f>
        <v>285600</v>
      </c>
      <c r="I32" s="3">
        <f>DNSPOntSourceData!J858</f>
        <v>7342</v>
      </c>
      <c r="J32" s="3">
        <f>DNSPOntSourceData!K858</f>
        <v>4736</v>
      </c>
      <c r="K32" s="12">
        <f>DNSPOntSourceData!L858</f>
        <v>0.64505584309452468</v>
      </c>
      <c r="L32" s="15" t="s">
        <v>78</v>
      </c>
    </row>
    <row r="33" spans="1:12">
      <c r="A33">
        <v>3003</v>
      </c>
      <c r="B33" s="2">
        <v>2006</v>
      </c>
      <c r="C33">
        <v>3</v>
      </c>
      <c r="D33" s="3">
        <f>DNSPOntSourceData!E859</f>
        <v>42313.30384</v>
      </c>
      <c r="E33" s="5">
        <f>DNSPOntSourceData!F859</f>
        <v>1.0181607380073696</v>
      </c>
      <c r="F33" s="3">
        <f>DNSPOntSourceData!G859</f>
        <v>1901.048</v>
      </c>
      <c r="G33" s="3">
        <f>DNSPOntSourceData!H859</f>
        <v>1901.048</v>
      </c>
      <c r="H33" s="3">
        <f>DNSPOntSourceData!I859</f>
        <v>295994</v>
      </c>
      <c r="I33" s="3">
        <f>DNSPOntSourceData!J859</f>
        <v>7465</v>
      </c>
      <c r="J33" s="3">
        <f>DNSPOntSourceData!K859</f>
        <v>4943</v>
      </c>
      <c r="K33" s="12">
        <f>DNSPOntSourceData!L859</f>
        <v>0.66215673141326192</v>
      </c>
      <c r="L33" s="15" t="s">
        <v>78</v>
      </c>
    </row>
    <row r="34" spans="1:12">
      <c r="A34">
        <v>3003</v>
      </c>
      <c r="B34">
        <v>2007</v>
      </c>
      <c r="C34">
        <v>3</v>
      </c>
      <c r="D34" s="3">
        <f>DNSPOntSourceData!E860</f>
        <v>45684.28069</v>
      </c>
      <c r="E34" s="5">
        <f>DNSPOntSourceData!F860</f>
        <v>1.0531931014872313</v>
      </c>
      <c r="F34" s="3">
        <f>DNSPOntSourceData!G860</f>
        <v>1827.7370000000001</v>
      </c>
      <c r="G34" s="3">
        <f>DNSPOntSourceData!H860</f>
        <v>1901.048</v>
      </c>
      <c r="H34" s="3">
        <f>DNSPOntSourceData!I860</f>
        <v>304755</v>
      </c>
      <c r="I34" s="3">
        <f>DNSPOntSourceData!J860</f>
        <v>7645</v>
      </c>
      <c r="J34" s="3">
        <f>DNSPOntSourceData!K860</f>
        <v>5087</v>
      </c>
      <c r="K34" s="12">
        <f>DNSPOntSourceData!L860</f>
        <v>0.66540222367560498</v>
      </c>
      <c r="L34" s="15" t="s">
        <v>78</v>
      </c>
    </row>
    <row r="35" spans="1:12">
      <c r="A35">
        <v>3003</v>
      </c>
      <c r="B35" s="2">
        <v>2008</v>
      </c>
      <c r="C35">
        <v>3</v>
      </c>
      <c r="D35" s="3">
        <f>DNSPOntSourceData!E861</f>
        <v>52247.509760000001</v>
      </c>
      <c r="E35" s="5">
        <f>DNSPOntSourceData!F861</f>
        <v>1.078564603993923</v>
      </c>
      <c r="F35" s="3">
        <f>DNSPOntSourceData!G861</f>
        <v>1762.5129999999999</v>
      </c>
      <c r="G35" s="3">
        <f>DNSPOntSourceData!H861</f>
        <v>1901.048</v>
      </c>
      <c r="H35" s="3">
        <f>DNSPOntSourceData!I861</f>
        <v>314201</v>
      </c>
      <c r="I35" s="3">
        <f>DNSPOntSourceData!J861</f>
        <v>7591</v>
      </c>
      <c r="J35" s="3">
        <f>DNSPOntSourceData!K861</f>
        <v>4999</v>
      </c>
      <c r="K35" s="12">
        <f>DNSPOntSourceData!L861</f>
        <v>0.65854301146094063</v>
      </c>
      <c r="L35" s="15" t="s">
        <v>78</v>
      </c>
    </row>
    <row r="36" spans="1:12">
      <c r="A36">
        <v>3003</v>
      </c>
      <c r="B36">
        <v>2009</v>
      </c>
      <c r="C36">
        <v>3</v>
      </c>
      <c r="D36" s="3">
        <f>DNSPOntSourceData!E862</f>
        <v>54413.951179999996</v>
      </c>
      <c r="E36" s="5">
        <f>DNSPOntSourceData!F862</f>
        <v>1.0915070880241431</v>
      </c>
      <c r="F36" s="3">
        <f>DNSPOntSourceData!G862</f>
        <v>1762.8340000000001</v>
      </c>
      <c r="G36" s="3">
        <f>DNSPOntSourceData!H862</f>
        <v>1901.048</v>
      </c>
      <c r="H36" s="3">
        <f>DNSPOntSourceData!I862</f>
        <v>317914</v>
      </c>
      <c r="I36" s="3">
        <f>DNSPOntSourceData!J862</f>
        <v>7681</v>
      </c>
      <c r="J36" s="3">
        <f>DNSPOntSourceData!K862</f>
        <v>4926</v>
      </c>
      <c r="K36" s="12">
        <f>DNSPOntSourceData!L862</f>
        <v>0.64132274443431847</v>
      </c>
      <c r="L36" s="15" t="s">
        <v>78</v>
      </c>
    </row>
    <row r="37" spans="1:12">
      <c r="A37">
        <v>3003</v>
      </c>
      <c r="B37" s="2">
        <v>2010</v>
      </c>
      <c r="C37">
        <v>3</v>
      </c>
      <c r="D37" s="3">
        <f>DNSPOntSourceData!E863</f>
        <v>51331.97638273843</v>
      </c>
      <c r="E37" s="5">
        <f>DNSPOntSourceData!F863</f>
        <v>1.1243125351578573</v>
      </c>
      <c r="F37" s="3">
        <f>DNSPOntSourceData!G863</f>
        <v>1895.989</v>
      </c>
      <c r="G37" s="3">
        <f>DNSPOntSourceData!H863</f>
        <v>1901.048</v>
      </c>
      <c r="H37" s="3">
        <f>DNSPOntSourceData!I863</f>
        <v>325540</v>
      </c>
      <c r="I37" s="3">
        <f>DNSPOntSourceData!J863</f>
        <v>7381</v>
      </c>
      <c r="J37" s="3">
        <f>DNSPOntSourceData!K863</f>
        <v>4830</v>
      </c>
      <c r="K37" s="12">
        <f>DNSPOntSourceData!L863</f>
        <v>0.65438287494919389</v>
      </c>
      <c r="L37" s="15" t="s">
        <v>78</v>
      </c>
    </row>
    <row r="38" spans="1:12">
      <c r="A38">
        <v>3003</v>
      </c>
      <c r="B38">
        <v>2011</v>
      </c>
      <c r="C38">
        <v>3</v>
      </c>
      <c r="D38" s="3">
        <f>DNSPOntSourceData!E864</f>
        <v>54881.976237251925</v>
      </c>
      <c r="E38" s="5">
        <f>DNSPOntSourceData!F864</f>
        <v>1.1430978626415853</v>
      </c>
      <c r="F38" s="3">
        <f>DNSPOntSourceData!G864</f>
        <v>1961.144</v>
      </c>
      <c r="G38" s="3">
        <f>DNSPOntSourceData!H864</f>
        <v>1961.144</v>
      </c>
      <c r="H38" s="3">
        <f>DNSPOntSourceData!I864</f>
        <v>332993</v>
      </c>
      <c r="I38" s="3">
        <f>DNSPOntSourceData!J864</f>
        <v>7431</v>
      </c>
      <c r="J38" s="3">
        <f>DNSPOntSourceData!K864</f>
        <v>4847</v>
      </c>
      <c r="K38" s="12">
        <f>DNSPOntSourceData!L864</f>
        <v>0.65226752792356346</v>
      </c>
      <c r="L38" s="15" t="s">
        <v>78</v>
      </c>
    </row>
    <row r="39" spans="1:12">
      <c r="A39">
        <v>3003</v>
      </c>
      <c r="B39" s="2">
        <v>2012</v>
      </c>
      <c r="C39">
        <v>3</v>
      </c>
      <c r="D39" s="3">
        <f>DNSPOntSourceData!E865</f>
        <v>72205.853489759102</v>
      </c>
      <c r="E39" s="5">
        <f>DNSPOntSourceData!F865</f>
        <v>1.160126854517312</v>
      </c>
      <c r="F39" s="3">
        <f>DNSPOntSourceData!G865</f>
        <v>1940.7929999999999</v>
      </c>
      <c r="G39" s="3">
        <f>DNSPOntSourceData!H865</f>
        <v>1961.144</v>
      </c>
      <c r="H39" s="3">
        <f>DNSPOntSourceData!I865</f>
        <v>340343</v>
      </c>
      <c r="I39" s="3">
        <f>DNSPOntSourceData!J865</f>
        <v>7466</v>
      </c>
      <c r="J39" s="3">
        <f>DNSPOntSourceData!K865</f>
        <v>4944</v>
      </c>
      <c r="K39" s="12">
        <f>DNSPOntSourceData!L865</f>
        <v>0.66220198231984995</v>
      </c>
      <c r="L39" s="15" t="s">
        <v>78</v>
      </c>
    </row>
    <row r="40" spans="1:12">
      <c r="A40">
        <v>3003</v>
      </c>
      <c r="B40">
        <v>2013</v>
      </c>
      <c r="C40">
        <v>3</v>
      </c>
      <c r="D40" s="3">
        <f>DNSPOntSourceData!E866</f>
        <v>77277.916590000008</v>
      </c>
      <c r="E40" s="5">
        <f>DNSPOntSourceData!F866</f>
        <v>1.178602141578931</v>
      </c>
      <c r="F40" s="3">
        <f>DNSPOntSourceData!G866</f>
        <v>1971.7650000000001</v>
      </c>
      <c r="G40" s="3">
        <f>DNSPOntSourceData!H866</f>
        <v>1971.7650000000001</v>
      </c>
      <c r="H40" s="3">
        <f>DNSPOntSourceData!I866</f>
        <v>346618</v>
      </c>
      <c r="I40" s="3">
        <f>DNSPOntSourceData!J866</f>
        <v>7569</v>
      </c>
      <c r="J40" s="3">
        <f>DNSPOntSourceData!K866</f>
        <v>5034</v>
      </c>
      <c r="K40" s="12">
        <f>DNSPOntSourceData!L866</f>
        <v>0.66508125247720962</v>
      </c>
      <c r="L40" s="15" t="s">
        <v>78</v>
      </c>
    </row>
    <row r="41" spans="1:12">
      <c r="A41">
        <v>3003</v>
      </c>
      <c r="B41" s="2">
        <v>2014</v>
      </c>
      <c r="C41">
        <v>3</v>
      </c>
      <c r="D41" s="3">
        <f>DNSPOntSourceData!E867</f>
        <v>81488.866999999998</v>
      </c>
      <c r="E41" s="5">
        <f>DNSPOntSourceData!F867</f>
        <v>1.2030671041042156</v>
      </c>
      <c r="F41" s="3">
        <f>DNSPOntSourceData!G867</f>
        <v>1677.375</v>
      </c>
      <c r="G41" s="3">
        <f>DNSPOntSourceData!H867</f>
        <v>1971.7650000000001</v>
      </c>
      <c r="H41" s="3">
        <f>DNSPOntSourceData!I867</f>
        <v>353284</v>
      </c>
      <c r="I41" s="3">
        <f>DNSPOntSourceData!J867</f>
        <v>7601</v>
      </c>
      <c r="J41" s="3">
        <f>DNSPOntSourceData!K867</f>
        <v>5070</v>
      </c>
      <c r="K41" s="12">
        <f>DNSPOntSourceData!L867</f>
        <v>0.66701749769767138</v>
      </c>
      <c r="L41" s="15" t="s">
        <v>78</v>
      </c>
    </row>
    <row r="42" spans="1:12">
      <c r="A42">
        <v>3003</v>
      </c>
      <c r="B42">
        <v>2015</v>
      </c>
      <c r="C42">
        <v>3</v>
      </c>
      <c r="D42" s="3">
        <f>DNSPOntSourceData!E868</f>
        <v>87218.39</v>
      </c>
      <c r="E42" s="5">
        <f>DNSPOntSourceData!F868</f>
        <v>1.2312762402864634</v>
      </c>
      <c r="F42" s="3">
        <f>DNSPOntSourceData!G868</f>
        <v>1781.4839999999999</v>
      </c>
      <c r="G42" s="3">
        <f>DNSPOntSourceData!H868</f>
        <v>1971.7650000000001</v>
      </c>
      <c r="H42" s="3">
        <f>DNSPOntSourceData!I868</f>
        <v>358772</v>
      </c>
      <c r="I42" s="3">
        <f>DNSPOntSourceData!J868</f>
        <v>7662</v>
      </c>
      <c r="J42" s="3">
        <f>DNSPOntSourceData!K868</f>
        <v>5157</v>
      </c>
      <c r="K42" s="12">
        <f>DNSPOntSourceData!L868</f>
        <v>0.67306186374314803</v>
      </c>
      <c r="L42" s="15" t="s">
        <v>78</v>
      </c>
    </row>
    <row r="43" spans="1:12">
      <c r="A43">
        <v>3003</v>
      </c>
      <c r="B43" s="2">
        <v>2016</v>
      </c>
      <c r="C43">
        <v>3</v>
      </c>
      <c r="D43" s="3">
        <f>DNSPOntSourceData!E869</f>
        <v>86719.085359999997</v>
      </c>
      <c r="E43" s="5">
        <f>DNSPOntSourceData!F869</f>
        <v>1.2455044937824149</v>
      </c>
      <c r="F43" s="3">
        <f>DNSPOntSourceData!G869</f>
        <v>1874.8330000000001</v>
      </c>
      <c r="G43" s="3">
        <f>DNSPOntSourceData!H869</f>
        <v>1971.7650000000001</v>
      </c>
      <c r="H43" s="3">
        <f>DNSPOntSourceData!I869</f>
        <v>364505</v>
      </c>
      <c r="I43" s="3">
        <f>DNSPOntSourceData!J869</f>
        <v>7744</v>
      </c>
      <c r="J43" s="3">
        <f>DNSPOntSourceData!K869</f>
        <v>5240</v>
      </c>
      <c r="K43" s="12">
        <f>DNSPOntSourceData!L869</f>
        <v>0.67665289256198347</v>
      </c>
      <c r="L43" s="15" t="s">
        <v>78</v>
      </c>
    </row>
    <row r="44" spans="1:12">
      <c r="A44">
        <v>3004</v>
      </c>
      <c r="B44">
        <v>2005</v>
      </c>
      <c r="C44">
        <v>3</v>
      </c>
      <c r="D44" s="3">
        <f>DNSPOntSourceData!E513</f>
        <v>32817.707990000003</v>
      </c>
      <c r="E44" s="5">
        <f>DNSPOntSourceData!F513</f>
        <v>1</v>
      </c>
      <c r="F44" s="3">
        <f>DNSPOntSourceData!G513</f>
        <v>1464.855</v>
      </c>
      <c r="G44" s="3">
        <f>DNSPOntSourceData!H513</f>
        <v>1464.855</v>
      </c>
      <c r="H44" s="3">
        <f>DNSPOntSourceData!I513</f>
        <v>278581</v>
      </c>
      <c r="I44" s="3">
        <f>DNSPOntSourceData!J513</f>
        <v>5242</v>
      </c>
      <c r="J44" s="3">
        <f>DNSPOntSourceData!K513</f>
        <v>1924.0000000000002</v>
      </c>
      <c r="K44" s="12">
        <f>DNSPOntSourceData!L513</f>
        <v>0.36703548264021368</v>
      </c>
      <c r="L44" s="20" t="s">
        <v>55</v>
      </c>
    </row>
    <row r="45" spans="1:12">
      <c r="A45">
        <v>3004</v>
      </c>
      <c r="B45" s="2">
        <v>2006</v>
      </c>
      <c r="C45">
        <v>3</v>
      </c>
      <c r="D45" s="3">
        <f>DNSPOntSourceData!E514</f>
        <v>39694.751361499984</v>
      </c>
      <c r="E45" s="5">
        <f>DNSPOntSourceData!F514</f>
        <v>1.0181607380073696</v>
      </c>
      <c r="F45" s="3">
        <f>DNSPOntSourceData!G514</f>
        <v>1495.3030000000001</v>
      </c>
      <c r="G45" s="3">
        <f>DNSPOntSourceData!H514</f>
        <v>1495.3030000000001</v>
      </c>
      <c r="H45" s="3">
        <f>DNSPOntSourceData!I514</f>
        <v>282393</v>
      </c>
      <c r="I45" s="3">
        <f>DNSPOntSourceData!J514</f>
        <v>5451</v>
      </c>
      <c r="J45" s="3">
        <f>DNSPOntSourceData!K514</f>
        <v>2001</v>
      </c>
      <c r="K45" s="12">
        <f>DNSPOntSourceData!L514</f>
        <v>0.36708860759493672</v>
      </c>
      <c r="L45" s="20" t="s">
        <v>55</v>
      </c>
    </row>
    <row r="46" spans="1:12">
      <c r="A46">
        <v>3004</v>
      </c>
      <c r="B46">
        <v>2007</v>
      </c>
      <c r="C46">
        <v>3</v>
      </c>
      <c r="D46" s="3">
        <f>DNSPOntSourceData!E515</f>
        <v>40599.346184500006</v>
      </c>
      <c r="E46" s="5">
        <f>DNSPOntSourceData!F515</f>
        <v>1.0531931014872313</v>
      </c>
      <c r="F46" s="3">
        <f>DNSPOntSourceData!G515</f>
        <v>1425.095</v>
      </c>
      <c r="G46" s="3">
        <f>DNSPOntSourceData!H515</f>
        <v>1495.3030000000001</v>
      </c>
      <c r="H46" s="3">
        <f>DNSPOntSourceData!I515</f>
        <v>287006</v>
      </c>
      <c r="I46" s="3">
        <f>DNSPOntSourceData!J515</f>
        <v>5739</v>
      </c>
      <c r="J46" s="3">
        <f>DNSPOntSourceData!K515</f>
        <v>2841</v>
      </c>
      <c r="K46" s="12">
        <f>DNSPOntSourceData!L515</f>
        <v>0.49503397804495558</v>
      </c>
      <c r="L46" s="20" t="s">
        <v>55</v>
      </c>
    </row>
    <row r="47" spans="1:12">
      <c r="A47">
        <v>3004</v>
      </c>
      <c r="B47" s="2">
        <v>2008</v>
      </c>
      <c r="C47">
        <v>3</v>
      </c>
      <c r="D47" s="3">
        <f>DNSPOntSourceData!E516</f>
        <v>50450.13886050001</v>
      </c>
      <c r="E47" s="5">
        <f>DNSPOntSourceData!F516</f>
        <v>1.078564603993923</v>
      </c>
      <c r="F47" s="3">
        <f>DNSPOntSourceData!G516</f>
        <v>1355.421</v>
      </c>
      <c r="G47" s="3">
        <f>DNSPOntSourceData!H516</f>
        <v>1495.3030000000001</v>
      </c>
      <c r="H47" s="3">
        <f>DNSPOntSourceData!I516</f>
        <v>291639</v>
      </c>
      <c r="I47" s="3">
        <f>DNSPOntSourceData!J516</f>
        <v>5353</v>
      </c>
      <c r="J47" s="3">
        <f>DNSPOntSourceData!K516</f>
        <v>2623</v>
      </c>
      <c r="K47" s="12">
        <f>DNSPOntSourceData!L516</f>
        <v>0.4900056043340183</v>
      </c>
      <c r="L47" s="20" t="s">
        <v>55</v>
      </c>
    </row>
    <row r="48" spans="1:12">
      <c r="A48">
        <v>3004</v>
      </c>
      <c r="B48">
        <v>2009</v>
      </c>
      <c r="C48">
        <v>3</v>
      </c>
      <c r="D48" s="3">
        <f>DNSPOntSourceData!E517</f>
        <v>50099.746523999995</v>
      </c>
      <c r="E48" s="5">
        <f>DNSPOntSourceData!F517</f>
        <v>1.0915070880241431</v>
      </c>
      <c r="F48" s="3">
        <f>DNSPOntSourceData!G517</f>
        <v>1363.575</v>
      </c>
      <c r="G48" s="3">
        <f>DNSPOntSourceData!H517</f>
        <v>1495.3030000000001</v>
      </c>
      <c r="H48" s="3">
        <f>DNSPOntSourceData!I517</f>
        <v>296007</v>
      </c>
      <c r="I48" s="3">
        <f>DNSPOntSourceData!J517</f>
        <v>5387</v>
      </c>
      <c r="J48" s="3">
        <f>DNSPOntSourceData!K517</f>
        <v>2677</v>
      </c>
      <c r="K48" s="12">
        <f>DNSPOntSourceData!L517</f>
        <v>0.49693707072582144</v>
      </c>
      <c r="L48" s="20" t="s">
        <v>55</v>
      </c>
    </row>
    <row r="49" spans="1:12">
      <c r="A49">
        <v>3004</v>
      </c>
      <c r="B49" s="2">
        <v>2010</v>
      </c>
      <c r="C49">
        <v>3</v>
      </c>
      <c r="D49" s="3">
        <f>DNSPOntSourceData!E518</f>
        <v>52519.053272500001</v>
      </c>
      <c r="E49" s="5">
        <f>DNSPOntSourceData!F518</f>
        <v>1.1243125351578573</v>
      </c>
      <c r="F49" s="3">
        <f>DNSPOntSourceData!G518</f>
        <v>1518.1679999999999</v>
      </c>
      <c r="G49" s="3">
        <f>DNSPOntSourceData!H518</f>
        <v>1518.1679999999999</v>
      </c>
      <c r="H49" s="3">
        <f>DNSPOntSourceData!I518</f>
        <v>300664</v>
      </c>
      <c r="I49" s="3">
        <f>DNSPOntSourceData!J518</f>
        <v>5414</v>
      </c>
      <c r="J49" s="3">
        <f>DNSPOntSourceData!K518</f>
        <v>2721.0000000000005</v>
      </c>
      <c r="K49" s="12">
        <f>DNSPOntSourceData!L518</f>
        <v>0.50258588843738461</v>
      </c>
      <c r="L49" s="20" t="s">
        <v>55</v>
      </c>
    </row>
    <row r="50" spans="1:12">
      <c r="A50">
        <v>3004</v>
      </c>
      <c r="B50">
        <v>2011</v>
      </c>
      <c r="C50">
        <v>3</v>
      </c>
      <c r="D50" s="3">
        <f>DNSPOntSourceData!E519</f>
        <v>53053.012890099992</v>
      </c>
      <c r="E50" s="5">
        <f>DNSPOntSourceData!F519</f>
        <v>1.1430978626415853</v>
      </c>
      <c r="F50" s="3">
        <f>DNSPOntSourceData!G519</f>
        <v>1501.701</v>
      </c>
      <c r="G50" s="3">
        <f>DNSPOntSourceData!H519</f>
        <v>1518.1679999999999</v>
      </c>
      <c r="H50" s="3">
        <f>DNSPOntSourceData!I519</f>
        <v>305266</v>
      </c>
      <c r="I50" s="3">
        <f>DNSPOntSourceData!J519</f>
        <v>5606</v>
      </c>
      <c r="J50" s="3">
        <f>DNSPOntSourceData!K519</f>
        <v>2690</v>
      </c>
      <c r="K50" s="12">
        <f>DNSPOntSourceData!L519</f>
        <v>0.47984302533000356</v>
      </c>
      <c r="L50" s="20" t="s">
        <v>55</v>
      </c>
    </row>
    <row r="51" spans="1:12">
      <c r="A51">
        <v>3004</v>
      </c>
      <c r="B51" s="2">
        <v>2012</v>
      </c>
      <c r="C51">
        <v>3</v>
      </c>
      <c r="D51" s="3">
        <f>DNSPOntSourceData!E520</f>
        <v>69443.905366499996</v>
      </c>
      <c r="E51" s="5">
        <f>DNSPOntSourceData!F520</f>
        <v>1.160126854517312</v>
      </c>
      <c r="F51" s="3">
        <f>DNSPOntSourceData!G520</f>
        <v>1458.4970000000001</v>
      </c>
      <c r="G51" s="3">
        <f>DNSPOntSourceData!H520</f>
        <v>1518.1679999999999</v>
      </c>
      <c r="H51" s="3">
        <f>DNSPOntSourceData!I520</f>
        <v>309534</v>
      </c>
      <c r="I51" s="3">
        <f>DNSPOntSourceData!J520</f>
        <v>5658</v>
      </c>
      <c r="J51" s="3">
        <f>DNSPOntSourceData!K520</f>
        <v>2735</v>
      </c>
      <c r="K51" s="12">
        <f>DNSPOntSourceData!L520</f>
        <v>0.48338635560268645</v>
      </c>
      <c r="L51" s="20" t="s">
        <v>55</v>
      </c>
    </row>
    <row r="52" spans="1:12">
      <c r="A52">
        <v>3004</v>
      </c>
      <c r="B52">
        <v>2013</v>
      </c>
      <c r="C52">
        <v>3</v>
      </c>
      <c r="D52" s="3">
        <f>DNSPOntSourceData!E521</f>
        <v>70831.893209000002</v>
      </c>
      <c r="E52" s="5">
        <f>DNSPOntSourceData!F521</f>
        <v>1.178602141578931</v>
      </c>
      <c r="F52" s="3">
        <f>DNSPOntSourceData!G521</f>
        <v>1430.3030000000001</v>
      </c>
      <c r="G52" s="3">
        <f>DNSPOntSourceData!H521</f>
        <v>1518.1679999999999</v>
      </c>
      <c r="H52" s="3">
        <f>DNSPOntSourceData!I521</f>
        <v>314722</v>
      </c>
      <c r="I52" s="3">
        <f>DNSPOntSourceData!J521</f>
        <v>5484</v>
      </c>
      <c r="J52" s="3">
        <f>DNSPOntSourceData!K521</f>
        <v>2781</v>
      </c>
      <c r="K52" s="12">
        <f>DNSPOntSourceData!L521</f>
        <v>0.50711159737417943</v>
      </c>
      <c r="L52" s="20" t="s">
        <v>55</v>
      </c>
    </row>
    <row r="53" spans="1:12">
      <c r="A53">
        <v>3004</v>
      </c>
      <c r="B53" s="2">
        <v>2014</v>
      </c>
      <c r="C53">
        <v>3</v>
      </c>
      <c r="D53" s="3">
        <f>DNSPOntSourceData!E522</f>
        <v>75953.201000000001</v>
      </c>
      <c r="E53" s="5">
        <f>DNSPOntSourceData!F522</f>
        <v>1.2030671041042156</v>
      </c>
      <c r="F53" s="3">
        <f>DNSPOntSourceData!G522</f>
        <v>1307.6510000000001</v>
      </c>
      <c r="G53" s="3">
        <f>DNSPOntSourceData!H522</f>
        <v>1518.1679999999999</v>
      </c>
      <c r="H53" s="3">
        <f>DNSPOntSourceData!I522</f>
        <v>319536</v>
      </c>
      <c r="I53" s="3">
        <f>DNSPOntSourceData!J522</f>
        <v>5506</v>
      </c>
      <c r="J53" s="3">
        <f>DNSPOntSourceData!K522</f>
        <v>2802</v>
      </c>
      <c r="K53" s="12">
        <f>DNSPOntSourceData!L522</f>
        <v>0.50889938249182709</v>
      </c>
      <c r="L53" s="20" t="s">
        <v>55</v>
      </c>
    </row>
    <row r="54" spans="1:12">
      <c r="A54">
        <v>3004</v>
      </c>
      <c r="B54">
        <v>2015</v>
      </c>
      <c r="C54">
        <v>3</v>
      </c>
      <c r="D54" s="3">
        <f>DNSPOntSourceData!E523</f>
        <v>76651.195999999996</v>
      </c>
      <c r="E54" s="5">
        <f>DNSPOntSourceData!F523</f>
        <v>1.2312762402864634</v>
      </c>
      <c r="F54" s="3">
        <f>DNSPOntSourceData!G523</f>
        <v>1374.915</v>
      </c>
      <c r="G54" s="3">
        <f>DNSPOntSourceData!H523</f>
        <v>1518.1679999999999</v>
      </c>
      <c r="H54" s="3">
        <f>DNSPOntSourceData!I523</f>
        <v>323919</v>
      </c>
      <c r="I54" s="3">
        <f>DNSPOntSourceData!J523</f>
        <v>5572</v>
      </c>
      <c r="J54" s="3">
        <f>DNSPOntSourceData!K523</f>
        <v>2849</v>
      </c>
      <c r="K54" s="12">
        <f>DNSPOntSourceData!L523</f>
        <v>0.5113065326633166</v>
      </c>
      <c r="L54" s="20" t="s">
        <v>55</v>
      </c>
    </row>
    <row r="55" spans="1:12">
      <c r="A55">
        <v>3004</v>
      </c>
      <c r="B55" s="2">
        <v>2016</v>
      </c>
      <c r="C55">
        <v>3</v>
      </c>
      <c r="D55" s="3">
        <f>DNSPOntSourceData!E524</f>
        <v>77473.478329000005</v>
      </c>
      <c r="E55" s="5">
        <f>DNSPOntSourceData!F524</f>
        <v>1.2455044937824149</v>
      </c>
      <c r="F55" s="3">
        <f>DNSPOntSourceData!G524</f>
        <v>1391.443</v>
      </c>
      <c r="G55" s="3">
        <f>DNSPOntSourceData!H524</f>
        <v>1518.1679999999999</v>
      </c>
      <c r="H55" s="3">
        <f>DNSPOntSourceData!I524</f>
        <v>327880</v>
      </c>
      <c r="I55" s="3">
        <f>DNSPOntSourceData!J524</f>
        <v>5608</v>
      </c>
      <c r="J55" s="3">
        <f>DNSPOntSourceData!K524</f>
        <v>2887</v>
      </c>
      <c r="K55" s="12">
        <f>DNSPOntSourceData!L524</f>
        <v>0.51480028530670474</v>
      </c>
      <c r="L55" s="20" t="s">
        <v>55</v>
      </c>
    </row>
    <row r="56" spans="1:12">
      <c r="A56">
        <v>3004</v>
      </c>
      <c r="B56">
        <v>2017</v>
      </c>
      <c r="C56">
        <v>3</v>
      </c>
      <c r="D56" s="3">
        <f>DNSPOntSourceData!E525</f>
        <v>76585.426719499985</v>
      </c>
      <c r="E56" s="5">
        <f>DNSPOntSourceData!F525</f>
        <v>1.2674505553724562</v>
      </c>
      <c r="F56" s="3">
        <f>DNSPOntSourceData!G525</f>
        <v>1360.318</v>
      </c>
      <c r="G56" s="3">
        <f>DNSPOntSourceData!H525</f>
        <v>1518.1679999999999</v>
      </c>
      <c r="H56" s="3">
        <f>DNSPOntSourceData!I525</f>
        <v>331777</v>
      </c>
      <c r="I56" s="3">
        <f>DNSPOntSourceData!J525</f>
        <v>5712</v>
      </c>
      <c r="J56" s="3">
        <f>DNSPOntSourceData!K525</f>
        <v>2980</v>
      </c>
      <c r="K56" s="12">
        <f>DNSPOntSourceData!L525</f>
        <v>0.52170868347338939</v>
      </c>
      <c r="L56" s="20" t="s">
        <v>55</v>
      </c>
    </row>
    <row r="57" spans="1:12">
      <c r="A57">
        <v>3004</v>
      </c>
      <c r="B57" s="2">
        <v>2018</v>
      </c>
      <c r="C57">
        <v>3</v>
      </c>
      <c r="D57" s="3">
        <f>DNSPOntSourceData!E526</f>
        <v>81806.254579</v>
      </c>
      <c r="E57" s="5">
        <f>DNSPOntSourceData!F526</f>
        <v>1.2994718602728874</v>
      </c>
      <c r="F57" s="3">
        <f>DNSPOntSourceData!G526</f>
        <v>1441.3689999999999</v>
      </c>
      <c r="G57" s="3">
        <f>DNSPOntSourceData!H526</f>
        <v>1518.1679999999999</v>
      </c>
      <c r="H57" s="3">
        <f>DNSPOntSourceData!I526</f>
        <v>335320</v>
      </c>
      <c r="I57" s="3">
        <f>DNSPOntSourceData!J526</f>
        <v>5767</v>
      </c>
      <c r="J57" s="3">
        <f>DNSPOntSourceData!K526</f>
        <v>3022</v>
      </c>
      <c r="K57" s="12">
        <f>DNSPOntSourceData!L526</f>
        <v>0.52401595283509628</v>
      </c>
      <c r="L57" s="20" t="s">
        <v>55</v>
      </c>
    </row>
    <row r="58" spans="1:12">
      <c r="A58" s="142">
        <v>3004</v>
      </c>
      <c r="B58" s="142">
        <v>2019</v>
      </c>
      <c r="C58" s="142">
        <v>3</v>
      </c>
      <c r="D58" s="3">
        <f>DNSPOntSourceData!E527</f>
        <v>78332.370787500011</v>
      </c>
      <c r="E58" s="5">
        <f>DNSPOntSourceData!F527</f>
        <v>1.3352608354138498</v>
      </c>
      <c r="F58" s="3">
        <f>DNSPOntSourceData!G527</f>
        <v>1348.2149999999999</v>
      </c>
      <c r="G58" s="3">
        <f>DNSPOntSourceData!H527</f>
        <v>1518.1679999999999</v>
      </c>
      <c r="H58" s="3">
        <f>DNSPOntSourceData!I527</f>
        <v>339771</v>
      </c>
      <c r="I58" s="3">
        <f>DNSPOntSourceData!J527</f>
        <v>5836</v>
      </c>
      <c r="J58" s="3">
        <f>DNSPOntSourceData!K527</f>
        <v>3094</v>
      </c>
      <c r="K58" s="12">
        <f>DNSPOntSourceData!L527</f>
        <v>0.53015764222069905</v>
      </c>
      <c r="L58" s="20" t="s">
        <v>55</v>
      </c>
    </row>
    <row r="59" spans="1:12">
      <c r="A59">
        <v>3005</v>
      </c>
      <c r="B59">
        <v>2005</v>
      </c>
      <c r="C59">
        <v>3</v>
      </c>
      <c r="D59" s="3">
        <f>DNSPOntSourceData!E438</f>
        <v>36678.344129999998</v>
      </c>
      <c r="E59" s="5">
        <f>DNSPOntSourceData!F438</f>
        <v>1</v>
      </c>
      <c r="F59" s="3">
        <f>DNSPOntSourceData!G438</f>
        <v>1231.75389</v>
      </c>
      <c r="G59" s="3">
        <f>DNSPOntSourceData!H438</f>
        <v>1231.75389</v>
      </c>
      <c r="H59" s="3">
        <f>DNSPOntSourceData!I438</f>
        <v>230327</v>
      </c>
      <c r="I59" s="3">
        <f>DNSPOntSourceData!J438</f>
        <v>3273</v>
      </c>
      <c r="J59" s="3">
        <f>DNSPOntSourceData!K438</f>
        <v>1670</v>
      </c>
      <c r="K59" s="12">
        <f>DNSPOntSourceData!L438</f>
        <v>0.51023525817293003</v>
      </c>
      <c r="L59" s="20" t="s">
        <v>50</v>
      </c>
    </row>
    <row r="60" spans="1:12">
      <c r="A60">
        <v>3005</v>
      </c>
      <c r="B60" s="2">
        <v>2006</v>
      </c>
      <c r="C60">
        <v>3</v>
      </c>
      <c r="D60" s="3">
        <f>DNSPOntSourceData!E439</f>
        <v>31742.901739999998</v>
      </c>
      <c r="E60" s="5">
        <f>DNSPOntSourceData!F439</f>
        <v>1.0181607380073696</v>
      </c>
      <c r="F60" s="3">
        <f>DNSPOntSourceData!G439</f>
        <v>1125.9469999999999</v>
      </c>
      <c r="G60" s="3">
        <f>DNSPOntSourceData!H439</f>
        <v>1231.75389</v>
      </c>
      <c r="H60" s="3">
        <f>DNSPOntSourceData!I439</f>
        <v>231499</v>
      </c>
      <c r="I60" s="3">
        <f>DNSPOntSourceData!J439</f>
        <v>3265</v>
      </c>
      <c r="J60" s="3">
        <f>DNSPOntSourceData!K439</f>
        <v>1740</v>
      </c>
      <c r="K60" s="12">
        <f>DNSPOntSourceData!L439</f>
        <v>0.53292496171516079</v>
      </c>
      <c r="L60" s="20" t="s">
        <v>50</v>
      </c>
    </row>
    <row r="61" spans="1:12">
      <c r="A61">
        <v>3005</v>
      </c>
      <c r="B61">
        <v>2007</v>
      </c>
      <c r="C61">
        <v>3</v>
      </c>
      <c r="D61" s="3">
        <f>DNSPOntSourceData!E440</f>
        <v>35706.360049999996</v>
      </c>
      <c r="E61" s="5">
        <f>DNSPOntSourceData!F440</f>
        <v>1.0531931014872313</v>
      </c>
      <c r="F61" s="3">
        <f>DNSPOntSourceData!G440</f>
        <v>1161.8910000000001</v>
      </c>
      <c r="G61" s="3">
        <f>DNSPOntSourceData!H440</f>
        <v>1231.75389</v>
      </c>
      <c r="H61" s="3">
        <f>DNSPOntSourceData!I440</f>
        <v>232493</v>
      </c>
      <c r="I61" s="3">
        <f>DNSPOntSourceData!J440</f>
        <v>3343</v>
      </c>
      <c r="J61" s="3">
        <f>DNSPOntSourceData!K440</f>
        <v>1839</v>
      </c>
      <c r="K61" s="12">
        <f>DNSPOntSourceData!L440</f>
        <v>0.55010469638049653</v>
      </c>
      <c r="L61" s="20" t="s">
        <v>50</v>
      </c>
    </row>
    <row r="62" spans="1:12">
      <c r="A62">
        <v>3005</v>
      </c>
      <c r="B62" s="2">
        <v>2008</v>
      </c>
      <c r="C62">
        <v>3</v>
      </c>
      <c r="D62" s="3">
        <f>DNSPOntSourceData!E441</f>
        <v>39403.84145</v>
      </c>
      <c r="E62" s="5">
        <f>DNSPOntSourceData!F441</f>
        <v>1.078564603993923</v>
      </c>
      <c r="F62" s="3">
        <f>DNSPOntSourceData!G441</f>
        <v>1112.056</v>
      </c>
      <c r="G62" s="3">
        <f>DNSPOntSourceData!H441</f>
        <v>1231.75389</v>
      </c>
      <c r="H62" s="3">
        <f>DNSPOntSourceData!I441</f>
        <v>233947</v>
      </c>
      <c r="I62" s="3">
        <f>DNSPOntSourceData!J441</f>
        <v>3294</v>
      </c>
      <c r="J62" s="3">
        <f>DNSPOntSourceData!K441</f>
        <v>1775</v>
      </c>
      <c r="K62" s="12">
        <f>DNSPOntSourceData!L441</f>
        <v>0.53885853066180933</v>
      </c>
      <c r="L62" s="20" t="s">
        <v>50</v>
      </c>
    </row>
    <row r="63" spans="1:12">
      <c r="A63">
        <v>3005</v>
      </c>
      <c r="B63">
        <v>2009</v>
      </c>
      <c r="C63">
        <v>3</v>
      </c>
      <c r="D63" s="3">
        <f>DNSPOntSourceData!E442</f>
        <v>38749.504980000005</v>
      </c>
      <c r="E63" s="5">
        <f>DNSPOntSourceData!F442</f>
        <v>1.0915070880241431</v>
      </c>
      <c r="F63" s="3">
        <f>DNSPOntSourceData!G442</f>
        <v>1008.981</v>
      </c>
      <c r="G63" s="3">
        <f>DNSPOntSourceData!H442</f>
        <v>1231.75389</v>
      </c>
      <c r="H63" s="3">
        <f>DNSPOntSourceData!I442</f>
        <v>234666</v>
      </c>
      <c r="I63" s="3">
        <f>DNSPOntSourceData!J442</f>
        <v>3363</v>
      </c>
      <c r="J63" s="3">
        <f>DNSPOntSourceData!K442</f>
        <v>1842.9999999999998</v>
      </c>
      <c r="K63" s="12">
        <f>DNSPOntSourceData!L442</f>
        <v>0.54802259887005644</v>
      </c>
      <c r="L63" s="20" t="s">
        <v>50</v>
      </c>
    </row>
    <row r="64" spans="1:12">
      <c r="A64">
        <v>3005</v>
      </c>
      <c r="B64" s="2">
        <v>2010</v>
      </c>
      <c r="C64">
        <v>3</v>
      </c>
      <c r="D64" s="3">
        <f>DNSPOntSourceData!E443</f>
        <v>38438.683899999996</v>
      </c>
      <c r="E64" s="5">
        <f>DNSPOntSourceData!F443</f>
        <v>1.1243125351578573</v>
      </c>
      <c r="F64" s="3">
        <f>DNSPOntSourceData!G443</f>
        <v>1091.173</v>
      </c>
      <c r="G64" s="3">
        <f>DNSPOntSourceData!H443</f>
        <v>1231.75389</v>
      </c>
      <c r="H64" s="3">
        <f>DNSPOntSourceData!I443</f>
        <v>234464</v>
      </c>
      <c r="I64" s="3">
        <f>DNSPOntSourceData!J443</f>
        <v>3415</v>
      </c>
      <c r="J64" s="3">
        <f>DNSPOntSourceData!K443</f>
        <v>1872.0000000000002</v>
      </c>
      <c r="K64" s="12">
        <f>DNSPOntSourceData!L443</f>
        <v>0.54816983894582727</v>
      </c>
      <c r="L64" s="20" t="s">
        <v>50</v>
      </c>
    </row>
    <row r="65" spans="1:12">
      <c r="A65">
        <v>3005</v>
      </c>
      <c r="B65">
        <v>2011</v>
      </c>
      <c r="C65">
        <v>3</v>
      </c>
      <c r="D65" s="3">
        <f>DNSPOntSourceData!E444</f>
        <v>40825.300739999991</v>
      </c>
      <c r="E65" s="5">
        <f>DNSPOntSourceData!F444</f>
        <v>1.1430978626415853</v>
      </c>
      <c r="F65" s="3">
        <f>DNSPOntSourceData!G444</f>
        <v>1092.56</v>
      </c>
      <c r="G65" s="3">
        <f>DNSPOntSourceData!H444</f>
        <v>1231.75389</v>
      </c>
      <c r="H65" s="3">
        <f>DNSPOntSourceData!I444</f>
        <v>235327</v>
      </c>
      <c r="I65" s="3">
        <f>DNSPOntSourceData!J444</f>
        <v>3414</v>
      </c>
      <c r="J65" s="3">
        <f>DNSPOntSourceData!K444</f>
        <v>1891.0000000000002</v>
      </c>
      <c r="K65" s="12">
        <f>DNSPOntSourceData!L444</f>
        <v>0.55389572349150562</v>
      </c>
      <c r="L65" s="20" t="s">
        <v>50</v>
      </c>
    </row>
    <row r="66" spans="1:12">
      <c r="A66">
        <v>3005</v>
      </c>
      <c r="B66" s="2">
        <v>2012</v>
      </c>
      <c r="C66">
        <v>3</v>
      </c>
      <c r="D66" s="3">
        <f>DNSPOntSourceData!E445</f>
        <v>46250.267033030861</v>
      </c>
      <c r="E66" s="5">
        <f>DNSPOntSourceData!F445</f>
        <v>1.160126854517312</v>
      </c>
      <c r="F66" s="3">
        <f>DNSPOntSourceData!G445</f>
        <v>1088.675</v>
      </c>
      <c r="G66" s="3">
        <f>DNSPOntSourceData!H445</f>
        <v>1231.75389</v>
      </c>
      <c r="H66" s="3">
        <f>DNSPOntSourceData!I445</f>
        <v>237185</v>
      </c>
      <c r="I66" s="3">
        <f>DNSPOntSourceData!J445</f>
        <v>3428</v>
      </c>
      <c r="J66" s="3">
        <f>DNSPOntSourceData!K445</f>
        <v>1904</v>
      </c>
      <c r="K66" s="12">
        <f>DNSPOntSourceData!L445</f>
        <v>0.55542590431738625</v>
      </c>
      <c r="L66" s="20" t="s">
        <v>50</v>
      </c>
    </row>
    <row r="67" spans="1:12">
      <c r="A67">
        <v>3005</v>
      </c>
      <c r="B67">
        <v>2013</v>
      </c>
      <c r="C67">
        <v>3</v>
      </c>
      <c r="D67" s="3">
        <f>DNSPOntSourceData!E446</f>
        <v>53770.376680000001</v>
      </c>
      <c r="E67" s="5">
        <f>DNSPOntSourceData!F446</f>
        <v>1.178602141578931</v>
      </c>
      <c r="F67" s="3">
        <f>DNSPOntSourceData!G446</f>
        <v>1093.152</v>
      </c>
      <c r="G67" s="3">
        <f>DNSPOntSourceData!H446</f>
        <v>1231.75389</v>
      </c>
      <c r="H67" s="3">
        <f>DNSPOntSourceData!I446</f>
        <v>238777</v>
      </c>
      <c r="I67" s="3">
        <f>DNSPOntSourceData!J446</f>
        <v>3401</v>
      </c>
      <c r="J67" s="3">
        <f>DNSPOntSourceData!K446</f>
        <v>1898.9999999999998</v>
      </c>
      <c r="K67" s="12">
        <f>DNSPOntSourceData!L446</f>
        <v>0.55836518670979118</v>
      </c>
      <c r="L67" s="20" t="s">
        <v>50</v>
      </c>
    </row>
    <row r="68" spans="1:12">
      <c r="A68">
        <v>3005</v>
      </c>
      <c r="B68" s="2">
        <v>2014</v>
      </c>
      <c r="C68">
        <v>3</v>
      </c>
      <c r="D68" s="3">
        <f>DNSPOntSourceData!E447</f>
        <v>56905.305999999997</v>
      </c>
      <c r="E68" s="5">
        <f>DNSPOntSourceData!F447</f>
        <v>1.2030671041042156</v>
      </c>
      <c r="F68" s="3">
        <f>DNSPOntSourceData!G447</f>
        <v>944.10799999999995</v>
      </c>
      <c r="G68" s="3">
        <f>DNSPOntSourceData!H447</f>
        <v>1231.75389</v>
      </c>
      <c r="H68" s="3">
        <f>DNSPOntSourceData!I447</f>
        <v>240076</v>
      </c>
      <c r="I68" s="3">
        <f>DNSPOntSourceData!J447</f>
        <v>3473</v>
      </c>
      <c r="J68" s="3">
        <f>DNSPOntSourceData!K447</f>
        <v>1966</v>
      </c>
      <c r="K68" s="12">
        <f>DNSPOntSourceData!L447</f>
        <v>0.5660811978116902</v>
      </c>
      <c r="L68" s="20" t="s">
        <v>50</v>
      </c>
    </row>
    <row r="69" spans="1:12">
      <c r="A69">
        <v>3005</v>
      </c>
      <c r="B69">
        <v>2015</v>
      </c>
      <c r="C69">
        <v>3</v>
      </c>
      <c r="D69" s="3">
        <f>DNSPOntSourceData!E448</f>
        <v>61775.705999999998</v>
      </c>
      <c r="E69" s="5">
        <f>DNSPOntSourceData!F448</f>
        <v>1.2312762402864634</v>
      </c>
      <c r="F69" s="3">
        <f>DNSPOntSourceData!G448</f>
        <v>980.08699999999999</v>
      </c>
      <c r="G69" s="3">
        <f>DNSPOntSourceData!H448</f>
        <v>1231.75389</v>
      </c>
      <c r="H69" s="3">
        <f>DNSPOntSourceData!I448</f>
        <v>241986</v>
      </c>
      <c r="I69" s="3">
        <f>DNSPOntSourceData!J448</f>
        <v>3512</v>
      </c>
      <c r="J69" s="3">
        <f>DNSPOntSourceData!K448</f>
        <v>1985.9999999999998</v>
      </c>
      <c r="K69" s="12">
        <f>DNSPOntSourceData!L448</f>
        <v>0.56548974943052388</v>
      </c>
      <c r="L69" s="20" t="s">
        <v>50</v>
      </c>
    </row>
    <row r="70" spans="1:12">
      <c r="A70">
        <v>3005</v>
      </c>
      <c r="B70" s="2">
        <v>2016</v>
      </c>
      <c r="C70">
        <v>3</v>
      </c>
      <c r="D70" s="3">
        <f>DNSPOntSourceData!E449</f>
        <v>60084.978629999998</v>
      </c>
      <c r="E70" s="5">
        <f>DNSPOntSourceData!F449</f>
        <v>1.2455044937824149</v>
      </c>
      <c r="F70" s="3">
        <f>DNSPOntSourceData!G449</f>
        <v>1033.4739999999999</v>
      </c>
      <c r="G70" s="3">
        <f>DNSPOntSourceData!H449</f>
        <v>1231.75389</v>
      </c>
      <c r="H70" s="3">
        <f>DNSPOntSourceData!I449</f>
        <v>244114</v>
      </c>
      <c r="I70" s="3">
        <f>DNSPOntSourceData!J449</f>
        <v>3521</v>
      </c>
      <c r="J70" s="3">
        <f>DNSPOntSourceData!K449</f>
        <v>2001.0000000000002</v>
      </c>
      <c r="K70" s="12">
        <f>DNSPOntSourceData!L449</f>
        <v>0.56830445896052262</v>
      </c>
      <c r="L70" s="20" t="s">
        <v>50</v>
      </c>
    </row>
    <row r="71" spans="1:12">
      <c r="A71">
        <v>3006</v>
      </c>
      <c r="B71">
        <v>2005</v>
      </c>
      <c r="C71">
        <v>3</v>
      </c>
      <c r="D71" s="3">
        <f>DNSPOntSourceData!E228</f>
        <v>37243.069000000003</v>
      </c>
      <c r="E71" s="5">
        <f>DNSPOntSourceData!F228</f>
        <v>1</v>
      </c>
      <c r="F71" s="3">
        <f>DNSPOntSourceData!G228</f>
        <v>1570.2</v>
      </c>
      <c r="G71" s="3">
        <f>DNSPOntSourceData!H228</f>
        <v>1570.2</v>
      </c>
      <c r="H71" s="3">
        <f>DNSPOntSourceData!I228</f>
        <v>178140</v>
      </c>
      <c r="I71" s="3">
        <f>DNSPOntSourceData!J228</f>
        <v>5027</v>
      </c>
      <c r="J71" s="3">
        <f>DNSPOntSourceData!K228</f>
        <v>3312</v>
      </c>
      <c r="K71" s="12">
        <f>DNSPOntSourceData!L228</f>
        <v>0.65884225184006362</v>
      </c>
      <c r="L71" s="20" t="s">
        <v>37</v>
      </c>
    </row>
    <row r="72" spans="1:12">
      <c r="A72">
        <v>3006</v>
      </c>
      <c r="B72" s="2">
        <v>2006</v>
      </c>
      <c r="C72">
        <v>3</v>
      </c>
      <c r="D72" s="3">
        <f>DNSPOntSourceData!E229</f>
        <v>37928.324999999997</v>
      </c>
      <c r="E72" s="5">
        <f>DNSPOntSourceData!F229</f>
        <v>1.0181607380073696</v>
      </c>
      <c r="F72" s="3">
        <f>DNSPOntSourceData!G229</f>
        <v>1610.3</v>
      </c>
      <c r="G72" s="3">
        <f>DNSPOntSourceData!H229</f>
        <v>1610.3</v>
      </c>
      <c r="H72" s="3">
        <f>DNSPOntSourceData!I229</f>
        <v>182596</v>
      </c>
      <c r="I72" s="3">
        <f>DNSPOntSourceData!J229</f>
        <v>5092</v>
      </c>
      <c r="J72" s="3">
        <f>DNSPOntSourceData!K229</f>
        <v>3335</v>
      </c>
      <c r="K72" s="12">
        <f>DNSPOntSourceData!L229</f>
        <v>0.65494893951296151</v>
      </c>
      <c r="L72" s="20" t="s">
        <v>37</v>
      </c>
    </row>
    <row r="73" spans="1:12">
      <c r="A73">
        <v>3006</v>
      </c>
      <c r="B73">
        <v>2007</v>
      </c>
      <c r="C73">
        <v>3</v>
      </c>
      <c r="D73" s="3">
        <f>DNSPOntSourceData!E230</f>
        <v>42892.374000000003</v>
      </c>
      <c r="E73" s="5">
        <f>DNSPOntSourceData!F230</f>
        <v>1.0531931014872313</v>
      </c>
      <c r="F73" s="3">
        <f>DNSPOntSourceData!G230</f>
        <v>1556.9</v>
      </c>
      <c r="G73" s="3">
        <f>DNSPOntSourceData!H230</f>
        <v>1610.3</v>
      </c>
      <c r="H73" s="3">
        <f>DNSPOntSourceData!I230</f>
        <v>183715</v>
      </c>
      <c r="I73" s="3">
        <f>DNSPOntSourceData!J230</f>
        <v>5180</v>
      </c>
      <c r="J73" s="3">
        <f>DNSPOntSourceData!K230</f>
        <v>3381</v>
      </c>
      <c r="K73" s="12">
        <f>DNSPOntSourceData!L230</f>
        <v>0.6527027027027027</v>
      </c>
      <c r="L73" s="20" t="s">
        <v>37</v>
      </c>
    </row>
    <row r="74" spans="1:12">
      <c r="A74">
        <v>3006</v>
      </c>
      <c r="B74" s="2">
        <v>2008</v>
      </c>
      <c r="C74">
        <v>3</v>
      </c>
      <c r="D74" s="3">
        <f>DNSPOntSourceData!E231</f>
        <v>42259.512999999999</v>
      </c>
      <c r="E74" s="5">
        <f>DNSPOntSourceData!F231</f>
        <v>1.078564603993923</v>
      </c>
      <c r="F74" s="3">
        <f>DNSPOntSourceData!G231</f>
        <v>1507.9</v>
      </c>
      <c r="G74" s="3">
        <f>DNSPOntSourceData!H231</f>
        <v>1610.3</v>
      </c>
      <c r="H74" s="3">
        <f>DNSPOntSourceData!I231</f>
        <v>186929</v>
      </c>
      <c r="I74" s="3">
        <f>DNSPOntSourceData!J231</f>
        <v>5246</v>
      </c>
      <c r="J74" s="3">
        <f>DNSPOntSourceData!K231</f>
        <v>3430</v>
      </c>
      <c r="K74" s="12">
        <f>DNSPOntSourceData!L231</f>
        <v>0.65383149065955015</v>
      </c>
      <c r="L74" s="20" t="s">
        <v>37</v>
      </c>
    </row>
    <row r="75" spans="1:12">
      <c r="A75">
        <v>3006</v>
      </c>
      <c r="B75">
        <v>2009</v>
      </c>
      <c r="C75">
        <v>3</v>
      </c>
      <c r="D75" s="3">
        <f>DNSPOntSourceData!E232</f>
        <v>47489.950774598918</v>
      </c>
      <c r="E75" s="5">
        <f>DNSPOntSourceData!F232</f>
        <v>1.0915070880241431</v>
      </c>
      <c r="F75" s="3">
        <f>DNSPOntSourceData!G232</f>
        <v>1504</v>
      </c>
      <c r="G75" s="3">
        <f>DNSPOntSourceData!H232</f>
        <v>1610.3</v>
      </c>
      <c r="H75" s="3">
        <f>DNSPOntSourceData!I232</f>
        <v>189540</v>
      </c>
      <c r="I75" s="3">
        <f>DNSPOntSourceData!J232</f>
        <v>5300</v>
      </c>
      <c r="J75" s="3">
        <f>DNSPOntSourceData!K232</f>
        <v>3466</v>
      </c>
      <c r="K75" s="12">
        <f>DNSPOntSourceData!L232</f>
        <v>0.65396226415094338</v>
      </c>
      <c r="L75" s="20" t="s">
        <v>37</v>
      </c>
    </row>
    <row r="76" spans="1:12">
      <c r="A76">
        <v>3006</v>
      </c>
      <c r="B76" s="2">
        <v>2010</v>
      </c>
      <c r="C76">
        <v>3</v>
      </c>
      <c r="D76" s="3">
        <f>DNSPOntSourceData!E233</f>
        <v>41013.152000000002</v>
      </c>
      <c r="E76" s="5">
        <f>DNSPOntSourceData!F233</f>
        <v>1.1243125351578573</v>
      </c>
      <c r="F76" s="3">
        <f>DNSPOntSourceData!G233</f>
        <v>1546.6</v>
      </c>
      <c r="G76" s="3">
        <f>DNSPOntSourceData!H233</f>
        <v>1610.3</v>
      </c>
      <c r="H76" s="3">
        <f>DNSPOntSourceData!I233</f>
        <v>192960</v>
      </c>
      <c r="I76" s="3">
        <f>DNSPOntSourceData!J233</f>
        <v>5167</v>
      </c>
      <c r="J76" s="3">
        <f>DNSPOntSourceData!K233</f>
        <v>3360</v>
      </c>
      <c r="K76" s="12">
        <f>DNSPOntSourceData!L233</f>
        <v>0.65028062705631895</v>
      </c>
      <c r="L76" s="20" t="s">
        <v>37</v>
      </c>
    </row>
    <row r="77" spans="1:12">
      <c r="A77">
        <v>3006</v>
      </c>
      <c r="B77">
        <v>2011</v>
      </c>
      <c r="C77">
        <v>3</v>
      </c>
      <c r="D77" s="3">
        <f>DNSPOntSourceData!E234</f>
        <v>42768.101390000003</v>
      </c>
      <c r="E77" s="5">
        <f>DNSPOntSourceData!F234</f>
        <v>1.1430978626415853</v>
      </c>
      <c r="F77" s="3">
        <f>DNSPOntSourceData!G234</f>
        <v>1606.4939999999999</v>
      </c>
      <c r="G77" s="3">
        <f>DNSPOntSourceData!H234</f>
        <v>1610.3</v>
      </c>
      <c r="H77" s="3">
        <f>DNSPOntSourceData!I234</f>
        <v>195381</v>
      </c>
      <c r="I77" s="3">
        <f>DNSPOntSourceData!J234</f>
        <v>5163</v>
      </c>
      <c r="J77" s="3">
        <f>DNSPOntSourceData!K234</f>
        <v>3365.0000000000005</v>
      </c>
      <c r="K77" s="12">
        <f>DNSPOntSourceData!L234</f>
        <v>0.65175285686616313</v>
      </c>
      <c r="L77" s="20" t="s">
        <v>37</v>
      </c>
    </row>
    <row r="78" spans="1:12">
      <c r="A78">
        <v>3006</v>
      </c>
      <c r="B78" s="2">
        <v>2012</v>
      </c>
      <c r="C78">
        <v>3</v>
      </c>
      <c r="D78" s="3">
        <f>DNSPOntSourceData!E235</f>
        <v>50243.86911</v>
      </c>
      <c r="E78" s="5">
        <f>DNSPOntSourceData!F235</f>
        <v>1.160126854517312</v>
      </c>
      <c r="F78" s="3">
        <f>DNSPOntSourceData!G235</f>
        <v>1552.6849999999999</v>
      </c>
      <c r="G78" s="3">
        <f>DNSPOntSourceData!H235</f>
        <v>1610.3</v>
      </c>
      <c r="H78" s="3">
        <f>DNSPOntSourceData!I235</f>
        <v>197746</v>
      </c>
      <c r="I78" s="3">
        <f>DNSPOntSourceData!J235</f>
        <v>5168</v>
      </c>
      <c r="J78" s="3">
        <f>DNSPOntSourceData!K235</f>
        <v>3370</v>
      </c>
      <c r="K78" s="12">
        <f>DNSPOntSourceData!L235</f>
        <v>0.65208978328173373</v>
      </c>
      <c r="L78" s="20" t="s">
        <v>37</v>
      </c>
    </row>
    <row r="79" spans="1:12">
      <c r="A79">
        <v>3006</v>
      </c>
      <c r="B79">
        <v>2013</v>
      </c>
      <c r="C79">
        <v>3</v>
      </c>
      <c r="D79" s="3">
        <f>DNSPOntSourceData!E236</f>
        <v>52980.753739999993</v>
      </c>
      <c r="E79" s="5">
        <f>DNSPOntSourceData!F236</f>
        <v>1.178602141578931</v>
      </c>
      <c r="F79" s="3">
        <f>DNSPOntSourceData!G236</f>
        <v>1540.527</v>
      </c>
      <c r="G79" s="3">
        <f>DNSPOntSourceData!H236</f>
        <v>1610.3</v>
      </c>
      <c r="H79" s="3">
        <f>DNSPOntSourceData!I236</f>
        <v>199871</v>
      </c>
      <c r="I79" s="3">
        <f>DNSPOntSourceData!J236</f>
        <v>5174</v>
      </c>
      <c r="J79" s="3">
        <f>DNSPOntSourceData!K236</f>
        <v>3376</v>
      </c>
      <c r="K79" s="12">
        <f>DNSPOntSourceData!L236</f>
        <v>0.65249323540780824</v>
      </c>
      <c r="L79" s="20" t="s">
        <v>37</v>
      </c>
    </row>
    <row r="80" spans="1:12">
      <c r="A80">
        <v>3006</v>
      </c>
      <c r="B80" s="2">
        <v>2014</v>
      </c>
      <c r="C80">
        <v>3</v>
      </c>
      <c r="D80" s="3">
        <f>DNSPOntSourceData!E237</f>
        <v>50285.453000000001</v>
      </c>
      <c r="E80" s="5">
        <f>DNSPOntSourceData!F237</f>
        <v>1.2030671041042156</v>
      </c>
      <c r="F80" s="3">
        <f>DNSPOntSourceData!G237</f>
        <v>1350.1949999999999</v>
      </c>
      <c r="G80" s="3">
        <f>DNSPOntSourceData!H237</f>
        <v>1610.3</v>
      </c>
      <c r="H80" s="3">
        <f>DNSPOntSourceData!I237</f>
        <v>201359</v>
      </c>
      <c r="I80" s="3">
        <f>DNSPOntSourceData!J237</f>
        <v>5180</v>
      </c>
      <c r="J80" s="3">
        <f>DNSPOntSourceData!K237</f>
        <v>3386.0000000000005</v>
      </c>
      <c r="K80" s="12">
        <f>DNSPOntSourceData!L237</f>
        <v>0.65366795366795372</v>
      </c>
      <c r="L80" s="20" t="s">
        <v>37</v>
      </c>
    </row>
    <row r="81" spans="1:12">
      <c r="A81">
        <v>3006</v>
      </c>
      <c r="B81">
        <v>2015</v>
      </c>
      <c r="C81">
        <v>3</v>
      </c>
      <c r="D81" s="3">
        <f>DNSPOntSourceData!E238</f>
        <v>58060.012000000002</v>
      </c>
      <c r="E81" s="5">
        <f>DNSPOntSourceData!F238</f>
        <v>1.2312762402864634</v>
      </c>
      <c r="F81" s="3">
        <f>DNSPOntSourceData!G238</f>
        <v>1391.623</v>
      </c>
      <c r="G81" s="3">
        <f>DNSPOntSourceData!H238</f>
        <v>1610.3</v>
      </c>
      <c r="H81" s="3">
        <f>DNSPOntSourceData!I238</f>
        <v>203466</v>
      </c>
      <c r="I81" s="3">
        <f>DNSPOntSourceData!J238</f>
        <v>5203</v>
      </c>
      <c r="J81" s="3">
        <f>DNSPOntSourceData!K238</f>
        <v>3404</v>
      </c>
      <c r="K81" s="12">
        <f>DNSPOntSourceData!L238</f>
        <v>0.65423793965020183</v>
      </c>
      <c r="L81" s="20" t="s">
        <v>37</v>
      </c>
    </row>
    <row r="82" spans="1:12">
      <c r="A82">
        <v>3006</v>
      </c>
      <c r="B82" s="2">
        <v>2016</v>
      </c>
      <c r="C82">
        <v>3</v>
      </c>
      <c r="D82" s="3">
        <f>DNSPOntSourceData!E239</f>
        <v>60562.293410000006</v>
      </c>
      <c r="E82" s="5">
        <f>DNSPOntSourceData!F239</f>
        <v>1.2455044937824149</v>
      </c>
      <c r="F82" s="3">
        <f>DNSPOntSourceData!G239</f>
        <v>1455.239</v>
      </c>
      <c r="G82" s="3">
        <f>DNSPOntSourceData!H239</f>
        <v>1610.3</v>
      </c>
      <c r="H82" s="3">
        <f>DNSPOntSourceData!I239</f>
        <v>204728</v>
      </c>
      <c r="I82" s="3">
        <f>DNSPOntSourceData!J239</f>
        <v>5220</v>
      </c>
      <c r="J82" s="3">
        <f>DNSPOntSourceData!K239</f>
        <v>3416</v>
      </c>
      <c r="K82" s="12">
        <f>DNSPOntSourceData!L239</f>
        <v>0.65440613026819927</v>
      </c>
      <c r="L82" s="20" t="s">
        <v>37</v>
      </c>
    </row>
    <row r="83" spans="1:12">
      <c r="A83">
        <v>3007</v>
      </c>
      <c r="B83">
        <v>2005</v>
      </c>
      <c r="C83">
        <v>3</v>
      </c>
      <c r="D83" s="3">
        <f>DNSPOntSourceData!E618</f>
        <v>21011.03585</v>
      </c>
      <c r="E83" s="5">
        <f>DNSPOntSourceData!F618</f>
        <v>1</v>
      </c>
      <c r="F83" s="3">
        <f>DNSPOntSourceData!G618</f>
        <v>708.06299999999999</v>
      </c>
      <c r="G83" s="3">
        <f>DNSPOntSourceData!H618</f>
        <v>708.06299999999999</v>
      </c>
      <c r="H83" s="3">
        <f>DNSPOntSourceData!I618</f>
        <v>138046</v>
      </c>
      <c r="I83" s="3">
        <f>DNSPOntSourceData!J618</f>
        <v>2536</v>
      </c>
      <c r="J83" s="3">
        <f>DNSPOntSourceData!K618</f>
        <v>1280</v>
      </c>
      <c r="K83" s="12">
        <f>DNSPOntSourceData!L618</f>
        <v>0.50473186119873814</v>
      </c>
      <c r="L83" s="20" t="s">
        <v>62</v>
      </c>
    </row>
    <row r="84" spans="1:12">
      <c r="A84">
        <v>3007</v>
      </c>
      <c r="B84" s="2">
        <v>2006</v>
      </c>
      <c r="C84">
        <v>3</v>
      </c>
      <c r="D84" s="3">
        <f>DNSPOntSourceData!E619</f>
        <v>23004.940010000002</v>
      </c>
      <c r="E84" s="5">
        <f>DNSPOntSourceData!F619</f>
        <v>1.0181607380073696</v>
      </c>
      <c r="F84" s="3">
        <f>DNSPOntSourceData!G619</f>
        <v>719.375</v>
      </c>
      <c r="G84" s="3">
        <f>DNSPOntSourceData!H619</f>
        <v>719.375</v>
      </c>
      <c r="H84" s="3">
        <f>DNSPOntSourceData!I619</f>
        <v>140007</v>
      </c>
      <c r="I84" s="3">
        <f>DNSPOntSourceData!J619</f>
        <v>2568</v>
      </c>
      <c r="J84" s="3">
        <f>DNSPOntSourceData!K619</f>
        <v>1309</v>
      </c>
      <c r="K84" s="12">
        <f>DNSPOntSourceData!L619</f>
        <v>0.50973520249221183</v>
      </c>
      <c r="L84" s="20" t="s">
        <v>62</v>
      </c>
    </row>
    <row r="85" spans="1:12">
      <c r="A85">
        <v>3007</v>
      </c>
      <c r="B85">
        <v>2007</v>
      </c>
      <c r="C85">
        <v>3</v>
      </c>
      <c r="D85" s="3">
        <f>DNSPOntSourceData!E620</f>
        <v>24376.047779999997</v>
      </c>
      <c r="E85" s="5">
        <f>DNSPOntSourceData!F620</f>
        <v>1.0531931014872313</v>
      </c>
      <c r="F85" s="3">
        <f>DNSPOntSourceData!G620</f>
        <v>681.82500000000005</v>
      </c>
      <c r="G85" s="3">
        <f>DNSPOntSourceData!H620</f>
        <v>719.375</v>
      </c>
      <c r="H85" s="3">
        <f>DNSPOntSourceData!I620</f>
        <v>142105</v>
      </c>
      <c r="I85" s="3">
        <f>DNSPOntSourceData!J620</f>
        <v>2609</v>
      </c>
      <c r="J85" s="3">
        <f>DNSPOntSourceData!K620</f>
        <v>1335</v>
      </c>
      <c r="K85" s="12">
        <f>DNSPOntSourceData!L620</f>
        <v>0.51169030279800687</v>
      </c>
      <c r="L85" s="20" t="s">
        <v>62</v>
      </c>
    </row>
    <row r="86" spans="1:12">
      <c r="A86">
        <v>3007</v>
      </c>
      <c r="B86" s="2">
        <v>2008</v>
      </c>
      <c r="C86">
        <v>3</v>
      </c>
      <c r="D86" s="3">
        <f>DNSPOntSourceData!E621</f>
        <v>26118.82013</v>
      </c>
      <c r="E86" s="5">
        <f>DNSPOntSourceData!F621</f>
        <v>1.078564603993923</v>
      </c>
      <c r="F86" s="3">
        <f>DNSPOntSourceData!G621</f>
        <v>659.56399999999996</v>
      </c>
      <c r="G86" s="3">
        <f>DNSPOntSourceData!H621</f>
        <v>719.375</v>
      </c>
      <c r="H86" s="3">
        <f>DNSPOntSourceData!I621</f>
        <v>143797</v>
      </c>
      <c r="I86" s="3">
        <f>DNSPOntSourceData!J621</f>
        <v>2781</v>
      </c>
      <c r="J86" s="3">
        <f>DNSPOntSourceData!K621</f>
        <v>1411.9999999999998</v>
      </c>
      <c r="K86" s="12">
        <f>DNSPOntSourceData!L621</f>
        <v>0.50773103200287661</v>
      </c>
      <c r="L86" s="20" t="s">
        <v>62</v>
      </c>
    </row>
    <row r="87" spans="1:12">
      <c r="A87">
        <v>3007</v>
      </c>
      <c r="B87">
        <v>2009</v>
      </c>
      <c r="C87">
        <v>3</v>
      </c>
      <c r="D87" s="3">
        <f>DNSPOntSourceData!E622</f>
        <v>26547.183299999997</v>
      </c>
      <c r="E87" s="5">
        <f>DNSPOntSourceData!F622</f>
        <v>1.0915070880241431</v>
      </c>
      <c r="F87" s="3">
        <f>DNSPOntSourceData!G622</f>
        <v>662.41800000000001</v>
      </c>
      <c r="G87" s="3">
        <f>DNSPOntSourceData!H622</f>
        <v>719.375</v>
      </c>
      <c r="H87" s="3">
        <f>DNSPOntSourceData!I622</f>
        <v>145298</v>
      </c>
      <c r="I87" s="3">
        <f>DNSPOntSourceData!J622</f>
        <v>2705</v>
      </c>
      <c r="J87" s="3">
        <f>DNSPOntSourceData!K622</f>
        <v>1382</v>
      </c>
      <c r="K87" s="12">
        <f>DNSPOntSourceData!L622</f>
        <v>0.51090573012939</v>
      </c>
      <c r="L87" s="20" t="s">
        <v>62</v>
      </c>
    </row>
    <row r="88" spans="1:12">
      <c r="A88">
        <v>3007</v>
      </c>
      <c r="B88" s="2">
        <v>2010</v>
      </c>
      <c r="C88">
        <v>3</v>
      </c>
      <c r="D88" s="3">
        <f>DNSPOntSourceData!E623</f>
        <v>28760.403079999996</v>
      </c>
      <c r="E88" s="5">
        <f>DNSPOntSourceData!F623</f>
        <v>1.1243125351578573</v>
      </c>
      <c r="F88" s="3">
        <f>DNSPOntSourceData!G623</f>
        <v>687.625</v>
      </c>
      <c r="G88" s="3">
        <f>DNSPOntSourceData!H623</f>
        <v>719.375</v>
      </c>
      <c r="H88" s="3">
        <f>DNSPOntSourceData!I623</f>
        <v>146974</v>
      </c>
      <c r="I88" s="3">
        <f>DNSPOntSourceData!J623</f>
        <v>2774</v>
      </c>
      <c r="J88" s="3">
        <f>DNSPOntSourceData!K623</f>
        <v>1410</v>
      </c>
      <c r="K88" s="12">
        <f>DNSPOntSourceData!L623</f>
        <v>0.50829127613554437</v>
      </c>
      <c r="L88" s="20" t="s">
        <v>62</v>
      </c>
    </row>
    <row r="89" spans="1:12">
      <c r="A89">
        <v>3007</v>
      </c>
      <c r="B89">
        <v>2011</v>
      </c>
      <c r="C89">
        <v>3</v>
      </c>
      <c r="D89" s="3">
        <f>DNSPOntSourceData!E624</f>
        <v>30095.686240000003</v>
      </c>
      <c r="E89" s="5">
        <f>DNSPOntSourceData!F624</f>
        <v>1.1430978626415853</v>
      </c>
      <c r="F89" s="3">
        <f>DNSPOntSourceData!G624</f>
        <v>717.15499999999997</v>
      </c>
      <c r="G89" s="3">
        <f>DNSPOntSourceData!H624</f>
        <v>719.375</v>
      </c>
      <c r="H89" s="3">
        <f>DNSPOntSourceData!I624</f>
        <v>148331</v>
      </c>
      <c r="I89" s="3">
        <f>DNSPOntSourceData!J624</f>
        <v>2820</v>
      </c>
      <c r="J89" s="3">
        <f>DNSPOntSourceData!K624</f>
        <v>1457.0000000000002</v>
      </c>
      <c r="K89" s="12">
        <f>DNSPOntSourceData!L624</f>
        <v>0.51666666666666672</v>
      </c>
      <c r="L89" s="20" t="s">
        <v>62</v>
      </c>
    </row>
    <row r="90" spans="1:12">
      <c r="A90">
        <v>3007</v>
      </c>
      <c r="B90" s="2">
        <v>2012</v>
      </c>
      <c r="C90">
        <v>3</v>
      </c>
      <c r="D90" s="3">
        <f>DNSPOntSourceData!E625</f>
        <v>29512.195462994259</v>
      </c>
      <c r="E90" s="5">
        <f>DNSPOntSourceData!F625</f>
        <v>1.160126854517312</v>
      </c>
      <c r="F90" s="3">
        <f>DNSPOntSourceData!G625</f>
        <v>693.26800000000003</v>
      </c>
      <c r="G90" s="3">
        <f>DNSPOntSourceData!H625</f>
        <v>719.375</v>
      </c>
      <c r="H90" s="3">
        <f>DNSPOntSourceData!I625</f>
        <v>149742</v>
      </c>
      <c r="I90" s="3">
        <f>DNSPOntSourceData!J625</f>
        <v>2842</v>
      </c>
      <c r="J90" s="3">
        <f>DNSPOntSourceData!K625</f>
        <v>1480.0000000000002</v>
      </c>
      <c r="K90" s="12">
        <f>DNSPOntSourceData!L625</f>
        <v>0.52076002814919076</v>
      </c>
      <c r="L90" s="20" t="s">
        <v>62</v>
      </c>
    </row>
    <row r="91" spans="1:12">
      <c r="A91">
        <v>3007</v>
      </c>
      <c r="B91">
        <v>2013</v>
      </c>
      <c r="C91">
        <v>3</v>
      </c>
      <c r="D91" s="3">
        <f>DNSPOntSourceData!E626</f>
        <v>30754.942089999997</v>
      </c>
      <c r="E91" s="5">
        <f>DNSPOntSourceData!F626</f>
        <v>1.178602141578931</v>
      </c>
      <c r="F91" s="3">
        <f>DNSPOntSourceData!G626</f>
        <v>713.07299999999998</v>
      </c>
      <c r="G91" s="3">
        <f>DNSPOntSourceData!H626</f>
        <v>719.375</v>
      </c>
      <c r="H91" s="3">
        <f>DNSPOntSourceData!I626</f>
        <v>150917</v>
      </c>
      <c r="I91" s="3">
        <f>DNSPOntSourceData!J626</f>
        <v>2881</v>
      </c>
      <c r="J91" s="3">
        <f>DNSPOntSourceData!K626</f>
        <v>1507.0000000000002</v>
      </c>
      <c r="K91" s="12">
        <f>DNSPOntSourceData!L626</f>
        <v>0.52308226310308925</v>
      </c>
      <c r="L91" s="20" t="s">
        <v>62</v>
      </c>
    </row>
    <row r="92" spans="1:12">
      <c r="A92">
        <v>3007</v>
      </c>
      <c r="B92" s="2">
        <v>2014</v>
      </c>
      <c r="C92">
        <v>3</v>
      </c>
      <c r="D92" s="3">
        <f>DNSPOntSourceData!E627</f>
        <v>31012.257000000001</v>
      </c>
      <c r="E92" s="5">
        <f>DNSPOntSourceData!F627</f>
        <v>1.2030671041042156</v>
      </c>
      <c r="F92" s="3">
        <f>DNSPOntSourceData!G627</f>
        <v>646.07500000000005</v>
      </c>
      <c r="G92" s="3">
        <f>DNSPOntSourceData!H627</f>
        <v>719.375</v>
      </c>
      <c r="H92" s="3">
        <f>DNSPOntSourceData!I627</f>
        <v>152544</v>
      </c>
      <c r="I92" s="3">
        <f>DNSPOntSourceData!J627</f>
        <v>2916</v>
      </c>
      <c r="J92" s="3">
        <f>DNSPOntSourceData!K627</f>
        <v>1537</v>
      </c>
      <c r="K92" s="12">
        <f>DNSPOntSourceData!L627</f>
        <v>0.52709190672153639</v>
      </c>
      <c r="L92" s="20" t="s">
        <v>62</v>
      </c>
    </row>
    <row r="93" spans="1:12">
      <c r="A93">
        <v>3007</v>
      </c>
      <c r="B93">
        <v>2015</v>
      </c>
      <c r="C93">
        <v>3</v>
      </c>
      <c r="D93" s="3">
        <f>DNSPOntSourceData!E628</f>
        <v>33285.766000000003</v>
      </c>
      <c r="E93" s="5">
        <f>DNSPOntSourceData!F628</f>
        <v>1.2312762402864634</v>
      </c>
      <c r="F93" s="3">
        <f>DNSPOntSourceData!G628</f>
        <v>638.01700000000005</v>
      </c>
      <c r="G93" s="3">
        <f>DNSPOntSourceData!H628</f>
        <v>719.375</v>
      </c>
      <c r="H93" s="3">
        <f>DNSPOntSourceData!I628</f>
        <v>153947</v>
      </c>
      <c r="I93" s="3">
        <f>DNSPOntSourceData!J628</f>
        <v>2866</v>
      </c>
      <c r="J93" s="3">
        <f>DNSPOntSourceData!K628</f>
        <v>1498.9999999999998</v>
      </c>
      <c r="K93" s="12">
        <f>DNSPOntSourceData!L628</f>
        <v>0.52302861130495459</v>
      </c>
      <c r="L93" s="20" t="s">
        <v>62</v>
      </c>
    </row>
    <row r="94" spans="1:12">
      <c r="A94">
        <v>3007</v>
      </c>
      <c r="B94" s="2">
        <v>2016</v>
      </c>
      <c r="C94">
        <v>3</v>
      </c>
      <c r="D94" s="3">
        <f>DNSPOntSourceData!E629</f>
        <v>34906.074070000002</v>
      </c>
      <c r="E94" s="5">
        <f>DNSPOntSourceData!F629</f>
        <v>1.2455044937824149</v>
      </c>
      <c r="F94" s="3">
        <f>DNSPOntSourceData!G629</f>
        <v>683.79</v>
      </c>
      <c r="G94" s="3">
        <f>DNSPOntSourceData!H629</f>
        <v>719.375</v>
      </c>
      <c r="H94" s="3">
        <f>DNSPOntSourceData!I629</f>
        <v>155496</v>
      </c>
      <c r="I94" s="3">
        <f>DNSPOntSourceData!J629</f>
        <v>2864</v>
      </c>
      <c r="J94" s="3">
        <f>DNSPOntSourceData!K629</f>
        <v>1492</v>
      </c>
      <c r="K94" s="12">
        <f>DNSPOntSourceData!L629</f>
        <v>0.52094972067039103</v>
      </c>
      <c r="L94" s="20" t="s">
        <v>62</v>
      </c>
    </row>
    <row r="95" spans="1:12">
      <c r="A95">
        <v>3007</v>
      </c>
      <c r="B95">
        <v>2017</v>
      </c>
      <c r="C95">
        <v>3</v>
      </c>
      <c r="D95" s="3">
        <f>DNSPOntSourceData!E630</f>
        <v>35729.769309999996</v>
      </c>
      <c r="E95" s="5">
        <f>DNSPOntSourceData!F630</f>
        <v>1.2674505553724562</v>
      </c>
      <c r="F95" s="3">
        <f>DNSPOntSourceData!G630</f>
        <v>633.60400000000004</v>
      </c>
      <c r="G95" s="3">
        <f>DNSPOntSourceData!H630</f>
        <v>719.375</v>
      </c>
      <c r="H95" s="3">
        <f>DNSPOntSourceData!I630</f>
        <v>157188</v>
      </c>
      <c r="I95" s="3">
        <f>DNSPOntSourceData!J630</f>
        <v>2884</v>
      </c>
      <c r="J95" s="3">
        <f>DNSPOntSourceData!K630</f>
        <v>1518</v>
      </c>
      <c r="K95" s="12">
        <f>DNSPOntSourceData!L630</f>
        <v>0.52635228848821081</v>
      </c>
      <c r="L95" s="20" t="s">
        <v>62</v>
      </c>
    </row>
    <row r="96" spans="1:12">
      <c r="A96">
        <v>3007</v>
      </c>
      <c r="B96" s="2">
        <v>2018</v>
      </c>
      <c r="C96">
        <v>3</v>
      </c>
      <c r="D96" s="3">
        <f>DNSPOntSourceData!E631</f>
        <v>37400.593800000002</v>
      </c>
      <c r="E96" s="5">
        <f>DNSPOntSourceData!F631</f>
        <v>1.2994718602728874</v>
      </c>
      <c r="F96" s="3">
        <f>DNSPOntSourceData!G631</f>
        <v>689.99300000000005</v>
      </c>
      <c r="G96" s="3">
        <f>DNSPOntSourceData!H631</f>
        <v>719.375</v>
      </c>
      <c r="H96" s="3">
        <f>DNSPOntSourceData!I631</f>
        <v>159039</v>
      </c>
      <c r="I96" s="3">
        <f>DNSPOntSourceData!J631</f>
        <v>3034</v>
      </c>
      <c r="J96" s="3">
        <f>DNSPOntSourceData!K631</f>
        <v>1651</v>
      </c>
      <c r="K96" s="12">
        <f>DNSPOntSourceData!L631</f>
        <v>0.54416611733684905</v>
      </c>
      <c r="L96" s="20" t="s">
        <v>62</v>
      </c>
    </row>
    <row r="97" spans="1:12">
      <c r="A97" s="142">
        <v>3007</v>
      </c>
      <c r="B97" s="142">
        <v>2019</v>
      </c>
      <c r="C97" s="142">
        <v>3</v>
      </c>
      <c r="D97" s="3">
        <f>DNSPOntSourceData!E632</f>
        <v>37864.464180000003</v>
      </c>
      <c r="E97" s="5">
        <f>DNSPOntSourceData!F632</f>
        <v>1.3352608354138498</v>
      </c>
      <c r="F97" s="3">
        <f>DNSPOntSourceData!G632</f>
        <v>647.50599999999997</v>
      </c>
      <c r="G97" s="3">
        <f>DNSPOntSourceData!H632</f>
        <v>719.375</v>
      </c>
      <c r="H97" s="3">
        <f>DNSPOntSourceData!I632</f>
        <v>160598</v>
      </c>
      <c r="I97" s="3">
        <f>DNSPOntSourceData!J632</f>
        <v>3060</v>
      </c>
      <c r="J97" s="3">
        <f>DNSPOntSourceData!K632</f>
        <v>1667</v>
      </c>
      <c r="K97" s="12">
        <f>DNSPOntSourceData!L632</f>
        <v>0.54477124183006531</v>
      </c>
      <c r="L97" s="20" t="s">
        <v>62</v>
      </c>
    </row>
    <row r="98" spans="1:12">
      <c r="A98">
        <v>3008</v>
      </c>
      <c r="B98">
        <v>2005</v>
      </c>
      <c r="C98">
        <v>3</v>
      </c>
      <c r="D98" s="3">
        <f>DNSPOntSourceData!E483</f>
        <v>13233.34274</v>
      </c>
      <c r="E98" s="5">
        <f>DNSPOntSourceData!F483</f>
        <v>1</v>
      </c>
      <c r="F98" s="3">
        <f>DNSPOntSourceData!G483</f>
        <v>731.2</v>
      </c>
      <c r="G98" s="3">
        <f>DNSPOntSourceData!H483</f>
        <v>731.2</v>
      </c>
      <c r="H98" s="3">
        <f>DNSPOntSourceData!I483</f>
        <v>116166</v>
      </c>
      <c r="I98" s="3">
        <f>DNSPOntSourceData!J483</f>
        <v>2486</v>
      </c>
      <c r="J98" s="3">
        <f>DNSPOntSourceData!K483</f>
        <v>1723</v>
      </c>
      <c r="K98" s="12">
        <f>DNSPOntSourceData!L483</f>
        <v>0.69308125502815765</v>
      </c>
      <c r="L98" s="20" t="s">
        <v>53</v>
      </c>
    </row>
    <row r="99" spans="1:12">
      <c r="A99">
        <v>3008</v>
      </c>
      <c r="B99" s="2">
        <v>2006</v>
      </c>
      <c r="C99">
        <v>3</v>
      </c>
      <c r="D99" s="3">
        <f>DNSPOntSourceData!E484</f>
        <v>15027.44598</v>
      </c>
      <c r="E99" s="5">
        <f>DNSPOntSourceData!F484</f>
        <v>1.0181607380073696</v>
      </c>
      <c r="F99" s="3">
        <f>DNSPOntSourceData!G484</f>
        <v>784.9</v>
      </c>
      <c r="G99" s="3">
        <f>DNSPOntSourceData!H484</f>
        <v>784.9</v>
      </c>
      <c r="H99" s="3">
        <f>DNSPOntSourceData!I484</f>
        <v>120364</v>
      </c>
      <c r="I99" s="3">
        <f>DNSPOntSourceData!J484</f>
        <v>2601</v>
      </c>
      <c r="J99" s="3">
        <f>DNSPOntSourceData!K484</f>
        <v>1816</v>
      </c>
      <c r="K99" s="12">
        <f>DNSPOntSourceData!L484</f>
        <v>0.6981930026912726</v>
      </c>
      <c r="L99" s="20" t="s">
        <v>53</v>
      </c>
    </row>
    <row r="100" spans="1:12">
      <c r="A100">
        <v>3008</v>
      </c>
      <c r="B100">
        <v>2007</v>
      </c>
      <c r="C100">
        <v>3</v>
      </c>
      <c r="D100" s="3">
        <f>DNSPOntSourceData!E485</f>
        <v>15166.237430000001</v>
      </c>
      <c r="E100" s="5">
        <f>DNSPOntSourceData!F485</f>
        <v>1.0531931014872313</v>
      </c>
      <c r="F100" s="3">
        <f>DNSPOntSourceData!G485</f>
        <v>772.1</v>
      </c>
      <c r="G100" s="3">
        <f>DNSPOntSourceData!H485</f>
        <v>784.9</v>
      </c>
      <c r="H100" s="3">
        <f>DNSPOntSourceData!I485</f>
        <v>126026</v>
      </c>
      <c r="I100" s="3">
        <f>DNSPOntSourceData!J485</f>
        <v>2702</v>
      </c>
      <c r="J100" s="3">
        <f>DNSPOntSourceData!K485</f>
        <v>1902</v>
      </c>
      <c r="K100" s="12">
        <f>DNSPOntSourceData!L485</f>
        <v>0.70392301998519613</v>
      </c>
      <c r="L100" s="20" t="s">
        <v>53</v>
      </c>
    </row>
    <row r="101" spans="1:12">
      <c r="A101">
        <v>3008</v>
      </c>
      <c r="B101" s="2">
        <v>2008</v>
      </c>
      <c r="C101">
        <v>3</v>
      </c>
      <c r="D101" s="3">
        <f>DNSPOntSourceData!E486</f>
        <v>17647.425670000001</v>
      </c>
      <c r="E101" s="5">
        <f>DNSPOntSourceData!F486</f>
        <v>1.078564603993923</v>
      </c>
      <c r="F101" s="3">
        <f>DNSPOntSourceData!G486</f>
        <v>729</v>
      </c>
      <c r="G101" s="3">
        <f>DNSPOntSourceData!H486</f>
        <v>784.9</v>
      </c>
      <c r="H101" s="3">
        <f>DNSPOntSourceData!I486</f>
        <v>129585</v>
      </c>
      <c r="I101" s="3">
        <f>DNSPOntSourceData!J486</f>
        <v>2744</v>
      </c>
      <c r="J101" s="3">
        <f>DNSPOntSourceData!K486</f>
        <v>1938</v>
      </c>
      <c r="K101" s="12">
        <f>DNSPOntSourceData!L486</f>
        <v>0.70626822157434399</v>
      </c>
      <c r="L101" s="20" t="s">
        <v>53</v>
      </c>
    </row>
    <row r="102" spans="1:12">
      <c r="A102">
        <v>3008</v>
      </c>
      <c r="B102">
        <v>2009</v>
      </c>
      <c r="C102">
        <v>3</v>
      </c>
      <c r="D102" s="3">
        <f>DNSPOntSourceData!E487</f>
        <v>16525.952000000001</v>
      </c>
      <c r="E102" s="5">
        <f>DNSPOntSourceData!F487</f>
        <v>1.0915070880241431</v>
      </c>
      <c r="F102" s="3">
        <f>DNSPOntSourceData!G487</f>
        <v>737.02599999999995</v>
      </c>
      <c r="G102" s="3">
        <f>DNSPOntSourceData!H487</f>
        <v>784.9</v>
      </c>
      <c r="H102" s="3">
        <f>DNSPOntSourceData!I487</f>
        <v>131027</v>
      </c>
      <c r="I102" s="3">
        <f>DNSPOntSourceData!J487</f>
        <v>2778</v>
      </c>
      <c r="J102" s="3">
        <f>DNSPOntSourceData!K487</f>
        <v>1959</v>
      </c>
      <c r="K102" s="12">
        <f>DNSPOntSourceData!L487</f>
        <v>0.70518358531317493</v>
      </c>
      <c r="L102" s="20" t="s">
        <v>53</v>
      </c>
    </row>
    <row r="103" spans="1:12">
      <c r="A103">
        <v>3008</v>
      </c>
      <c r="B103" s="2">
        <v>2010</v>
      </c>
      <c r="C103">
        <v>3</v>
      </c>
      <c r="D103" s="3">
        <f>DNSPOntSourceData!E488</f>
        <v>18008.623330000002</v>
      </c>
      <c r="E103" s="5">
        <f>DNSPOntSourceData!F488</f>
        <v>1.1243125351578573</v>
      </c>
      <c r="F103" s="3">
        <f>DNSPOntSourceData!G488</f>
        <v>799.13</v>
      </c>
      <c r="G103" s="3">
        <f>DNSPOntSourceData!H488</f>
        <v>799.13</v>
      </c>
      <c r="H103" s="3">
        <f>DNSPOntSourceData!I488</f>
        <v>134228</v>
      </c>
      <c r="I103" s="3">
        <f>DNSPOntSourceData!J488</f>
        <v>2823</v>
      </c>
      <c r="J103" s="3">
        <f>DNSPOntSourceData!K488</f>
        <v>2017</v>
      </c>
      <c r="K103" s="12">
        <f>DNSPOntSourceData!L488</f>
        <v>0.71448813319164006</v>
      </c>
      <c r="L103" s="20" t="s">
        <v>53</v>
      </c>
    </row>
    <row r="104" spans="1:12">
      <c r="A104">
        <v>3008</v>
      </c>
      <c r="B104">
        <v>2011</v>
      </c>
      <c r="C104">
        <v>3</v>
      </c>
      <c r="D104" s="3">
        <f>DNSPOntSourceData!E489</f>
        <v>18099.067301070951</v>
      </c>
      <c r="E104" s="5">
        <f>DNSPOntSourceData!F489</f>
        <v>1.1430978626415853</v>
      </c>
      <c r="F104" s="3">
        <f>DNSPOntSourceData!G489</f>
        <v>820</v>
      </c>
      <c r="G104" s="3">
        <f>DNSPOntSourceData!H489</f>
        <v>820</v>
      </c>
      <c r="H104" s="3">
        <f>DNSPOntSourceData!I489</f>
        <v>137856</v>
      </c>
      <c r="I104" s="3">
        <f>DNSPOntSourceData!J489</f>
        <v>2896</v>
      </c>
      <c r="J104" s="3">
        <f>DNSPOntSourceData!K489</f>
        <v>2094</v>
      </c>
      <c r="K104" s="12">
        <f>DNSPOntSourceData!L489</f>
        <v>0.72306629834254144</v>
      </c>
      <c r="L104" s="20" t="s">
        <v>53</v>
      </c>
    </row>
    <row r="105" spans="1:12">
      <c r="A105">
        <v>3008</v>
      </c>
      <c r="B105" s="2">
        <v>2012</v>
      </c>
      <c r="C105">
        <v>3</v>
      </c>
      <c r="D105" s="3">
        <f>DNSPOntSourceData!E490</f>
        <v>19523.281629999998</v>
      </c>
      <c r="E105" s="5">
        <f>DNSPOntSourceData!F490</f>
        <v>1.160126854517312</v>
      </c>
      <c r="F105" s="3">
        <f>DNSPOntSourceData!G490</f>
        <v>817.322</v>
      </c>
      <c r="G105" s="3">
        <f>DNSPOntSourceData!H490</f>
        <v>820</v>
      </c>
      <c r="H105" s="3">
        <f>DNSPOntSourceData!I490</f>
        <v>141795</v>
      </c>
      <c r="I105" s="3">
        <f>DNSPOntSourceData!J490</f>
        <v>2952</v>
      </c>
      <c r="J105" s="3">
        <f>DNSPOntSourceData!K490</f>
        <v>2164</v>
      </c>
      <c r="K105" s="12">
        <f>DNSPOntSourceData!L490</f>
        <v>0.73306233062330628</v>
      </c>
      <c r="L105" s="20" t="s">
        <v>53</v>
      </c>
    </row>
    <row r="106" spans="1:12">
      <c r="A106">
        <v>3008</v>
      </c>
      <c r="B106">
        <v>2013</v>
      </c>
      <c r="C106">
        <v>3</v>
      </c>
      <c r="D106" s="3">
        <f>DNSPOntSourceData!E491</f>
        <v>22922.932000000001</v>
      </c>
      <c r="E106" s="5">
        <f>DNSPOntSourceData!F491</f>
        <v>1.178602141578931</v>
      </c>
      <c r="F106" s="3">
        <f>DNSPOntSourceData!G491</f>
        <v>831.79600000000005</v>
      </c>
      <c r="G106" s="3">
        <f>DNSPOntSourceData!H491</f>
        <v>831.79600000000005</v>
      </c>
      <c r="H106" s="3">
        <f>DNSPOntSourceData!I491</f>
        <v>145983</v>
      </c>
      <c r="I106" s="3">
        <f>DNSPOntSourceData!J491</f>
        <v>3103</v>
      </c>
      <c r="J106" s="3">
        <f>DNSPOntSourceData!K491</f>
        <v>2325</v>
      </c>
      <c r="K106" s="12">
        <f>DNSPOntSourceData!L491</f>
        <v>0.74927489526264901</v>
      </c>
      <c r="L106" s="20" t="s">
        <v>53</v>
      </c>
    </row>
    <row r="107" spans="1:12">
      <c r="A107">
        <v>3008</v>
      </c>
      <c r="B107" s="2">
        <v>2014</v>
      </c>
      <c r="C107">
        <v>3</v>
      </c>
      <c r="D107" s="3">
        <f>DNSPOntSourceData!E492</f>
        <v>25548.449000000001</v>
      </c>
      <c r="E107" s="5">
        <f>DNSPOntSourceData!F492</f>
        <v>1.2030671041042156</v>
      </c>
      <c r="F107" s="3">
        <f>DNSPOntSourceData!G492</f>
        <v>746.95500000000004</v>
      </c>
      <c r="G107" s="3">
        <f>DNSPOntSourceData!H492</f>
        <v>831.79600000000005</v>
      </c>
      <c r="H107" s="3">
        <f>DNSPOntSourceData!I492</f>
        <v>149618</v>
      </c>
      <c r="I107" s="3">
        <f>DNSPOntSourceData!J492</f>
        <v>3242</v>
      </c>
      <c r="J107" s="3">
        <f>DNSPOntSourceData!K492</f>
        <v>2458</v>
      </c>
      <c r="K107" s="12">
        <f>DNSPOntSourceData!L492</f>
        <v>0.75817396668723014</v>
      </c>
      <c r="L107" s="20" t="s">
        <v>53</v>
      </c>
    </row>
    <row r="108" spans="1:12">
      <c r="A108">
        <v>3008</v>
      </c>
      <c r="B108">
        <v>2015</v>
      </c>
      <c r="C108">
        <v>3</v>
      </c>
      <c r="D108" s="3">
        <f>DNSPOntSourceData!E493</f>
        <v>26810.796999999999</v>
      </c>
      <c r="E108" s="5">
        <f>DNSPOntSourceData!F493</f>
        <v>1.2312762402864634</v>
      </c>
      <c r="F108" s="3">
        <f>DNSPOntSourceData!G493</f>
        <v>796.94799999999998</v>
      </c>
      <c r="G108" s="3">
        <f>DNSPOntSourceData!H493</f>
        <v>831.79600000000005</v>
      </c>
      <c r="H108" s="3">
        <f>DNSPOntSourceData!I493</f>
        <v>154106</v>
      </c>
      <c r="I108" s="3">
        <f>DNSPOntSourceData!J493</f>
        <v>3266</v>
      </c>
      <c r="J108" s="3">
        <f>DNSPOntSourceData!K493</f>
        <v>2466</v>
      </c>
      <c r="K108" s="12">
        <f>DNSPOntSourceData!L493</f>
        <v>0.75505205143906917</v>
      </c>
      <c r="L108" s="20" t="s">
        <v>53</v>
      </c>
    </row>
    <row r="109" spans="1:12">
      <c r="A109">
        <v>3008</v>
      </c>
      <c r="B109" s="2">
        <v>2016</v>
      </c>
      <c r="C109">
        <v>3</v>
      </c>
      <c r="D109" s="3">
        <f>DNSPOntSourceData!E494</f>
        <v>30304.363839999998</v>
      </c>
      <c r="E109" s="5">
        <f>DNSPOntSourceData!F494</f>
        <v>1.2455044937824149</v>
      </c>
      <c r="F109" s="3">
        <f>DNSPOntSourceData!G494</f>
        <v>836.21799999999996</v>
      </c>
      <c r="G109" s="3">
        <f>DNSPOntSourceData!H494</f>
        <v>836.21799999999996</v>
      </c>
      <c r="H109" s="3">
        <f>DNSPOntSourceData!I494</f>
        <v>158631</v>
      </c>
      <c r="I109" s="3">
        <f>DNSPOntSourceData!J494</f>
        <v>3367</v>
      </c>
      <c r="J109" s="3">
        <f>DNSPOntSourceData!K494</f>
        <v>2553</v>
      </c>
      <c r="K109" s="12">
        <f>DNSPOntSourceData!L494</f>
        <v>0.75824175824175821</v>
      </c>
      <c r="L109" s="20" t="s">
        <v>53</v>
      </c>
    </row>
    <row r="110" spans="1:12">
      <c r="A110">
        <v>3009</v>
      </c>
      <c r="B110">
        <v>2005</v>
      </c>
      <c r="C110">
        <v>3</v>
      </c>
      <c r="D110" s="3">
        <f>DNSPOntSourceData!E993+DNSPOntSourceData!E1098</f>
        <v>25273.631799999999</v>
      </c>
      <c r="E110" s="5">
        <f>DNSPOntSourceData!F993</f>
        <v>1</v>
      </c>
      <c r="F110" s="3">
        <f>DNSPOntSourceData!G993+DNSPOntSourceData!G1098</f>
        <v>659.42899999999997</v>
      </c>
      <c r="G110" s="3">
        <f>F110</f>
        <v>659.42899999999997</v>
      </c>
      <c r="H110" s="3">
        <f>DNSPOntSourceData!I993+DNSPOntSourceData!I1098</f>
        <v>142965</v>
      </c>
      <c r="I110" s="3">
        <f>DNSPOntSourceData!J993+DNSPOntSourceData!J1098</f>
        <v>2907</v>
      </c>
      <c r="J110" s="3">
        <f>DNSPOntSourceData!K993+DNSPOntSourceData!K1098</f>
        <v>1088</v>
      </c>
      <c r="K110" s="12">
        <f>J110/I110</f>
        <v>0.3742690058479532</v>
      </c>
      <c r="L110" s="15" t="s">
        <v>416</v>
      </c>
    </row>
    <row r="111" spans="1:12">
      <c r="A111">
        <v>3009</v>
      </c>
      <c r="B111" s="2">
        <v>2006</v>
      </c>
      <c r="C111">
        <v>3</v>
      </c>
      <c r="D111" s="3">
        <f>DNSPOntSourceData!E994+DNSPOntSourceData!E1099</f>
        <v>26895.538199999999</v>
      </c>
      <c r="E111" s="5">
        <f>DNSPOntSourceData!F994</f>
        <v>1.0181607380073696</v>
      </c>
      <c r="F111" s="3">
        <f>DNSPOntSourceData!G994+DNSPOntSourceData!G1099</f>
        <v>699.07500000000005</v>
      </c>
      <c r="G111" s="3">
        <f>MAX(F111,G110)</f>
        <v>699.07500000000005</v>
      </c>
      <c r="H111" s="3">
        <f>DNSPOntSourceData!I994+DNSPOntSourceData!I1099</f>
        <v>144704</v>
      </c>
      <c r="I111" s="3">
        <f>DNSPOntSourceData!J994+DNSPOntSourceData!J1099</f>
        <v>2973</v>
      </c>
      <c r="J111" s="3">
        <f>DNSPOntSourceData!K994+DNSPOntSourceData!K1099</f>
        <v>1151</v>
      </c>
      <c r="K111" s="12">
        <f t="shared" ref="K111:K124" si="10">J111/I111</f>
        <v>0.38715102589976452</v>
      </c>
      <c r="L111" s="15" t="s">
        <v>416</v>
      </c>
    </row>
    <row r="112" spans="1:12">
      <c r="A112">
        <v>3009</v>
      </c>
      <c r="B112">
        <v>2007</v>
      </c>
      <c r="C112">
        <v>3</v>
      </c>
      <c r="D112" s="3">
        <f>DNSPOntSourceData!E995+DNSPOntSourceData!E1100</f>
        <v>25157.178130000004</v>
      </c>
      <c r="E112" s="5">
        <f>DNSPOntSourceData!F995</f>
        <v>1.0531931014872313</v>
      </c>
      <c r="F112" s="3">
        <f>DNSPOntSourceData!G995+DNSPOntSourceData!G1100</f>
        <v>665.96100000000001</v>
      </c>
      <c r="G112" s="3">
        <f t="shared" ref="G112:G124" si="11">MAX(F112,G111)</f>
        <v>699.07500000000005</v>
      </c>
      <c r="H112" s="3">
        <f>DNSPOntSourceData!I995+DNSPOntSourceData!I1100</f>
        <v>147503</v>
      </c>
      <c r="I112" s="3">
        <f>DNSPOntSourceData!J995+DNSPOntSourceData!J1100</f>
        <v>3087</v>
      </c>
      <c r="J112" s="3">
        <f>DNSPOntSourceData!K995+DNSPOntSourceData!K1100</f>
        <v>1210</v>
      </c>
      <c r="K112" s="12">
        <f t="shared" si="10"/>
        <v>0.39196631033365725</v>
      </c>
      <c r="L112" s="15" t="s">
        <v>416</v>
      </c>
    </row>
    <row r="113" spans="1:12">
      <c r="A113">
        <v>3009</v>
      </c>
      <c r="B113" s="2">
        <v>2008</v>
      </c>
      <c r="C113">
        <v>3</v>
      </c>
      <c r="D113" s="3">
        <f>DNSPOntSourceData!E996+DNSPOntSourceData!E1101</f>
        <v>26615.016050000002</v>
      </c>
      <c r="E113" s="5">
        <f>DNSPOntSourceData!F996</f>
        <v>1.078564603993923</v>
      </c>
      <c r="F113" s="3">
        <f>DNSPOntSourceData!G996+DNSPOntSourceData!G1101</f>
        <v>612.12800000000004</v>
      </c>
      <c r="G113" s="3">
        <f t="shared" si="11"/>
        <v>699.07500000000005</v>
      </c>
      <c r="H113" s="3">
        <f>DNSPOntSourceData!I996+DNSPOntSourceData!I1101</f>
        <v>150086</v>
      </c>
      <c r="I113" s="3">
        <f>DNSPOntSourceData!J996+DNSPOntSourceData!J1101</f>
        <v>3165</v>
      </c>
      <c r="J113" s="3">
        <f>DNSPOntSourceData!K996+DNSPOntSourceData!K1101</f>
        <v>1284</v>
      </c>
      <c r="K113" s="12">
        <f t="shared" si="10"/>
        <v>0.40568720379146922</v>
      </c>
      <c r="L113" s="15" t="s">
        <v>416</v>
      </c>
    </row>
    <row r="114" spans="1:12">
      <c r="A114">
        <v>3009</v>
      </c>
      <c r="B114">
        <v>2009</v>
      </c>
      <c r="C114">
        <v>3</v>
      </c>
      <c r="D114" s="3">
        <f>DNSPOntSourceData!E997+DNSPOntSourceData!E1102</f>
        <v>27194.985240000002</v>
      </c>
      <c r="E114" s="5">
        <f>DNSPOntSourceData!F997</f>
        <v>1.0915070880241431</v>
      </c>
      <c r="F114" s="3">
        <f>DNSPOntSourceData!G997+DNSPOntSourceData!G1102</f>
        <v>672.86500000000001</v>
      </c>
      <c r="G114" s="3">
        <f t="shared" si="11"/>
        <v>699.07500000000005</v>
      </c>
      <c r="H114" s="3">
        <f>DNSPOntSourceData!I997+DNSPOntSourceData!I1102</f>
        <v>150224</v>
      </c>
      <c r="I114" s="3">
        <f>DNSPOntSourceData!J997+DNSPOntSourceData!J1102</f>
        <v>3235</v>
      </c>
      <c r="J114" s="3">
        <f>DNSPOntSourceData!K997+DNSPOntSourceData!K1102</f>
        <v>1460</v>
      </c>
      <c r="K114" s="12">
        <f t="shared" si="10"/>
        <v>0.45131375579598143</v>
      </c>
      <c r="L114" s="15" t="s">
        <v>416</v>
      </c>
    </row>
    <row r="115" spans="1:12">
      <c r="A115">
        <v>3009</v>
      </c>
      <c r="B115" s="2">
        <v>2010</v>
      </c>
      <c r="C115">
        <v>3</v>
      </c>
      <c r="D115" s="3">
        <f>DNSPOntSourceData!E998+DNSPOntSourceData!E1103</f>
        <v>28010.400119999998</v>
      </c>
      <c r="E115" s="5">
        <f>DNSPOntSourceData!F998</f>
        <v>1.1243125351578573</v>
      </c>
      <c r="F115" s="3">
        <f>DNSPOntSourceData!G998+DNSPOntSourceData!G1103</f>
        <v>701.49400000000003</v>
      </c>
      <c r="G115" s="3">
        <f t="shared" si="11"/>
        <v>701.49400000000003</v>
      </c>
      <c r="H115" s="3">
        <f>DNSPOntSourceData!I998+DNSPOntSourceData!I1103</f>
        <v>152238</v>
      </c>
      <c r="I115" s="3">
        <f>DNSPOntSourceData!J998+DNSPOntSourceData!J1103</f>
        <v>3352</v>
      </c>
      <c r="J115" s="3">
        <f>DNSPOntSourceData!K998+DNSPOntSourceData!K1103</f>
        <v>1579</v>
      </c>
      <c r="K115" s="12">
        <f t="shared" si="10"/>
        <v>0.47106205250596661</v>
      </c>
      <c r="L115" s="15" t="s">
        <v>416</v>
      </c>
    </row>
    <row r="116" spans="1:12">
      <c r="A116">
        <v>3009</v>
      </c>
      <c r="B116">
        <v>2011</v>
      </c>
      <c r="C116">
        <v>3</v>
      </c>
      <c r="D116" s="3">
        <f>DNSPOntSourceData!E999+DNSPOntSourceData!E1104</f>
        <v>28945.433539999998</v>
      </c>
      <c r="E116" s="5">
        <f>DNSPOntSourceData!F999</f>
        <v>1.1430978626415853</v>
      </c>
      <c r="F116" s="3">
        <f>DNSPOntSourceData!G999+DNSPOntSourceData!G1104</f>
        <v>734.99200000000008</v>
      </c>
      <c r="G116" s="3">
        <f t="shared" si="11"/>
        <v>734.99200000000008</v>
      </c>
      <c r="H116" s="3">
        <f>DNSPOntSourceData!I999+DNSPOntSourceData!I1104</f>
        <v>154046</v>
      </c>
      <c r="I116" s="3">
        <f>DNSPOntSourceData!J999+DNSPOntSourceData!J1104</f>
        <v>3469</v>
      </c>
      <c r="J116" s="3">
        <f>DNSPOntSourceData!K999+DNSPOntSourceData!K1104</f>
        <v>1635</v>
      </c>
      <c r="K116" s="12">
        <f t="shared" si="10"/>
        <v>0.47131738253098876</v>
      </c>
      <c r="L116" s="15" t="s">
        <v>416</v>
      </c>
    </row>
    <row r="117" spans="1:12">
      <c r="A117">
        <v>3009</v>
      </c>
      <c r="B117" s="2">
        <v>2012</v>
      </c>
      <c r="C117">
        <v>3</v>
      </c>
      <c r="D117" s="3">
        <f>DNSPOntSourceData!E1000+DNSPOntSourceData!E1105</f>
        <v>33635.988956302463</v>
      </c>
      <c r="E117" s="5">
        <f>DNSPOntSourceData!F1000</f>
        <v>1.160126854517312</v>
      </c>
      <c r="F117" s="3">
        <f>DNSPOntSourceData!G1000+DNSPOntSourceData!G1105</f>
        <v>734.51299999999992</v>
      </c>
      <c r="G117" s="3">
        <f t="shared" si="11"/>
        <v>734.99200000000008</v>
      </c>
      <c r="H117" s="3">
        <f>DNSPOntSourceData!I1000+DNSPOntSourceData!I1105</f>
        <v>156195</v>
      </c>
      <c r="I117" s="3">
        <f>DNSPOntSourceData!J1000+DNSPOntSourceData!J1105</f>
        <v>3604</v>
      </c>
      <c r="J117" s="3">
        <f>DNSPOntSourceData!K1000+DNSPOntSourceData!K1105</f>
        <v>1654</v>
      </c>
      <c r="K117" s="12">
        <f t="shared" si="10"/>
        <v>0.45893451720310768</v>
      </c>
      <c r="L117" s="15" t="s">
        <v>416</v>
      </c>
    </row>
    <row r="118" spans="1:12">
      <c r="A118">
        <v>3009</v>
      </c>
      <c r="B118">
        <v>2013</v>
      </c>
      <c r="C118">
        <v>3</v>
      </c>
      <c r="D118" s="3">
        <f>DNSPOntSourceData!E1001+DNSPOntSourceData!E1106</f>
        <v>34859.171040000001</v>
      </c>
      <c r="E118" s="5">
        <f>DNSPOntSourceData!F1001</f>
        <v>1.178602141578931</v>
      </c>
      <c r="F118" s="3">
        <f>DNSPOntSourceData!G1001+DNSPOntSourceData!G1106</f>
        <v>714.88599999999997</v>
      </c>
      <c r="G118" s="3">
        <f t="shared" si="11"/>
        <v>734.99200000000008</v>
      </c>
      <c r="H118" s="3">
        <f>DNSPOntSourceData!I1001+DNSPOntSourceData!I1106</f>
        <v>157492</v>
      </c>
      <c r="I118" s="3">
        <f>DNSPOntSourceData!J1001+DNSPOntSourceData!J1106</f>
        <v>3656</v>
      </c>
      <c r="J118" s="3">
        <f>DNSPOntSourceData!K1001+DNSPOntSourceData!K1106</f>
        <v>1682</v>
      </c>
      <c r="K118" s="12">
        <f t="shared" si="10"/>
        <v>0.46006564551422319</v>
      </c>
      <c r="L118" s="15" t="s">
        <v>416</v>
      </c>
    </row>
    <row r="119" spans="1:12">
      <c r="A119">
        <v>3009</v>
      </c>
      <c r="B119" s="2">
        <v>2014</v>
      </c>
      <c r="C119">
        <v>3</v>
      </c>
      <c r="D119" s="3">
        <f>DNSPOntSourceData!E1002+DNSPOntSourceData!E1107</f>
        <v>35538.762000000002</v>
      </c>
      <c r="E119" s="5">
        <f>DNSPOntSourceData!F1002</f>
        <v>1.2030671041042156</v>
      </c>
      <c r="F119" s="3">
        <f>DNSPOntSourceData!G1002+DNSPOntSourceData!G1107</f>
        <v>617.02300000000002</v>
      </c>
      <c r="G119" s="3">
        <f t="shared" si="11"/>
        <v>734.99200000000008</v>
      </c>
      <c r="H119" s="3">
        <f>DNSPOntSourceData!I1002+DNSPOntSourceData!I1107</f>
        <v>158982</v>
      </c>
      <c r="I119" s="3">
        <f>DNSPOntSourceData!J1002+DNSPOntSourceData!J1107</f>
        <v>3631</v>
      </c>
      <c r="J119" s="3">
        <f>DNSPOntSourceData!K1002+DNSPOntSourceData!K1107</f>
        <v>1682</v>
      </c>
      <c r="K119" s="12">
        <f t="shared" si="10"/>
        <v>0.463233269071881</v>
      </c>
      <c r="L119" s="15" t="s">
        <v>416</v>
      </c>
    </row>
    <row r="120" spans="1:12">
      <c r="A120">
        <v>3009</v>
      </c>
      <c r="B120">
        <v>2015</v>
      </c>
      <c r="C120">
        <v>3</v>
      </c>
      <c r="D120" s="3">
        <f>DNSPOntSourceData!E1003+DNSPOntSourceData!E1108</f>
        <v>36626.498</v>
      </c>
      <c r="E120" s="5">
        <f>DNSPOntSourceData!F1003</f>
        <v>1.2312762402864634</v>
      </c>
      <c r="F120" s="3">
        <f>DNSPOntSourceData!G1003+DNSPOntSourceData!G1108</f>
        <v>652.447</v>
      </c>
      <c r="G120" s="3">
        <f t="shared" si="11"/>
        <v>734.99200000000008</v>
      </c>
      <c r="H120" s="3">
        <f>DNSPOntSourceData!I1003+DNSPOntSourceData!I1108</f>
        <v>160279</v>
      </c>
      <c r="I120" s="94">
        <f>(I119+I121)/2</f>
        <v>3648.5</v>
      </c>
      <c r="J120" s="94">
        <f>(J119+J121)/2</f>
        <v>1696.5</v>
      </c>
      <c r="K120" s="12">
        <f t="shared" si="10"/>
        <v>0.46498561052487325</v>
      </c>
      <c r="L120" s="15" t="s">
        <v>416</v>
      </c>
    </row>
    <row r="121" spans="1:12">
      <c r="A121">
        <v>3009</v>
      </c>
      <c r="B121" s="2">
        <v>2016</v>
      </c>
      <c r="C121">
        <v>3</v>
      </c>
      <c r="D121" s="3">
        <f>DNSPOntSourceData!E1004+DNSPOntSourceData!E1109</f>
        <v>38440.610430000001</v>
      </c>
      <c r="E121" s="5">
        <f>DNSPOntSourceData!F1004</f>
        <v>1.2455044937824149</v>
      </c>
      <c r="F121" s="3">
        <f>DNSPOntSourceData!G1004+DNSPOntSourceData!G1109</f>
        <v>684.68799999999999</v>
      </c>
      <c r="G121" s="3">
        <f t="shared" si="11"/>
        <v>734.99200000000008</v>
      </c>
      <c r="H121" s="3">
        <f>DNSPOntSourceData!I1004+DNSPOntSourceData!I1109</f>
        <v>161711</v>
      </c>
      <c r="I121" s="3">
        <f>DNSPOntSourceData!J1004+DNSPOntSourceData!J1109</f>
        <v>3666</v>
      </c>
      <c r="J121" s="3">
        <f>DNSPOntSourceData!K1004+DNSPOntSourceData!K1109</f>
        <v>1711</v>
      </c>
      <c r="K121" s="12">
        <f t="shared" si="10"/>
        <v>0.46672122204037098</v>
      </c>
      <c r="L121" s="15" t="s">
        <v>416</v>
      </c>
    </row>
    <row r="122" spans="1:12">
      <c r="A122">
        <v>3009</v>
      </c>
      <c r="B122">
        <v>2017</v>
      </c>
      <c r="C122">
        <v>3</v>
      </c>
      <c r="D122" s="3">
        <f>DNSPOntSourceData!E1005+DNSPOntSourceData!E1110</f>
        <v>38678.039620000003</v>
      </c>
      <c r="E122" s="5">
        <f>DNSPOntSourceData!F1005</f>
        <v>1.2674505553724562</v>
      </c>
      <c r="F122" s="3">
        <f>DNSPOntSourceData!G1005+DNSPOntSourceData!G1110</f>
        <v>626.50599999999997</v>
      </c>
      <c r="G122" s="3">
        <f t="shared" si="11"/>
        <v>734.99200000000008</v>
      </c>
      <c r="H122" s="3">
        <f>DNSPOntSourceData!I1005+DNSPOntSourceData!I1110</f>
        <v>162955</v>
      </c>
      <c r="I122" s="3">
        <f>DNSPOntSourceData!J1005+DNSPOntSourceData!J1110</f>
        <v>3738</v>
      </c>
      <c r="J122" s="3">
        <f>DNSPOntSourceData!K1005+DNSPOntSourceData!K1110</f>
        <v>1767</v>
      </c>
      <c r="K122" s="12">
        <f t="shared" si="10"/>
        <v>0.4727126805778491</v>
      </c>
      <c r="L122" s="15" t="s">
        <v>416</v>
      </c>
    </row>
    <row r="123" spans="1:12">
      <c r="A123">
        <v>3009</v>
      </c>
      <c r="B123" s="2">
        <v>2018</v>
      </c>
      <c r="C123">
        <v>3</v>
      </c>
      <c r="D123" s="3">
        <f>DNSPOntSourceData!E1006+DNSPOntSourceData!E1111</f>
        <v>38584.590750000003</v>
      </c>
      <c r="E123" s="5">
        <f>DNSPOntSourceData!F1006</f>
        <v>1.2994718602728874</v>
      </c>
      <c r="F123" s="3">
        <f>DNSPOntSourceData!G1006+DNSPOntSourceData!G1111</f>
        <v>696.63900000000001</v>
      </c>
      <c r="G123" s="3">
        <f t="shared" si="11"/>
        <v>734.99200000000008</v>
      </c>
      <c r="H123" s="3">
        <f>DNSPOntSourceData!I1006+DNSPOntSourceData!I1111</f>
        <v>164732</v>
      </c>
      <c r="I123" s="3">
        <f>DNSPOntSourceData!J1006+DNSPOntSourceData!J1111</f>
        <v>3785</v>
      </c>
      <c r="J123" s="3">
        <f>DNSPOntSourceData!K1006+DNSPOntSourceData!K1111</f>
        <v>1836</v>
      </c>
      <c r="K123" s="12">
        <f t="shared" si="10"/>
        <v>0.48507265521796566</v>
      </c>
      <c r="L123" s="15" t="s">
        <v>416</v>
      </c>
    </row>
    <row r="124" spans="1:12">
      <c r="A124" s="142">
        <v>3009</v>
      </c>
      <c r="B124" s="142">
        <v>2019</v>
      </c>
      <c r="C124" s="142">
        <v>3</v>
      </c>
      <c r="D124" s="3">
        <f>DNSPOntSourceData!E1007+DNSPOntSourceData!E1112</f>
        <v>40136.683709999998</v>
      </c>
      <c r="E124" s="5">
        <f>DNSPOntSourceData!F1007</f>
        <v>1.3352608354138498</v>
      </c>
      <c r="F124" s="3">
        <f>DNSPOntSourceData!G1007+DNSPOntSourceData!G1112</f>
        <v>648.61800000000005</v>
      </c>
      <c r="G124" s="3">
        <f t="shared" si="11"/>
        <v>734.99200000000008</v>
      </c>
      <c r="H124" s="3">
        <f>DNSPOntSourceData!I1007+DNSPOntSourceData!I1112</f>
        <v>167653</v>
      </c>
      <c r="I124" s="3">
        <f>DNSPOntSourceData!J1007+DNSPOntSourceData!J1112</f>
        <v>3823</v>
      </c>
      <c r="J124" s="3">
        <f>DNSPOntSourceData!K1007+DNSPOntSourceData!K1112</f>
        <v>1856</v>
      </c>
      <c r="K124" s="12">
        <f t="shared" si="10"/>
        <v>0.48548260528380854</v>
      </c>
      <c r="L124" s="15" t="s">
        <v>416</v>
      </c>
    </row>
    <row r="125" spans="1:12">
      <c r="A125">
        <v>3010</v>
      </c>
      <c r="B125">
        <v>2005</v>
      </c>
      <c r="C125">
        <v>3</v>
      </c>
      <c r="D125" s="3">
        <f>DNSPOntSourceData!E573</f>
        <v>8926.8230400000011</v>
      </c>
      <c r="E125" s="5">
        <f>DNSPOntSourceData!F573</f>
        <v>1</v>
      </c>
      <c r="F125" s="3">
        <f>DNSPOntSourceData!G573</f>
        <v>386.56799999999998</v>
      </c>
      <c r="G125" s="3">
        <f>DNSPOntSourceData!H573</f>
        <v>386.56799999999998</v>
      </c>
      <c r="H125" s="3">
        <f>DNSPOntSourceData!I573</f>
        <v>79487</v>
      </c>
      <c r="I125" s="3">
        <f>DNSPOntSourceData!J573</f>
        <v>1706</v>
      </c>
      <c r="J125" s="3">
        <f>DNSPOntSourceData!K573</f>
        <v>684</v>
      </c>
      <c r="K125" s="12">
        <f>DNSPOntSourceData!L573</f>
        <v>0.40093786635404455</v>
      </c>
      <c r="L125" s="20" t="s">
        <v>59</v>
      </c>
    </row>
    <row r="126" spans="1:12">
      <c r="A126">
        <v>3010</v>
      </c>
      <c r="B126" s="2">
        <v>2006</v>
      </c>
      <c r="C126">
        <v>3</v>
      </c>
      <c r="D126" s="3">
        <f>DNSPOntSourceData!E574</f>
        <v>10110.65676</v>
      </c>
      <c r="E126" s="5">
        <f>DNSPOntSourceData!F574</f>
        <v>1.0181607380073696</v>
      </c>
      <c r="F126" s="3">
        <f>DNSPOntSourceData!G574</f>
        <v>379.97199999999998</v>
      </c>
      <c r="G126" s="3">
        <f>DNSPOntSourceData!H574</f>
        <v>386.56799999999998</v>
      </c>
      <c r="H126" s="3">
        <f>DNSPOntSourceData!I574</f>
        <v>80940</v>
      </c>
      <c r="I126" s="3">
        <f>DNSPOntSourceData!J574</f>
        <v>1787</v>
      </c>
      <c r="J126" s="3">
        <f>DNSPOntSourceData!K574</f>
        <v>751</v>
      </c>
      <c r="K126" s="12">
        <f>DNSPOntSourceData!L574</f>
        <v>0.42025741466144378</v>
      </c>
      <c r="L126" s="20" t="s">
        <v>59</v>
      </c>
    </row>
    <row r="127" spans="1:12">
      <c r="A127">
        <v>3010</v>
      </c>
      <c r="B127">
        <v>2007</v>
      </c>
      <c r="C127">
        <v>3</v>
      </c>
      <c r="D127" s="3">
        <f>DNSPOntSourceData!E575</f>
        <v>10554.747509999999</v>
      </c>
      <c r="E127" s="5">
        <f>DNSPOntSourceData!F575</f>
        <v>1.0531931014872313</v>
      </c>
      <c r="F127" s="3">
        <f>DNSPOntSourceData!G575</f>
        <v>370.93400000000003</v>
      </c>
      <c r="G127" s="3">
        <f>DNSPOntSourceData!H575</f>
        <v>386.56799999999998</v>
      </c>
      <c r="H127" s="3">
        <f>DNSPOntSourceData!I575</f>
        <v>82599</v>
      </c>
      <c r="I127" s="3">
        <f>DNSPOntSourceData!J575</f>
        <v>1840</v>
      </c>
      <c r="J127" s="3">
        <f>DNSPOntSourceData!K575</f>
        <v>797</v>
      </c>
      <c r="K127" s="12">
        <f>DNSPOntSourceData!L575</f>
        <v>0.4331521739130435</v>
      </c>
      <c r="L127" s="20" t="s">
        <v>59</v>
      </c>
    </row>
    <row r="128" spans="1:12">
      <c r="A128">
        <v>3010</v>
      </c>
      <c r="B128" s="2">
        <v>2008</v>
      </c>
      <c r="C128">
        <v>3</v>
      </c>
      <c r="D128" s="3">
        <f>DNSPOntSourceData!E576</f>
        <v>11184.20451</v>
      </c>
      <c r="E128" s="5">
        <f>DNSPOntSourceData!F576</f>
        <v>1.078564603993923</v>
      </c>
      <c r="F128" s="3">
        <f>DNSPOntSourceData!G576</f>
        <v>350.93</v>
      </c>
      <c r="G128" s="3">
        <f>DNSPOntSourceData!H576</f>
        <v>386.56799999999998</v>
      </c>
      <c r="H128" s="3">
        <f>DNSPOntSourceData!I576</f>
        <v>84195</v>
      </c>
      <c r="I128" s="3">
        <f>DNSPOntSourceData!J576</f>
        <v>1872</v>
      </c>
      <c r="J128" s="3">
        <f>DNSPOntSourceData!K576</f>
        <v>828</v>
      </c>
      <c r="K128" s="12">
        <f>DNSPOntSourceData!L576</f>
        <v>0.44230769230769229</v>
      </c>
      <c r="L128" s="20" t="s">
        <v>59</v>
      </c>
    </row>
    <row r="129" spans="1:12">
      <c r="A129">
        <v>3010</v>
      </c>
      <c r="B129">
        <v>2009</v>
      </c>
      <c r="C129">
        <v>3</v>
      </c>
      <c r="D129" s="3">
        <f>DNSPOntSourceData!E577</f>
        <v>11204.17886</v>
      </c>
      <c r="E129" s="5">
        <f>DNSPOntSourceData!F577</f>
        <v>1.0915070880241431</v>
      </c>
      <c r="F129" s="3">
        <f>DNSPOntSourceData!G577</f>
        <v>339.97300000000001</v>
      </c>
      <c r="G129" s="3">
        <f>DNSPOntSourceData!H577</f>
        <v>386.56799999999998</v>
      </c>
      <c r="H129" s="3">
        <f>DNSPOntSourceData!I577</f>
        <v>85174</v>
      </c>
      <c r="I129" s="3">
        <f>DNSPOntSourceData!J577</f>
        <v>1854</v>
      </c>
      <c r="J129" s="3">
        <f>DNSPOntSourceData!K577</f>
        <v>819</v>
      </c>
      <c r="K129" s="12">
        <f>DNSPOntSourceData!L577</f>
        <v>0.44174757281553401</v>
      </c>
      <c r="L129" s="20" t="s">
        <v>59</v>
      </c>
    </row>
    <row r="130" spans="1:12">
      <c r="A130">
        <v>3010</v>
      </c>
      <c r="B130" s="2">
        <v>2010</v>
      </c>
      <c r="C130">
        <v>3</v>
      </c>
      <c r="D130" s="3">
        <f>DNSPOntSourceData!E578</f>
        <v>11318.641240000003</v>
      </c>
      <c r="E130" s="5">
        <f>DNSPOntSourceData!F578</f>
        <v>1.1243125351578573</v>
      </c>
      <c r="F130" s="3">
        <f>DNSPOntSourceData!G578</f>
        <v>367.988</v>
      </c>
      <c r="G130" s="3">
        <f>DNSPOntSourceData!H578</f>
        <v>386.56799999999998</v>
      </c>
      <c r="H130" s="3">
        <f>DNSPOntSourceData!I578</f>
        <v>86611</v>
      </c>
      <c r="I130" s="3">
        <f>DNSPOntSourceData!J578</f>
        <v>1866</v>
      </c>
      <c r="J130" s="3">
        <f>DNSPOntSourceData!K578</f>
        <v>824</v>
      </c>
      <c r="K130" s="12">
        <f>DNSPOntSourceData!L578</f>
        <v>0.44158628081457663</v>
      </c>
      <c r="L130" s="20" t="s">
        <v>59</v>
      </c>
    </row>
    <row r="131" spans="1:12">
      <c r="A131">
        <v>3010</v>
      </c>
      <c r="B131">
        <v>2011</v>
      </c>
      <c r="C131">
        <v>3</v>
      </c>
      <c r="D131" s="3">
        <f>DNSPOntSourceData!E579</f>
        <v>12675.77918</v>
      </c>
      <c r="E131" s="5">
        <f>DNSPOntSourceData!F579</f>
        <v>1.1430978626415853</v>
      </c>
      <c r="F131" s="3">
        <f>DNSPOntSourceData!G579</f>
        <v>377.02</v>
      </c>
      <c r="G131" s="3">
        <f>DNSPOntSourceData!H579</f>
        <v>386.56799999999998</v>
      </c>
      <c r="H131" s="3">
        <f>DNSPOntSourceData!I579</f>
        <v>87965</v>
      </c>
      <c r="I131" s="3">
        <f>DNSPOntSourceData!J579</f>
        <v>1878</v>
      </c>
      <c r="J131" s="3">
        <f>DNSPOntSourceData!K579</f>
        <v>832</v>
      </c>
      <c r="K131" s="12">
        <f>DNSPOntSourceData!L579</f>
        <v>0.44302449414270501</v>
      </c>
      <c r="L131" s="20" t="s">
        <v>59</v>
      </c>
    </row>
    <row r="132" spans="1:12">
      <c r="A132">
        <v>3010</v>
      </c>
      <c r="B132" s="2">
        <v>2012</v>
      </c>
      <c r="C132">
        <v>3</v>
      </c>
      <c r="D132" s="3">
        <f>DNSPOntSourceData!E580</f>
        <v>13712.945107607373</v>
      </c>
      <c r="E132" s="5">
        <f>DNSPOntSourceData!F580</f>
        <v>1.160126854517312</v>
      </c>
      <c r="F132" s="3">
        <f>DNSPOntSourceData!G580</f>
        <v>378.97699999999998</v>
      </c>
      <c r="G132" s="3">
        <f>DNSPOntSourceData!H580</f>
        <v>386.56799999999998</v>
      </c>
      <c r="H132" s="3">
        <f>DNSPOntSourceData!I580</f>
        <v>89026</v>
      </c>
      <c r="I132" s="3">
        <f>DNSPOntSourceData!J580</f>
        <v>1887</v>
      </c>
      <c r="J132" s="3">
        <f>DNSPOntSourceData!K580</f>
        <v>854</v>
      </c>
      <c r="K132" s="12">
        <f>DNSPOntSourceData!L580</f>
        <v>0.45257021727609964</v>
      </c>
      <c r="L132" s="20" t="s">
        <v>59</v>
      </c>
    </row>
    <row r="133" spans="1:12">
      <c r="A133">
        <v>3010</v>
      </c>
      <c r="B133">
        <v>2013</v>
      </c>
      <c r="C133">
        <v>3</v>
      </c>
      <c r="D133" s="3">
        <f>DNSPOntSourceData!E581</f>
        <v>15004.497589999999</v>
      </c>
      <c r="E133" s="5">
        <f>DNSPOntSourceData!F581</f>
        <v>1.178602141578931</v>
      </c>
      <c r="F133" s="3">
        <f>DNSPOntSourceData!G581</f>
        <v>379.77699999999999</v>
      </c>
      <c r="G133" s="3">
        <f>DNSPOntSourceData!H581</f>
        <v>386.56799999999998</v>
      </c>
      <c r="H133" s="3">
        <f>DNSPOntSourceData!I581</f>
        <v>90019</v>
      </c>
      <c r="I133" s="3">
        <f>DNSPOntSourceData!J581</f>
        <v>1901</v>
      </c>
      <c r="J133" s="3">
        <f>DNSPOntSourceData!K581</f>
        <v>872</v>
      </c>
      <c r="K133" s="12">
        <f>DNSPOntSourceData!L581</f>
        <v>0.45870594423987376</v>
      </c>
      <c r="L133" s="20" t="s">
        <v>59</v>
      </c>
    </row>
    <row r="134" spans="1:12">
      <c r="A134">
        <v>3010</v>
      </c>
      <c r="B134" s="2">
        <v>2014</v>
      </c>
      <c r="C134">
        <v>3</v>
      </c>
      <c r="D134" s="3">
        <f>DNSPOntSourceData!E582</f>
        <v>14798.493</v>
      </c>
      <c r="E134" s="5">
        <f>DNSPOntSourceData!F582</f>
        <v>1.2030671041042156</v>
      </c>
      <c r="F134" s="3">
        <f>DNSPOntSourceData!G582</f>
        <v>322.99</v>
      </c>
      <c r="G134" s="3">
        <f>DNSPOntSourceData!H582</f>
        <v>386.56799999999998</v>
      </c>
      <c r="H134" s="3">
        <f>DNSPOntSourceData!I582</f>
        <v>91144</v>
      </c>
      <c r="I134" s="3">
        <f>DNSPOntSourceData!J582</f>
        <v>1904</v>
      </c>
      <c r="J134" s="3">
        <f>DNSPOntSourceData!K582</f>
        <v>875</v>
      </c>
      <c r="K134" s="12">
        <f>DNSPOntSourceData!L582</f>
        <v>0.45955882352941174</v>
      </c>
      <c r="L134" s="20" t="s">
        <v>59</v>
      </c>
    </row>
    <row r="135" spans="1:12">
      <c r="A135">
        <v>3010</v>
      </c>
      <c r="B135">
        <v>2015</v>
      </c>
      <c r="C135">
        <v>3</v>
      </c>
      <c r="D135" s="3">
        <f>DNSPOntSourceData!E583</f>
        <v>14237.678</v>
      </c>
      <c r="E135" s="5">
        <f>DNSPOntSourceData!F583</f>
        <v>1.2312762402864634</v>
      </c>
      <c r="F135" s="3">
        <f>DNSPOntSourceData!G583</f>
        <v>328.00700000000001</v>
      </c>
      <c r="G135" s="3">
        <f>DNSPOntSourceData!H583</f>
        <v>386.56799999999998</v>
      </c>
      <c r="H135" s="3">
        <f>DNSPOntSourceData!I583</f>
        <v>92405</v>
      </c>
      <c r="I135" s="3">
        <f>DNSPOntSourceData!J583</f>
        <v>1918</v>
      </c>
      <c r="J135" s="3">
        <f>DNSPOntSourceData!K583</f>
        <v>906</v>
      </c>
      <c r="K135" s="12">
        <f>DNSPOntSourceData!L583</f>
        <v>0.47236704900938475</v>
      </c>
      <c r="L135" s="20" t="s">
        <v>59</v>
      </c>
    </row>
    <row r="136" spans="1:12">
      <c r="A136">
        <v>3010</v>
      </c>
      <c r="B136" s="2">
        <v>2016</v>
      </c>
      <c r="C136">
        <v>3</v>
      </c>
      <c r="D136" s="3">
        <f>DNSPOntSourceData!E584</f>
        <v>15268.93172</v>
      </c>
      <c r="E136" s="5">
        <f>DNSPOntSourceData!F584</f>
        <v>1.2455044937824149</v>
      </c>
      <c r="F136" s="3">
        <f>DNSPOntSourceData!G584</f>
        <v>360.767</v>
      </c>
      <c r="G136" s="3">
        <f>DNSPOntSourceData!H584</f>
        <v>386.56799999999998</v>
      </c>
      <c r="H136" s="3">
        <f>DNSPOntSourceData!I584</f>
        <v>94059</v>
      </c>
      <c r="I136" s="3">
        <f>DNSPOntSourceData!J584</f>
        <v>1948</v>
      </c>
      <c r="J136" s="3">
        <f>DNSPOntSourceData!K584</f>
        <v>931</v>
      </c>
      <c r="K136" s="12">
        <f>DNSPOntSourceData!L584</f>
        <v>0.47792607802874743</v>
      </c>
      <c r="L136" s="20" t="s">
        <v>59</v>
      </c>
    </row>
    <row r="137" spans="1:12">
      <c r="A137">
        <v>3010</v>
      </c>
      <c r="B137">
        <v>2017</v>
      </c>
      <c r="C137">
        <v>3</v>
      </c>
      <c r="D137" s="3">
        <f>DNSPOntSourceData!E585</f>
        <v>16163.456330000001</v>
      </c>
      <c r="E137" s="5">
        <f>DNSPOntSourceData!F585</f>
        <v>1.2674505553724562</v>
      </c>
      <c r="F137" s="3">
        <f>DNSPOntSourceData!G585</f>
        <v>325.69099999999997</v>
      </c>
      <c r="G137" s="3">
        <f>DNSPOntSourceData!H585</f>
        <v>386.56799999999998</v>
      </c>
      <c r="H137" s="3">
        <f>DNSPOntSourceData!I585</f>
        <v>95758</v>
      </c>
      <c r="I137" s="3">
        <f>DNSPOntSourceData!J585</f>
        <v>1968</v>
      </c>
      <c r="J137" s="3">
        <f>DNSPOntSourceData!K585</f>
        <v>950</v>
      </c>
      <c r="K137" s="12">
        <f>DNSPOntSourceData!L585</f>
        <v>0.48272357723577236</v>
      </c>
      <c r="L137" s="20" t="s">
        <v>59</v>
      </c>
    </row>
    <row r="138" spans="1:12">
      <c r="A138">
        <v>3010</v>
      </c>
      <c r="B138" s="2">
        <v>2018</v>
      </c>
      <c r="C138">
        <v>3</v>
      </c>
      <c r="D138" s="3">
        <f>DNSPOntSourceData!E586</f>
        <v>17517.34132</v>
      </c>
      <c r="E138" s="5">
        <f>DNSPOntSourceData!F586</f>
        <v>1.2994718602728874</v>
      </c>
      <c r="F138" s="3">
        <f>DNSPOntSourceData!G586</f>
        <v>370.68799999999999</v>
      </c>
      <c r="G138" s="3">
        <f>DNSPOntSourceData!H586</f>
        <v>386.56799999999998</v>
      </c>
      <c r="H138" s="3">
        <f>DNSPOntSourceData!I586</f>
        <v>96828</v>
      </c>
      <c r="I138" s="3">
        <f>DNSPOntSourceData!J586</f>
        <v>1974</v>
      </c>
      <c r="J138" s="3">
        <f>DNSPOntSourceData!K586</f>
        <v>961</v>
      </c>
      <c r="K138" s="12">
        <f>DNSPOntSourceData!L586</f>
        <v>0.4868287740628166</v>
      </c>
      <c r="L138" s="20" t="s">
        <v>59</v>
      </c>
    </row>
    <row r="139" spans="1:12">
      <c r="A139" s="142">
        <v>3010</v>
      </c>
      <c r="B139" s="142">
        <v>2019</v>
      </c>
      <c r="C139" s="142">
        <v>3</v>
      </c>
      <c r="D139" s="3">
        <f>DNSPOntSourceData!E587</f>
        <v>17521.849060000004</v>
      </c>
      <c r="E139" s="5">
        <f>DNSPOntSourceData!F587</f>
        <v>1.3352608354138498</v>
      </c>
      <c r="F139" s="3">
        <f>DNSPOntSourceData!G587</f>
        <v>342.58800000000002</v>
      </c>
      <c r="G139" s="3">
        <f>DNSPOntSourceData!H587</f>
        <v>386.56799999999998</v>
      </c>
      <c r="H139" s="3">
        <f>DNSPOntSourceData!I587</f>
        <v>97696</v>
      </c>
      <c r="I139" s="3">
        <f>DNSPOntSourceData!J587</f>
        <v>1980</v>
      </c>
      <c r="J139" s="3">
        <f>DNSPOntSourceData!K587</f>
        <v>970</v>
      </c>
      <c r="K139" s="12">
        <f>DNSPOntSourceData!L587</f>
        <v>0.48989898989898989</v>
      </c>
      <c r="L139" s="20" t="s">
        <v>59</v>
      </c>
    </row>
    <row r="140" spans="1:12">
      <c r="A140">
        <v>3011</v>
      </c>
      <c r="B140">
        <v>2005</v>
      </c>
      <c r="C140">
        <v>3</v>
      </c>
      <c r="D140" s="3">
        <f>DNSPOntSourceData!E258</f>
        <v>20930.758999999998</v>
      </c>
      <c r="E140" s="5">
        <f>DNSPOntSourceData!F258</f>
        <v>1</v>
      </c>
      <c r="F140" s="3">
        <f>DNSPOntSourceData!G258</f>
        <v>640.29999999999995</v>
      </c>
      <c r="G140" s="3">
        <f>DNSPOntSourceData!H258</f>
        <v>640.29999999999995</v>
      </c>
      <c r="H140" s="3">
        <f>DNSPOntSourceData!I258</f>
        <v>84254</v>
      </c>
      <c r="I140" s="3">
        <f>DNSPOntSourceData!J258</f>
        <v>1184</v>
      </c>
      <c r="J140" s="3">
        <f>DNSPOntSourceData!K258</f>
        <v>371</v>
      </c>
      <c r="K140" s="12">
        <f>DNSPOntSourceData!L258</f>
        <v>0.31334459459459457</v>
      </c>
      <c r="L140" s="20" t="s">
        <v>38</v>
      </c>
    </row>
    <row r="141" spans="1:12">
      <c r="A141">
        <v>3011</v>
      </c>
      <c r="B141" s="2">
        <v>2006</v>
      </c>
      <c r="C141">
        <v>3</v>
      </c>
      <c r="D141" s="3">
        <f>DNSPOntSourceData!E259</f>
        <v>21191.645</v>
      </c>
      <c r="E141" s="5">
        <f>DNSPOntSourceData!F259</f>
        <v>1.0181607380073696</v>
      </c>
      <c r="F141" s="3">
        <f>DNSPOntSourceData!G259</f>
        <v>656.7</v>
      </c>
      <c r="G141" s="3">
        <f>DNSPOntSourceData!H259</f>
        <v>656.7</v>
      </c>
      <c r="H141" s="3">
        <f>DNSPOntSourceData!I259</f>
        <v>84701</v>
      </c>
      <c r="I141" s="3">
        <f>DNSPOntSourceData!J259</f>
        <v>1158</v>
      </c>
      <c r="J141" s="3">
        <f>DNSPOntSourceData!K259</f>
        <v>446</v>
      </c>
      <c r="K141" s="12">
        <f>DNSPOntSourceData!L259</f>
        <v>0.38514680483592401</v>
      </c>
      <c r="L141" s="20" t="s">
        <v>38</v>
      </c>
    </row>
    <row r="142" spans="1:12">
      <c r="A142">
        <v>3011</v>
      </c>
      <c r="B142">
        <v>2007</v>
      </c>
      <c r="C142">
        <v>3</v>
      </c>
      <c r="D142" s="3">
        <f>DNSPOntSourceData!E260</f>
        <v>28361.38</v>
      </c>
      <c r="E142" s="5">
        <f>DNSPOntSourceData!F260</f>
        <v>1.0531931014872313</v>
      </c>
      <c r="F142" s="3">
        <f>DNSPOntSourceData!G260</f>
        <v>577.9</v>
      </c>
      <c r="G142" s="3">
        <f>DNSPOntSourceData!H260</f>
        <v>656.7</v>
      </c>
      <c r="H142" s="3">
        <f>DNSPOntSourceData!I260</f>
        <v>84757</v>
      </c>
      <c r="I142" s="3">
        <f>DNSPOntSourceData!J260</f>
        <v>1133</v>
      </c>
      <c r="J142" s="3">
        <f>DNSPOntSourceData!K260</f>
        <v>410</v>
      </c>
      <c r="K142" s="12">
        <f>DNSPOntSourceData!L260</f>
        <v>0.36187113857016767</v>
      </c>
      <c r="L142" s="20" t="s">
        <v>38</v>
      </c>
    </row>
    <row r="143" spans="1:12">
      <c r="A143">
        <v>3011</v>
      </c>
      <c r="B143" s="2">
        <v>2008</v>
      </c>
      <c r="C143">
        <v>3</v>
      </c>
      <c r="D143" s="3">
        <f>DNSPOntSourceData!E261</f>
        <v>20523.552</v>
      </c>
      <c r="E143" s="5">
        <f>DNSPOntSourceData!F261</f>
        <v>1.078564603993923</v>
      </c>
      <c r="F143" s="3">
        <f>DNSPOntSourceData!G261</f>
        <v>532.6</v>
      </c>
      <c r="G143" s="3">
        <f>DNSPOntSourceData!H261</f>
        <v>656.7</v>
      </c>
      <c r="H143" s="3">
        <f>DNSPOntSourceData!I261</f>
        <v>84644</v>
      </c>
      <c r="I143" s="3">
        <f>DNSPOntSourceData!J261</f>
        <v>1133</v>
      </c>
      <c r="J143" s="3">
        <f>DNSPOntSourceData!K261</f>
        <v>410</v>
      </c>
      <c r="K143" s="12">
        <f>DNSPOntSourceData!L261</f>
        <v>0.36187113857016767</v>
      </c>
      <c r="L143" s="20" t="s">
        <v>38</v>
      </c>
    </row>
    <row r="144" spans="1:12">
      <c r="A144">
        <v>3011</v>
      </c>
      <c r="B144">
        <v>2009</v>
      </c>
      <c r="C144">
        <v>3</v>
      </c>
      <c r="D144" s="3">
        <f>DNSPOntSourceData!E262</f>
        <v>19235.053399999997</v>
      </c>
      <c r="E144" s="5">
        <f>DNSPOntSourceData!F262</f>
        <v>1.0915070880241431</v>
      </c>
      <c r="F144" s="3">
        <f>DNSPOntSourceData!G262</f>
        <v>494.9</v>
      </c>
      <c r="G144" s="3">
        <f>DNSPOntSourceData!H262</f>
        <v>656.7</v>
      </c>
      <c r="H144" s="3">
        <f>DNSPOntSourceData!I262</f>
        <v>84697</v>
      </c>
      <c r="I144" s="3">
        <f>DNSPOntSourceData!J262</f>
        <v>1127</v>
      </c>
      <c r="J144" s="3">
        <f>DNSPOntSourceData!K262</f>
        <v>414</v>
      </c>
      <c r="K144" s="12">
        <f>DNSPOntSourceData!L262</f>
        <v>0.36734693877551022</v>
      </c>
      <c r="L144" s="20" t="s">
        <v>38</v>
      </c>
    </row>
    <row r="145" spans="1:12">
      <c r="A145">
        <v>3011</v>
      </c>
      <c r="B145" s="2">
        <v>2010</v>
      </c>
      <c r="C145">
        <v>3</v>
      </c>
      <c r="D145" s="3">
        <f>DNSPOntSourceData!E263</f>
        <v>21711.555</v>
      </c>
      <c r="E145" s="5">
        <f>DNSPOntSourceData!F263</f>
        <v>1.1243125351578573</v>
      </c>
      <c r="F145" s="3">
        <f>DNSPOntSourceData!G263</f>
        <v>517.6</v>
      </c>
      <c r="G145" s="3">
        <f>DNSPOntSourceData!H263</f>
        <v>656.7</v>
      </c>
      <c r="H145" s="3">
        <f>DNSPOntSourceData!I263</f>
        <v>84866</v>
      </c>
      <c r="I145" s="3">
        <f>DNSPOntSourceData!J263</f>
        <v>1179</v>
      </c>
      <c r="J145" s="3">
        <f>DNSPOntSourceData!K263</f>
        <v>466</v>
      </c>
      <c r="K145" s="12">
        <f>DNSPOntSourceData!L263</f>
        <v>0.39525021204410515</v>
      </c>
      <c r="L145" s="20" t="s">
        <v>38</v>
      </c>
    </row>
    <row r="146" spans="1:12">
      <c r="A146">
        <v>3011</v>
      </c>
      <c r="B146">
        <v>2011</v>
      </c>
      <c r="C146">
        <v>3</v>
      </c>
      <c r="D146" s="3">
        <f>DNSPOntSourceData!E264</f>
        <v>22272.713230000001</v>
      </c>
      <c r="E146" s="5">
        <f>DNSPOntSourceData!F264</f>
        <v>1.1430978626415853</v>
      </c>
      <c r="F146" s="3">
        <f>DNSPOntSourceData!G264</f>
        <v>550.9</v>
      </c>
      <c r="G146" s="3">
        <f>DNSPOntSourceData!H264</f>
        <v>656.7</v>
      </c>
      <c r="H146" s="3">
        <f>DNSPOntSourceData!I264</f>
        <v>85083</v>
      </c>
      <c r="I146" s="3">
        <f>DNSPOntSourceData!J264</f>
        <v>1176</v>
      </c>
      <c r="J146" s="3">
        <f>DNSPOntSourceData!K264</f>
        <v>467.00000000000006</v>
      </c>
      <c r="K146" s="12">
        <f>DNSPOntSourceData!L264</f>
        <v>0.39710884353741499</v>
      </c>
      <c r="L146" s="20" t="s">
        <v>38</v>
      </c>
    </row>
    <row r="147" spans="1:12">
      <c r="A147">
        <v>3011</v>
      </c>
      <c r="B147" s="2">
        <v>2012</v>
      </c>
      <c r="C147">
        <v>3</v>
      </c>
      <c r="D147" s="3">
        <f>DNSPOntSourceData!E265</f>
        <v>25470.629300000001</v>
      </c>
      <c r="E147" s="5">
        <f>DNSPOntSourceData!F265</f>
        <v>1.160126854517312</v>
      </c>
      <c r="F147" s="3">
        <f>DNSPOntSourceData!G265</f>
        <v>516.29999999999995</v>
      </c>
      <c r="G147" s="3">
        <f>DNSPOntSourceData!H265</f>
        <v>656.7</v>
      </c>
      <c r="H147" s="3">
        <f>DNSPOntSourceData!I265</f>
        <v>85620</v>
      </c>
      <c r="I147" s="3">
        <f>DNSPOntSourceData!J265</f>
        <v>1159</v>
      </c>
      <c r="J147" s="3">
        <f>DNSPOntSourceData!K265</f>
        <v>468</v>
      </c>
      <c r="K147" s="12">
        <f>DNSPOntSourceData!L265</f>
        <v>0.40379637618636754</v>
      </c>
      <c r="L147" s="20" t="s">
        <v>38</v>
      </c>
    </row>
    <row r="148" spans="1:12">
      <c r="A148">
        <v>3011</v>
      </c>
      <c r="B148">
        <v>2013</v>
      </c>
      <c r="C148">
        <v>3</v>
      </c>
      <c r="D148" s="3">
        <f>DNSPOntSourceData!E266</f>
        <v>21511.933100000002</v>
      </c>
      <c r="E148" s="5">
        <f>DNSPOntSourceData!F266</f>
        <v>1.178602141578931</v>
      </c>
      <c r="F148" s="3">
        <f>DNSPOntSourceData!G266</f>
        <v>491.1</v>
      </c>
      <c r="G148" s="3">
        <f>DNSPOntSourceData!H266</f>
        <v>656.7</v>
      </c>
      <c r="H148" s="3">
        <f>DNSPOntSourceData!I266</f>
        <v>86018</v>
      </c>
      <c r="I148" s="3">
        <f>DNSPOntSourceData!J266</f>
        <v>1157</v>
      </c>
      <c r="J148" s="3">
        <f>DNSPOntSourceData!K266</f>
        <v>469</v>
      </c>
      <c r="K148" s="12">
        <f>DNSPOntSourceData!L266</f>
        <v>0.40535868625756266</v>
      </c>
      <c r="L148" s="20" t="s">
        <v>38</v>
      </c>
    </row>
    <row r="149" spans="1:12">
      <c r="A149">
        <v>3011</v>
      </c>
      <c r="B149" s="2">
        <v>2014</v>
      </c>
      <c r="C149">
        <v>3</v>
      </c>
      <c r="D149" s="3">
        <f>DNSPOntSourceData!E267</f>
        <v>22773.168000000001</v>
      </c>
      <c r="E149" s="5">
        <f>DNSPOntSourceData!F267</f>
        <v>1.2030671041042156</v>
      </c>
      <c r="F149" s="3">
        <f>DNSPOntSourceData!G267</f>
        <v>451.5</v>
      </c>
      <c r="G149" s="3">
        <f>DNSPOntSourceData!H267</f>
        <v>656.7</v>
      </c>
      <c r="H149" s="3">
        <f>DNSPOntSourceData!I267</f>
        <v>86662</v>
      </c>
      <c r="I149" s="3">
        <f>DNSPOntSourceData!J267</f>
        <v>1157</v>
      </c>
      <c r="J149" s="3">
        <f>DNSPOntSourceData!K267</f>
        <v>469</v>
      </c>
      <c r="K149" s="12">
        <f>DNSPOntSourceData!L267</f>
        <v>0.40535868625756266</v>
      </c>
      <c r="L149" s="20" t="s">
        <v>38</v>
      </c>
    </row>
    <row r="150" spans="1:12">
      <c r="A150">
        <v>3011</v>
      </c>
      <c r="B150">
        <v>2015</v>
      </c>
      <c r="C150">
        <v>3</v>
      </c>
      <c r="D150" s="3">
        <f>DNSPOntSourceData!E268</f>
        <v>23151.257000000001</v>
      </c>
      <c r="E150" s="5">
        <f>DNSPOntSourceData!F268</f>
        <v>1.2312762402864634</v>
      </c>
      <c r="F150" s="3">
        <f>DNSPOntSourceData!G268</f>
        <v>463.4</v>
      </c>
      <c r="G150" s="3">
        <f>DNSPOntSourceData!H268</f>
        <v>656.7</v>
      </c>
      <c r="H150" s="3">
        <f>DNSPOntSourceData!I268</f>
        <v>87212</v>
      </c>
      <c r="I150" s="3">
        <f>DNSPOntSourceData!J268</f>
        <v>1114</v>
      </c>
      <c r="J150" s="3">
        <f>DNSPOntSourceData!K268</f>
        <v>444</v>
      </c>
      <c r="K150" s="12">
        <f>DNSPOntSourceData!L268</f>
        <v>0.3985637342908438</v>
      </c>
      <c r="L150" s="20" t="s">
        <v>38</v>
      </c>
    </row>
    <row r="151" spans="1:12">
      <c r="A151">
        <v>3011</v>
      </c>
      <c r="B151" s="2">
        <v>2016</v>
      </c>
      <c r="C151">
        <v>3</v>
      </c>
      <c r="D151" s="3">
        <f>DNSPOntSourceData!E269</f>
        <v>24226.655849999999</v>
      </c>
      <c r="E151" s="5">
        <f>DNSPOntSourceData!F269</f>
        <v>1.2455044937824149</v>
      </c>
      <c r="F151" s="3">
        <f>DNSPOntSourceData!G269</f>
        <v>486.4</v>
      </c>
      <c r="G151" s="3">
        <f>DNSPOntSourceData!H269</f>
        <v>656.7</v>
      </c>
      <c r="H151" s="3">
        <f>DNSPOntSourceData!I269</f>
        <v>87901</v>
      </c>
      <c r="I151" s="3">
        <f>DNSPOntSourceData!J269</f>
        <v>1116</v>
      </c>
      <c r="J151" s="3">
        <f>DNSPOntSourceData!K269</f>
        <v>448</v>
      </c>
      <c r="K151" s="12">
        <f>DNSPOntSourceData!L269</f>
        <v>0.40143369175627241</v>
      </c>
      <c r="L151" s="20" t="s">
        <v>38</v>
      </c>
    </row>
    <row r="152" spans="1:12">
      <c r="A152">
        <v>3011</v>
      </c>
      <c r="B152">
        <v>2017</v>
      </c>
      <c r="C152">
        <v>3</v>
      </c>
      <c r="D152" s="3">
        <f>DNSPOntSourceData!E270</f>
        <v>26481.205320000001</v>
      </c>
      <c r="E152" s="5">
        <f>DNSPOntSourceData!F270</f>
        <v>1.2674505553724562</v>
      </c>
      <c r="F152" s="3">
        <f>DNSPOntSourceData!G270</f>
        <v>464.2</v>
      </c>
      <c r="G152" s="3">
        <f>DNSPOntSourceData!H270</f>
        <v>656.7</v>
      </c>
      <c r="H152" s="3">
        <f>DNSPOntSourceData!I270</f>
        <v>88422</v>
      </c>
      <c r="I152" s="94">
        <f>I151*I151/I150</f>
        <v>1118.0035906642729</v>
      </c>
      <c r="J152" s="94">
        <f>J151*J151/J150</f>
        <v>452.03603603603602</v>
      </c>
      <c r="K152" s="95">
        <f>J152/I152</f>
        <v>0.4043243150654412</v>
      </c>
      <c r="L152" s="20" t="s">
        <v>38</v>
      </c>
    </row>
    <row r="153" spans="1:12">
      <c r="A153">
        <v>3011</v>
      </c>
      <c r="B153" s="2">
        <v>2018</v>
      </c>
      <c r="C153">
        <v>3</v>
      </c>
      <c r="D153" s="3">
        <f>DNSPOntSourceData!E271</f>
        <v>25555.586070000005</v>
      </c>
      <c r="E153" s="5">
        <f>DNSPOntSourceData!F271</f>
        <v>1.2994718602728874</v>
      </c>
      <c r="F153" s="3">
        <f>DNSPOntSourceData!G271</f>
        <v>488.9</v>
      </c>
      <c r="G153" s="3">
        <f>DNSPOntSourceData!H271</f>
        <v>656.7</v>
      </c>
      <c r="H153" s="3">
        <f>DNSPOntSourceData!I271</f>
        <v>88978</v>
      </c>
      <c r="I153" s="94">
        <f>I152*DNSPOntSourceData!J271/DNSPOntSourceData!J270</f>
        <v>1118.0035906642729</v>
      </c>
      <c r="J153" s="94">
        <f>J152*DNSPOntSourceData!K271/DNSPOntSourceData!K270</f>
        <v>452.03603603603602</v>
      </c>
      <c r="K153" s="95">
        <f>J153/I153</f>
        <v>0.4043243150654412</v>
      </c>
      <c r="L153" s="20" t="s">
        <v>38</v>
      </c>
    </row>
    <row r="154" spans="1:12">
      <c r="A154" s="142">
        <v>3011</v>
      </c>
      <c r="B154" s="142">
        <v>2019</v>
      </c>
      <c r="C154" s="142">
        <v>3</v>
      </c>
      <c r="D154" s="3">
        <f>DNSPOntSourceData!E272</f>
        <v>24432.744719999999</v>
      </c>
      <c r="E154" s="5">
        <f>DNSPOntSourceData!F272</f>
        <v>1.3352608354138498</v>
      </c>
      <c r="F154" s="3">
        <f>DNSPOntSourceData!G272</f>
        <v>454.3</v>
      </c>
      <c r="G154" s="3">
        <f>DNSPOntSourceData!H272</f>
        <v>656.7</v>
      </c>
      <c r="H154" s="3">
        <f>DNSPOntSourceData!I272</f>
        <v>89561</v>
      </c>
      <c r="I154" s="94">
        <f>I153*DNSPOntSourceData!J272/DNSPOntSourceData!J271</f>
        <v>1138.4033001512489</v>
      </c>
      <c r="J154" s="94">
        <f>J153*DNSPOntSourceData!K272/DNSPOntSourceData!K271</f>
        <v>464.49568421784517</v>
      </c>
      <c r="K154" s="95">
        <f>J154/I154</f>
        <v>0.40802383843768902</v>
      </c>
      <c r="L154" s="20" t="s">
        <v>38</v>
      </c>
    </row>
    <row r="155" spans="1:12">
      <c r="A155">
        <v>3012</v>
      </c>
      <c r="B155">
        <v>2005</v>
      </c>
      <c r="C155">
        <v>3</v>
      </c>
      <c r="D155" s="3">
        <f>DNSPOntSourceData!E93</f>
        <v>10467.05126</v>
      </c>
      <c r="E155" s="5">
        <f>DNSPOntSourceData!F93</f>
        <v>1</v>
      </c>
      <c r="F155" s="3">
        <f>DNSPOntSourceData!G93</f>
        <v>364.96300000000002</v>
      </c>
      <c r="G155" s="3">
        <f>DNSPOntSourceData!H93</f>
        <v>364.96300000000002</v>
      </c>
      <c r="H155" s="3">
        <f>DNSPOntSourceData!I93</f>
        <v>59537</v>
      </c>
      <c r="I155" s="3">
        <f>DNSPOntSourceData!J93</f>
        <v>1384</v>
      </c>
      <c r="J155" s="3">
        <f>DNSPOntSourceData!K93</f>
        <v>570</v>
      </c>
      <c r="K155" s="12">
        <f>DNSPOntSourceData!L93</f>
        <v>0.41184971098265893</v>
      </c>
      <c r="L155" s="20" t="s">
        <v>30</v>
      </c>
    </row>
    <row r="156" spans="1:12">
      <c r="A156">
        <v>3012</v>
      </c>
      <c r="B156" s="2">
        <v>2006</v>
      </c>
      <c r="C156">
        <v>3</v>
      </c>
      <c r="D156" s="3">
        <f>DNSPOntSourceData!E94</f>
        <v>11587.44666</v>
      </c>
      <c r="E156" s="5">
        <f>DNSPOntSourceData!F94</f>
        <v>1.0181607380073696</v>
      </c>
      <c r="F156" s="3">
        <f>DNSPOntSourceData!G94</f>
        <v>378.16199999999998</v>
      </c>
      <c r="G156" s="3">
        <f>DNSPOntSourceData!H94</f>
        <v>378.16199999999998</v>
      </c>
      <c r="H156" s="3">
        <f>DNSPOntSourceData!I94</f>
        <v>60749</v>
      </c>
      <c r="I156" s="3">
        <f>DNSPOntSourceData!J94</f>
        <v>1511</v>
      </c>
      <c r="J156" s="3">
        <f>DNSPOntSourceData!K94</f>
        <v>616</v>
      </c>
      <c r="K156" s="12">
        <f>DNSPOntSourceData!L94</f>
        <v>0.40767703507610853</v>
      </c>
      <c r="L156" s="20" t="s">
        <v>30</v>
      </c>
    </row>
    <row r="157" spans="1:12">
      <c r="A157">
        <v>3012</v>
      </c>
      <c r="B157">
        <v>2007</v>
      </c>
      <c r="C157">
        <v>3</v>
      </c>
      <c r="D157" s="3">
        <f>DNSPOntSourceData!E95</f>
        <v>12009.95551</v>
      </c>
      <c r="E157" s="5">
        <f>DNSPOntSourceData!F95</f>
        <v>1.0531931014872313</v>
      </c>
      <c r="F157" s="3">
        <f>DNSPOntSourceData!G95</f>
        <v>367.28</v>
      </c>
      <c r="G157" s="3">
        <f>DNSPOntSourceData!H95</f>
        <v>378.16199999999998</v>
      </c>
      <c r="H157" s="3">
        <f>DNSPOntSourceData!I95</f>
        <v>61776</v>
      </c>
      <c r="I157" s="3">
        <f>DNSPOntSourceData!J95</f>
        <v>1548</v>
      </c>
      <c r="J157" s="3">
        <f>DNSPOntSourceData!K95</f>
        <v>623</v>
      </c>
      <c r="K157" s="12">
        <f>DNSPOntSourceData!L95</f>
        <v>0.40245478036175708</v>
      </c>
      <c r="L157" s="20" t="s">
        <v>30</v>
      </c>
    </row>
    <row r="158" spans="1:12">
      <c r="A158">
        <v>3012</v>
      </c>
      <c r="B158" s="2">
        <v>2008</v>
      </c>
      <c r="C158">
        <v>3</v>
      </c>
      <c r="D158" s="3">
        <f>DNSPOntSourceData!E96</f>
        <v>12638.48306</v>
      </c>
      <c r="E158" s="5">
        <f>DNSPOntSourceData!F96</f>
        <v>1.078564603993923</v>
      </c>
      <c r="F158" s="3">
        <f>DNSPOntSourceData!G96</f>
        <v>346.40899999999999</v>
      </c>
      <c r="G158" s="3">
        <f>DNSPOntSourceData!H96</f>
        <v>378.16199999999998</v>
      </c>
      <c r="H158" s="3">
        <f>DNSPOntSourceData!I96</f>
        <v>62737</v>
      </c>
      <c r="I158" s="3">
        <f>DNSPOntSourceData!J96</f>
        <v>1643</v>
      </c>
      <c r="J158" s="3">
        <f>DNSPOntSourceData!K96</f>
        <v>641</v>
      </c>
      <c r="K158" s="12">
        <f>DNSPOntSourceData!L96</f>
        <v>0.39013998782714548</v>
      </c>
      <c r="L158" s="20" t="s">
        <v>30</v>
      </c>
    </row>
    <row r="159" spans="1:12">
      <c r="A159">
        <v>3012</v>
      </c>
      <c r="B159">
        <v>2009</v>
      </c>
      <c r="C159">
        <v>3</v>
      </c>
      <c r="D159" s="3">
        <f>DNSPOntSourceData!E97</f>
        <v>12936.278319999999</v>
      </c>
      <c r="E159" s="5">
        <f>DNSPOntSourceData!F97</f>
        <v>1.0915070880241431</v>
      </c>
      <c r="F159" s="3">
        <f>DNSPOntSourceData!G97</f>
        <v>350.428</v>
      </c>
      <c r="G159" s="3">
        <f>DNSPOntSourceData!H97</f>
        <v>378.16199999999998</v>
      </c>
      <c r="H159" s="3">
        <f>DNSPOntSourceData!I97</f>
        <v>63532</v>
      </c>
      <c r="I159" s="3">
        <f>DNSPOntSourceData!J97</f>
        <v>1718</v>
      </c>
      <c r="J159" s="3">
        <f>DNSPOntSourceData!K97</f>
        <v>654</v>
      </c>
      <c r="K159" s="12">
        <f>DNSPOntSourceData!L97</f>
        <v>0.38067520372526192</v>
      </c>
      <c r="L159" s="20" t="s">
        <v>30</v>
      </c>
    </row>
    <row r="160" spans="1:12">
      <c r="A160">
        <v>3012</v>
      </c>
      <c r="B160" s="2">
        <v>2010</v>
      </c>
      <c r="C160">
        <v>3</v>
      </c>
      <c r="D160" s="3">
        <f>DNSPOntSourceData!E98</f>
        <v>13328.484169999998</v>
      </c>
      <c r="E160" s="5">
        <f>DNSPOntSourceData!F98</f>
        <v>1.1243125351578573</v>
      </c>
      <c r="F160" s="3">
        <f>DNSPOntSourceData!G98</f>
        <v>364.92899999999997</v>
      </c>
      <c r="G160" s="3">
        <f>DNSPOntSourceData!H98</f>
        <v>378.16199999999998</v>
      </c>
      <c r="H160" s="3">
        <f>DNSPOntSourceData!I98</f>
        <v>64329</v>
      </c>
      <c r="I160" s="3">
        <f>DNSPOntSourceData!J98</f>
        <v>1727</v>
      </c>
      <c r="J160" s="3">
        <f>DNSPOntSourceData!K98</f>
        <v>841</v>
      </c>
      <c r="K160" s="12">
        <f>DNSPOntSourceData!L98</f>
        <v>0.48697162709901565</v>
      </c>
      <c r="L160" s="20" t="s">
        <v>30</v>
      </c>
    </row>
    <row r="161" spans="1:12">
      <c r="A161">
        <v>3012</v>
      </c>
      <c r="B161">
        <v>2011</v>
      </c>
      <c r="C161">
        <v>3</v>
      </c>
      <c r="D161" s="3">
        <f>DNSPOntSourceData!E99</f>
        <v>14278.41078</v>
      </c>
      <c r="E161" s="5">
        <f>DNSPOntSourceData!F99</f>
        <v>1.1430978626415853</v>
      </c>
      <c r="F161" s="3">
        <f>DNSPOntSourceData!G99</f>
        <v>379.69</v>
      </c>
      <c r="G161" s="3">
        <f>DNSPOntSourceData!H99</f>
        <v>379.69</v>
      </c>
      <c r="H161" s="3">
        <f>DNSPOntSourceData!I99</f>
        <v>64329</v>
      </c>
      <c r="I161" s="3">
        <f>DNSPOntSourceData!J99</f>
        <v>1703</v>
      </c>
      <c r="J161" s="3">
        <f>DNSPOntSourceData!K99</f>
        <v>740</v>
      </c>
      <c r="K161" s="12">
        <f>DNSPOntSourceData!L99</f>
        <v>0.4345273047563124</v>
      </c>
      <c r="L161" s="20" t="s">
        <v>30</v>
      </c>
    </row>
    <row r="162" spans="1:12">
      <c r="A162">
        <v>3012</v>
      </c>
      <c r="B162" s="2">
        <v>2012</v>
      </c>
      <c r="C162">
        <v>3</v>
      </c>
      <c r="D162" s="3">
        <f>DNSPOntSourceData!E100</f>
        <v>15294.576514500002</v>
      </c>
      <c r="E162" s="5">
        <f>DNSPOntSourceData!F100</f>
        <v>1.160126854517312</v>
      </c>
      <c r="F162" s="3">
        <f>DNSPOntSourceData!G100</f>
        <v>373.21</v>
      </c>
      <c r="G162" s="3">
        <f>DNSPOntSourceData!H100</f>
        <v>379.69</v>
      </c>
      <c r="H162" s="3">
        <f>DNSPOntSourceData!I100</f>
        <v>65377</v>
      </c>
      <c r="I162" s="3">
        <f>DNSPOntSourceData!J100</f>
        <v>1520</v>
      </c>
      <c r="J162" s="3">
        <f>DNSPOntSourceData!K100</f>
        <v>658</v>
      </c>
      <c r="K162" s="12">
        <f>DNSPOntSourceData!L100</f>
        <v>0.43289473684210528</v>
      </c>
      <c r="L162" s="20" t="s">
        <v>30</v>
      </c>
    </row>
    <row r="163" spans="1:12">
      <c r="A163">
        <v>3012</v>
      </c>
      <c r="B163">
        <v>2013</v>
      </c>
      <c r="C163">
        <v>3</v>
      </c>
      <c r="D163" s="3">
        <f>DNSPOntSourceData!E101</f>
        <v>16773.83697</v>
      </c>
      <c r="E163" s="5">
        <f>DNSPOntSourceData!F101</f>
        <v>1.178602141578931</v>
      </c>
      <c r="F163" s="3">
        <f>DNSPOntSourceData!G101</f>
        <v>376.298</v>
      </c>
      <c r="G163" s="3">
        <f>DNSPOntSourceData!H101</f>
        <v>379.69</v>
      </c>
      <c r="H163" s="3">
        <f>DNSPOntSourceData!I101</f>
        <v>66704</v>
      </c>
      <c r="I163" s="3">
        <f>DNSPOntSourceData!J101</f>
        <v>1518</v>
      </c>
      <c r="J163" s="3">
        <f>DNSPOntSourceData!K101</f>
        <v>661</v>
      </c>
      <c r="K163" s="12">
        <f>DNSPOntSourceData!L101</f>
        <v>0.43544137022397894</v>
      </c>
      <c r="L163" s="20" t="s">
        <v>30</v>
      </c>
    </row>
    <row r="164" spans="1:12">
      <c r="A164">
        <v>3012</v>
      </c>
      <c r="B164" s="2">
        <v>2014</v>
      </c>
      <c r="C164">
        <v>3</v>
      </c>
      <c r="D164" s="3">
        <f>DNSPOntSourceData!E102</f>
        <v>16711.821</v>
      </c>
      <c r="E164" s="5">
        <f>DNSPOntSourceData!F102</f>
        <v>1.2030671041042156</v>
      </c>
      <c r="F164" s="3">
        <f>DNSPOntSourceData!G102</f>
        <v>325.553</v>
      </c>
      <c r="G164" s="3">
        <f>DNSPOntSourceData!H102</f>
        <v>379.69</v>
      </c>
      <c r="H164" s="3">
        <f>DNSPOntSourceData!I102</f>
        <v>66366</v>
      </c>
      <c r="I164" s="3">
        <f>DNSPOntSourceData!J102</f>
        <v>1520</v>
      </c>
      <c r="J164" s="3">
        <f>DNSPOntSourceData!K102</f>
        <v>668</v>
      </c>
      <c r="K164" s="12">
        <f>DNSPOntSourceData!L102</f>
        <v>0.43947368421052629</v>
      </c>
      <c r="L164" s="20" t="s">
        <v>30</v>
      </c>
    </row>
    <row r="165" spans="1:12">
      <c r="A165">
        <v>3012</v>
      </c>
      <c r="B165">
        <v>2015</v>
      </c>
      <c r="C165">
        <v>3</v>
      </c>
      <c r="D165" s="3">
        <f>DNSPOntSourceData!E103</f>
        <v>17198.232</v>
      </c>
      <c r="E165" s="5">
        <f>DNSPOntSourceData!F103</f>
        <v>1.2312762402864634</v>
      </c>
      <c r="F165" s="3">
        <f>DNSPOntSourceData!G103</f>
        <v>340.35199999999998</v>
      </c>
      <c r="G165" s="3">
        <f>DNSPOntSourceData!H103</f>
        <v>379.69</v>
      </c>
      <c r="H165" s="3">
        <f>DNSPOntSourceData!I103</f>
        <v>66656</v>
      </c>
      <c r="I165" s="3">
        <f>DNSPOntSourceData!J103</f>
        <v>1536</v>
      </c>
      <c r="J165" s="3">
        <f>DNSPOntSourceData!K103</f>
        <v>671</v>
      </c>
      <c r="K165" s="12">
        <f>DNSPOntSourceData!L103</f>
        <v>0.43684895833333331</v>
      </c>
      <c r="L165" s="20" t="s">
        <v>30</v>
      </c>
    </row>
    <row r="166" spans="1:12">
      <c r="A166">
        <v>3012</v>
      </c>
      <c r="B166" s="2">
        <v>2016</v>
      </c>
      <c r="C166">
        <v>3</v>
      </c>
      <c r="D166" s="3">
        <f>DNSPOntSourceData!E104</f>
        <v>17539.019809999998</v>
      </c>
      <c r="E166" s="5">
        <f>DNSPOntSourceData!F104</f>
        <v>1.2455044937824149</v>
      </c>
      <c r="F166" s="3">
        <f>DNSPOntSourceData!G104</f>
        <v>360.23200000000003</v>
      </c>
      <c r="G166" s="3">
        <f>DNSPOntSourceData!H104</f>
        <v>379.69</v>
      </c>
      <c r="H166" s="3">
        <f>DNSPOntSourceData!I104</f>
        <v>66824</v>
      </c>
      <c r="I166" s="3">
        <f>DNSPOntSourceData!J104</f>
        <v>1506</v>
      </c>
      <c r="J166" s="3">
        <f>DNSPOntSourceData!K104</f>
        <v>674</v>
      </c>
      <c r="K166" s="12">
        <f>DNSPOntSourceData!L104</f>
        <v>0.44754316069057104</v>
      </c>
      <c r="L166" s="20" t="s">
        <v>30</v>
      </c>
    </row>
    <row r="167" spans="1:12">
      <c r="A167">
        <v>3012</v>
      </c>
      <c r="B167">
        <v>2017</v>
      </c>
      <c r="C167">
        <v>3</v>
      </c>
      <c r="D167" s="3">
        <f>DNSPOntSourceData!E105</f>
        <v>17672.91821</v>
      </c>
      <c r="E167" s="5">
        <f>DNSPOntSourceData!F105</f>
        <v>1.2674505553724562</v>
      </c>
      <c r="F167" s="3">
        <f>DNSPOntSourceData!G105</f>
        <v>321.21100000000001</v>
      </c>
      <c r="G167" s="3">
        <f>DNSPOntSourceData!H105</f>
        <v>379.69</v>
      </c>
      <c r="H167" s="3">
        <f>DNSPOntSourceData!I105</f>
        <v>67122</v>
      </c>
      <c r="I167" s="3">
        <f>DNSPOntSourceData!J105</f>
        <v>1534</v>
      </c>
      <c r="J167" s="3">
        <f>DNSPOntSourceData!K105</f>
        <v>679</v>
      </c>
      <c r="K167" s="12">
        <f>DNSPOntSourceData!L105</f>
        <v>0.44263363754889179</v>
      </c>
      <c r="L167" s="20" t="s">
        <v>30</v>
      </c>
    </row>
    <row r="168" spans="1:12">
      <c r="A168">
        <v>3012</v>
      </c>
      <c r="B168" s="2">
        <v>2018</v>
      </c>
      <c r="C168">
        <v>3</v>
      </c>
      <c r="D168" s="3">
        <f>DNSPOntSourceData!E106</f>
        <v>18025.935079999999</v>
      </c>
      <c r="E168" s="5">
        <f>DNSPOntSourceData!F106</f>
        <v>1.2994718602728874</v>
      </c>
      <c r="F168" s="3">
        <f>DNSPOntSourceData!G106</f>
        <v>351.43799999999999</v>
      </c>
      <c r="G168" s="3">
        <f>DNSPOntSourceData!H106</f>
        <v>379.69</v>
      </c>
      <c r="H168" s="3">
        <f>DNSPOntSourceData!I106</f>
        <v>67940</v>
      </c>
      <c r="I168" s="3">
        <f>DNSPOntSourceData!J106</f>
        <v>1535</v>
      </c>
      <c r="J168" s="3">
        <f>DNSPOntSourceData!K106</f>
        <v>682</v>
      </c>
      <c r="K168" s="12">
        <f>DNSPOntSourceData!L106</f>
        <v>0.44429967426710099</v>
      </c>
      <c r="L168" s="20" t="s">
        <v>30</v>
      </c>
    </row>
    <row r="169" spans="1:12">
      <c r="A169" s="142">
        <v>3012</v>
      </c>
      <c r="B169" s="142">
        <v>2019</v>
      </c>
      <c r="C169" s="142">
        <v>3</v>
      </c>
      <c r="D169" s="3">
        <f>DNSPOntSourceData!E107</f>
        <v>19043.935529999999</v>
      </c>
      <c r="E169" s="5">
        <f>DNSPOntSourceData!F107</f>
        <v>1.3352608354138498</v>
      </c>
      <c r="F169" s="3">
        <f>DNSPOntSourceData!G107</f>
        <v>323.41399999999999</v>
      </c>
      <c r="G169" s="3">
        <f>DNSPOntSourceData!H107</f>
        <v>379.69</v>
      </c>
      <c r="H169" s="3">
        <f>DNSPOntSourceData!I107</f>
        <v>68205</v>
      </c>
      <c r="I169" s="3">
        <f>DNSPOntSourceData!J107</f>
        <v>1539</v>
      </c>
      <c r="J169" s="3">
        <f>DNSPOntSourceData!K107</f>
        <v>687</v>
      </c>
      <c r="K169" s="12">
        <f>DNSPOntSourceData!L107</f>
        <v>0.44639376218323584</v>
      </c>
      <c r="L169" s="20" t="s">
        <v>30</v>
      </c>
    </row>
    <row r="170" spans="1:12">
      <c r="A170">
        <v>3013</v>
      </c>
      <c r="B170">
        <v>2005</v>
      </c>
      <c r="C170">
        <v>3</v>
      </c>
      <c r="D170" s="3">
        <f>DNSPOntSourceData!E753</f>
        <v>9670.2355499999994</v>
      </c>
      <c r="E170" s="5">
        <f>DNSPOntSourceData!F753</f>
        <v>1</v>
      </c>
      <c r="F170" s="3">
        <f>DNSPOntSourceData!G753</f>
        <v>335.42700000000002</v>
      </c>
      <c r="G170" s="3">
        <f>DNSPOntSourceData!H753</f>
        <v>335.42700000000002</v>
      </c>
      <c r="H170" s="3">
        <f>DNSPOntSourceData!I753</f>
        <v>54677</v>
      </c>
      <c r="I170" s="3">
        <f>DNSPOntSourceData!J753</f>
        <v>1347</v>
      </c>
      <c r="J170" s="3">
        <f>DNSPOntSourceData!K753</f>
        <v>812</v>
      </c>
      <c r="K170" s="12">
        <f>DNSPOntSourceData!L753</f>
        <v>0.60282108389012623</v>
      </c>
      <c r="L170" s="20" t="s">
        <v>71</v>
      </c>
    </row>
    <row r="171" spans="1:12">
      <c r="A171">
        <v>3013</v>
      </c>
      <c r="B171" s="2">
        <v>2006</v>
      </c>
      <c r="C171">
        <v>3</v>
      </c>
      <c r="D171" s="3">
        <f>DNSPOntSourceData!E754</f>
        <v>10955.81517</v>
      </c>
      <c r="E171" s="5">
        <f>DNSPOntSourceData!F754</f>
        <v>1.0181607380073696</v>
      </c>
      <c r="F171" s="3">
        <f>DNSPOntSourceData!G754</f>
        <v>363.98700000000002</v>
      </c>
      <c r="G171" s="3">
        <f>DNSPOntSourceData!H754</f>
        <v>363.98700000000002</v>
      </c>
      <c r="H171" s="3">
        <f>DNSPOntSourceData!I754</f>
        <v>58220</v>
      </c>
      <c r="I171" s="3">
        <f>DNSPOntSourceData!J754</f>
        <v>1372</v>
      </c>
      <c r="J171" s="3">
        <f>DNSPOntSourceData!K754</f>
        <v>832</v>
      </c>
      <c r="K171" s="12">
        <f>DNSPOntSourceData!L754</f>
        <v>0.60641399416909625</v>
      </c>
      <c r="L171" s="20" t="s">
        <v>71</v>
      </c>
    </row>
    <row r="172" spans="1:12">
      <c r="A172">
        <v>3013</v>
      </c>
      <c r="B172">
        <v>2007</v>
      </c>
      <c r="C172">
        <v>3</v>
      </c>
      <c r="D172" s="3">
        <f>DNSPOntSourceData!E755</f>
        <v>10541.91063</v>
      </c>
      <c r="E172" s="5">
        <f>DNSPOntSourceData!F755</f>
        <v>1.0531931014872313</v>
      </c>
      <c r="F172" s="3">
        <f>DNSPOntSourceData!G755</f>
        <v>351.18799999999999</v>
      </c>
      <c r="G172" s="3">
        <f>DNSPOntSourceData!H755</f>
        <v>363.98700000000002</v>
      </c>
      <c r="H172" s="3">
        <f>DNSPOntSourceData!I755</f>
        <v>59883</v>
      </c>
      <c r="I172" s="3">
        <f>DNSPOntSourceData!J755</f>
        <v>1397</v>
      </c>
      <c r="J172" s="3">
        <f>DNSPOntSourceData!K755</f>
        <v>851.99999999999989</v>
      </c>
      <c r="K172" s="12">
        <f>DNSPOntSourceData!L755</f>
        <v>0.60987831066571219</v>
      </c>
      <c r="L172" s="20" t="s">
        <v>71</v>
      </c>
    </row>
    <row r="173" spans="1:12">
      <c r="A173">
        <v>3013</v>
      </c>
      <c r="B173" s="2">
        <v>2008</v>
      </c>
      <c r="C173">
        <v>3</v>
      </c>
      <c r="D173" s="3">
        <f>DNSPOntSourceData!E756</f>
        <v>9628.9823100000012</v>
      </c>
      <c r="E173" s="5">
        <f>DNSPOntSourceData!F756</f>
        <v>1.078564603993923</v>
      </c>
      <c r="F173" s="3">
        <f>DNSPOntSourceData!G756</f>
        <v>347.83199999999999</v>
      </c>
      <c r="G173" s="3">
        <f>DNSPOntSourceData!H756</f>
        <v>363.98700000000002</v>
      </c>
      <c r="H173" s="3">
        <f>DNSPOntSourceData!I756</f>
        <v>62038</v>
      </c>
      <c r="I173" s="3">
        <f>DNSPOntSourceData!J756</f>
        <v>1414</v>
      </c>
      <c r="J173" s="3">
        <f>DNSPOntSourceData!K756</f>
        <v>867</v>
      </c>
      <c r="K173" s="12">
        <f>DNSPOntSourceData!L756</f>
        <v>0.61315417256011318</v>
      </c>
      <c r="L173" s="20" t="s">
        <v>71</v>
      </c>
    </row>
    <row r="174" spans="1:12">
      <c r="A174">
        <v>3013</v>
      </c>
      <c r="B174">
        <v>2009</v>
      </c>
      <c r="C174">
        <v>3</v>
      </c>
      <c r="D174" s="3">
        <f>DNSPOntSourceData!E757</f>
        <v>10168.114280000002</v>
      </c>
      <c r="E174" s="5">
        <f>DNSPOntSourceData!F757</f>
        <v>1.0915070880241431</v>
      </c>
      <c r="F174" s="3">
        <f>DNSPOntSourceData!G757</f>
        <v>339.62900000000002</v>
      </c>
      <c r="G174" s="3">
        <f>DNSPOntSourceData!H757</f>
        <v>363.98700000000002</v>
      </c>
      <c r="H174" s="3">
        <f>DNSPOntSourceData!I757</f>
        <v>62179</v>
      </c>
      <c r="I174" s="3">
        <f>DNSPOntSourceData!J757</f>
        <v>1428</v>
      </c>
      <c r="J174" s="3">
        <f>DNSPOntSourceData!K757</f>
        <v>877</v>
      </c>
      <c r="K174" s="12">
        <f>DNSPOntSourceData!L757</f>
        <v>0.61414565826330536</v>
      </c>
      <c r="L174" s="20" t="s">
        <v>71</v>
      </c>
    </row>
    <row r="175" spans="1:12">
      <c r="A175">
        <v>3013</v>
      </c>
      <c r="B175" s="2">
        <v>2010</v>
      </c>
      <c r="C175">
        <v>3</v>
      </c>
      <c r="D175" s="3">
        <f>DNSPOntSourceData!E758</f>
        <v>10805.669199999998</v>
      </c>
      <c r="E175" s="5">
        <f>DNSPOntSourceData!F758</f>
        <v>1.1243125351578573</v>
      </c>
      <c r="F175" s="3">
        <f>DNSPOntSourceData!G758</f>
        <v>354.83</v>
      </c>
      <c r="G175" s="3">
        <f>DNSPOntSourceData!H758</f>
        <v>363.98700000000002</v>
      </c>
      <c r="H175" s="3">
        <f>DNSPOntSourceData!I758</f>
        <v>62674</v>
      </c>
      <c r="I175" s="3">
        <f>DNSPOntSourceData!J758</f>
        <v>1439</v>
      </c>
      <c r="J175" s="3">
        <f>DNSPOntSourceData!K758</f>
        <v>886</v>
      </c>
      <c r="K175" s="12">
        <f>DNSPOntSourceData!L758</f>
        <v>0.61570535093815149</v>
      </c>
      <c r="L175" s="20" t="s">
        <v>71</v>
      </c>
    </row>
    <row r="176" spans="1:12">
      <c r="A176">
        <v>3013</v>
      </c>
      <c r="B176">
        <v>2011</v>
      </c>
      <c r="C176">
        <v>3</v>
      </c>
      <c r="D176" s="3">
        <f>DNSPOntSourceData!E759</f>
        <v>12832.360600000002</v>
      </c>
      <c r="E176" s="5">
        <f>DNSPOntSourceData!F759</f>
        <v>1.1430978626415853</v>
      </c>
      <c r="F176" s="3">
        <f>DNSPOntSourceData!G759</f>
        <v>380.1</v>
      </c>
      <c r="G176" s="3">
        <f>DNSPOntSourceData!H759</f>
        <v>380.1</v>
      </c>
      <c r="H176" s="3">
        <f>DNSPOntSourceData!I759</f>
        <v>63614</v>
      </c>
      <c r="I176" s="3">
        <f>DNSPOntSourceData!J759</f>
        <v>1455</v>
      </c>
      <c r="J176" s="3">
        <f>DNSPOntSourceData!K759</f>
        <v>894</v>
      </c>
      <c r="K176" s="12">
        <f>DNSPOntSourceData!L759</f>
        <v>0.61443298969072169</v>
      </c>
      <c r="L176" s="20" t="s">
        <v>71</v>
      </c>
    </row>
    <row r="177" spans="1:12">
      <c r="A177">
        <v>3013</v>
      </c>
      <c r="B177" s="2">
        <v>2012</v>
      </c>
      <c r="C177">
        <v>3</v>
      </c>
      <c r="D177" s="3">
        <f>DNSPOntSourceData!E760</f>
        <v>13122.737663600001</v>
      </c>
      <c r="E177" s="5">
        <f>DNSPOntSourceData!F760</f>
        <v>1.160126854517312</v>
      </c>
      <c r="F177" s="3">
        <f>DNSPOntSourceData!G760</f>
        <v>362.48200000000003</v>
      </c>
      <c r="G177" s="3">
        <f>DNSPOntSourceData!H760</f>
        <v>380.1</v>
      </c>
      <c r="H177" s="3">
        <f>DNSPOntSourceData!I760</f>
        <v>64106</v>
      </c>
      <c r="I177" s="3">
        <f>DNSPOntSourceData!J760</f>
        <v>1529</v>
      </c>
      <c r="J177" s="3">
        <f>DNSPOntSourceData!K760</f>
        <v>1070</v>
      </c>
      <c r="K177" s="12">
        <f>DNSPOntSourceData!L760</f>
        <v>0.69980379332897313</v>
      </c>
      <c r="L177" s="20" t="s">
        <v>71</v>
      </c>
    </row>
    <row r="178" spans="1:12">
      <c r="A178">
        <v>3013</v>
      </c>
      <c r="B178">
        <v>2013</v>
      </c>
      <c r="C178">
        <v>3</v>
      </c>
      <c r="D178" s="3">
        <f>DNSPOntSourceData!E761</f>
        <v>16795.533849999993</v>
      </c>
      <c r="E178" s="5">
        <f>DNSPOntSourceData!F761</f>
        <v>1.178602141578931</v>
      </c>
      <c r="F178" s="3">
        <f>DNSPOntSourceData!G761</f>
        <v>365.53699999999998</v>
      </c>
      <c r="G178" s="3">
        <f>DNSPOntSourceData!H761</f>
        <v>380.1</v>
      </c>
      <c r="H178" s="3">
        <f>DNSPOntSourceData!I761</f>
        <v>64793</v>
      </c>
      <c r="I178" s="3">
        <f>DNSPOntSourceData!J761</f>
        <v>1793</v>
      </c>
      <c r="J178" s="3">
        <f>DNSPOntSourceData!K761</f>
        <v>1313</v>
      </c>
      <c r="K178" s="12">
        <f>DNSPOntSourceData!L761</f>
        <v>0.73229224762967093</v>
      </c>
      <c r="L178" s="20" t="s">
        <v>71</v>
      </c>
    </row>
    <row r="179" spans="1:12">
      <c r="A179">
        <v>3013</v>
      </c>
      <c r="B179" s="2">
        <v>2014</v>
      </c>
      <c r="C179">
        <v>3</v>
      </c>
      <c r="D179" s="3">
        <f>DNSPOntSourceData!E762</f>
        <v>16768.976999999999</v>
      </c>
      <c r="E179" s="5">
        <f>DNSPOntSourceData!F762</f>
        <v>1.2030671041042156</v>
      </c>
      <c r="F179" s="3">
        <f>DNSPOntSourceData!G762</f>
        <v>330.02199999999999</v>
      </c>
      <c r="G179" s="3">
        <f>DNSPOntSourceData!H762</f>
        <v>380.1</v>
      </c>
      <c r="H179" s="3">
        <f>DNSPOntSourceData!I762</f>
        <v>66531</v>
      </c>
      <c r="I179" s="3">
        <f>DNSPOntSourceData!J762</f>
        <v>1834</v>
      </c>
      <c r="J179" s="3">
        <f>DNSPOntSourceData!K762</f>
        <v>1348</v>
      </c>
      <c r="K179" s="12">
        <f>DNSPOntSourceData!L762</f>
        <v>0.73500545256270444</v>
      </c>
      <c r="L179" s="20" t="s">
        <v>71</v>
      </c>
    </row>
    <row r="180" spans="1:12">
      <c r="A180">
        <v>3013</v>
      </c>
      <c r="B180">
        <v>2015</v>
      </c>
      <c r="C180">
        <v>3</v>
      </c>
      <c r="D180" s="3">
        <f>DNSPOntSourceData!E763</f>
        <v>17379.03</v>
      </c>
      <c r="E180" s="5">
        <f>DNSPOntSourceData!F763</f>
        <v>1.2312762402864634</v>
      </c>
      <c r="F180" s="3">
        <f>DNSPOntSourceData!G763</f>
        <v>340.88</v>
      </c>
      <c r="G180" s="3">
        <f>DNSPOntSourceData!H763</f>
        <v>380.1</v>
      </c>
      <c r="H180" s="3">
        <f>DNSPOntSourceData!I763</f>
        <v>67388</v>
      </c>
      <c r="I180" s="3">
        <f>DNSPOntSourceData!J763</f>
        <v>1846</v>
      </c>
      <c r="J180" s="3">
        <f>DNSPOntSourceData!K763</f>
        <v>1359</v>
      </c>
      <c r="K180" s="12">
        <f>DNSPOntSourceData!L763</f>
        <v>0.73618634886240519</v>
      </c>
      <c r="L180" s="20" t="s">
        <v>71</v>
      </c>
    </row>
    <row r="181" spans="1:12">
      <c r="A181">
        <v>3013</v>
      </c>
      <c r="B181" s="2">
        <v>2016</v>
      </c>
      <c r="C181">
        <v>3</v>
      </c>
      <c r="D181" s="3">
        <f>DNSPOntSourceData!E764</f>
        <v>17048.726920000001</v>
      </c>
      <c r="E181" s="5">
        <f>DNSPOntSourceData!F764</f>
        <v>1.2455044937824149</v>
      </c>
      <c r="F181" s="3">
        <f>DNSPOntSourceData!G764</f>
        <v>373.87400000000002</v>
      </c>
      <c r="G181" s="3">
        <f>DNSPOntSourceData!H764</f>
        <v>380.1</v>
      </c>
      <c r="H181" s="3">
        <f>DNSPOntSourceData!I764</f>
        <v>68811</v>
      </c>
      <c r="I181" s="3">
        <f>DNSPOntSourceData!J764</f>
        <v>1883</v>
      </c>
      <c r="J181" s="3">
        <f>DNSPOntSourceData!K764</f>
        <v>1389</v>
      </c>
      <c r="K181" s="12">
        <f>DNSPOntSourceData!L764</f>
        <v>0.73765268189060007</v>
      </c>
      <c r="L181" s="20" t="s">
        <v>71</v>
      </c>
    </row>
    <row r="182" spans="1:12">
      <c r="A182">
        <v>3013</v>
      </c>
      <c r="B182">
        <v>2017</v>
      </c>
      <c r="C182">
        <v>3</v>
      </c>
      <c r="D182" s="3">
        <f>DNSPOntSourceData!E765</f>
        <v>17537.918539999999</v>
      </c>
      <c r="E182" s="5">
        <f>DNSPOntSourceData!F765</f>
        <v>1.2674505553724562</v>
      </c>
      <c r="F182" s="3">
        <f>DNSPOntSourceData!G765</f>
        <v>312.50900000000001</v>
      </c>
      <c r="G182" s="3">
        <f>DNSPOntSourceData!H765</f>
        <v>380.1</v>
      </c>
      <c r="H182" s="3">
        <f>DNSPOntSourceData!I765</f>
        <v>70492</v>
      </c>
      <c r="I182" s="3">
        <f>DNSPOntSourceData!J765</f>
        <v>1912</v>
      </c>
      <c r="J182" s="3">
        <f>DNSPOntSourceData!K765</f>
        <v>1421</v>
      </c>
      <c r="K182" s="12">
        <f>DNSPOntSourceData!L765</f>
        <v>0.74320083682008364</v>
      </c>
      <c r="L182" s="20" t="s">
        <v>71</v>
      </c>
    </row>
    <row r="183" spans="1:12">
      <c r="A183">
        <v>3013</v>
      </c>
      <c r="B183" s="2">
        <v>2018</v>
      </c>
      <c r="C183">
        <v>3</v>
      </c>
      <c r="D183" s="3">
        <f>DNSPOntSourceData!E766</f>
        <v>17915.297000000002</v>
      </c>
      <c r="E183" s="5">
        <f>DNSPOntSourceData!F766</f>
        <v>1.2994718602728874</v>
      </c>
      <c r="F183" s="3">
        <f>DNSPOntSourceData!G766</f>
        <v>364.78100000000001</v>
      </c>
      <c r="G183" s="3">
        <f>DNSPOntSourceData!H766</f>
        <v>380.1</v>
      </c>
      <c r="H183" s="3">
        <f>DNSPOntSourceData!I766</f>
        <v>72109</v>
      </c>
      <c r="I183" s="3">
        <f>DNSPOntSourceData!J766</f>
        <v>1914</v>
      </c>
      <c r="J183" s="3">
        <f>DNSPOntSourceData!K766</f>
        <v>1425</v>
      </c>
      <c r="K183" s="12">
        <f>DNSPOntSourceData!L766</f>
        <v>0.74451410658307215</v>
      </c>
      <c r="L183" s="20" t="s">
        <v>71</v>
      </c>
    </row>
    <row r="184" spans="1:12">
      <c r="A184" s="142">
        <v>3013</v>
      </c>
      <c r="B184" s="142">
        <v>2019</v>
      </c>
      <c r="C184" s="142">
        <v>3</v>
      </c>
      <c r="D184" s="3">
        <f>DNSPOntSourceData!E767</f>
        <v>17906.961609999998</v>
      </c>
      <c r="E184" s="5">
        <f>DNSPOntSourceData!F767</f>
        <v>1.3352608354138498</v>
      </c>
      <c r="F184" s="3">
        <f>DNSPOntSourceData!G767</f>
        <v>337.95299999999997</v>
      </c>
      <c r="G184" s="3">
        <f>DNSPOntSourceData!H767</f>
        <v>380.1</v>
      </c>
      <c r="H184" s="3">
        <f>DNSPOntSourceData!I767</f>
        <v>73134</v>
      </c>
      <c r="I184" s="3">
        <f>DNSPOntSourceData!J767</f>
        <v>1914</v>
      </c>
      <c r="J184" s="3">
        <f>DNSPOntSourceData!K767</f>
        <v>1425</v>
      </c>
      <c r="K184" s="12">
        <f>DNSPOntSourceData!L767</f>
        <v>0.74451410658307215</v>
      </c>
      <c r="L184" s="20" t="s">
        <v>71</v>
      </c>
    </row>
    <row r="185" spans="1:12">
      <c r="A185">
        <v>3014</v>
      </c>
      <c r="B185">
        <v>2005</v>
      </c>
      <c r="C185">
        <v>3</v>
      </c>
      <c r="D185" s="3">
        <f>DNSPOntSourceData!E1023</f>
        <v>7870.7134599999999</v>
      </c>
      <c r="E185" s="5">
        <f>DNSPOntSourceData!F1023</f>
        <v>1</v>
      </c>
      <c r="F185" s="3">
        <f>DNSPOntSourceData!G1023</f>
        <v>258.20400000000001</v>
      </c>
      <c r="G185" s="3">
        <f>DNSPOntSourceData!H1023</f>
        <v>258.20400000000001</v>
      </c>
      <c r="H185" s="3">
        <f>DNSPOntSourceData!I1023</f>
        <v>48041</v>
      </c>
      <c r="I185" s="3">
        <f>DNSPOntSourceData!J1023</f>
        <v>1334</v>
      </c>
      <c r="J185" s="3">
        <f>DNSPOntSourceData!K1023</f>
        <v>397.99999999999994</v>
      </c>
      <c r="K185" s="12">
        <f>DNSPOntSourceData!L1023</f>
        <v>0.29835082458770612</v>
      </c>
      <c r="L185" s="20" t="s">
        <v>89</v>
      </c>
    </row>
    <row r="186" spans="1:12">
      <c r="A186">
        <v>3014</v>
      </c>
      <c r="B186" s="2">
        <v>2006</v>
      </c>
      <c r="C186">
        <v>3</v>
      </c>
      <c r="D186" s="3">
        <f>DNSPOntSourceData!E1024</f>
        <v>8120.0051400000002</v>
      </c>
      <c r="E186" s="5">
        <f>DNSPOntSourceData!F1024</f>
        <v>1.0181607380073696</v>
      </c>
      <c r="F186" s="3">
        <f>DNSPOntSourceData!G1024</f>
        <v>267.63099999999997</v>
      </c>
      <c r="G186" s="3">
        <f>DNSPOntSourceData!H1024</f>
        <v>267.63099999999997</v>
      </c>
      <c r="H186" s="3">
        <f>DNSPOntSourceData!I1024</f>
        <v>48777</v>
      </c>
      <c r="I186" s="3">
        <f>DNSPOntSourceData!J1024</f>
        <v>1342</v>
      </c>
      <c r="J186" s="3">
        <f>DNSPOntSourceData!K1024</f>
        <v>402</v>
      </c>
      <c r="K186" s="12">
        <f>DNSPOntSourceData!L1024</f>
        <v>0.29955290611028318</v>
      </c>
      <c r="L186" s="20" t="s">
        <v>89</v>
      </c>
    </row>
    <row r="187" spans="1:12">
      <c r="A187">
        <v>3014</v>
      </c>
      <c r="B187">
        <v>2007</v>
      </c>
      <c r="C187">
        <v>3</v>
      </c>
      <c r="D187" s="3">
        <f>DNSPOntSourceData!E1025</f>
        <v>8261.8517199999987</v>
      </c>
      <c r="E187" s="5">
        <f>DNSPOntSourceData!F1025</f>
        <v>1.0531931014872313</v>
      </c>
      <c r="F187" s="3">
        <f>DNSPOntSourceData!G1025</f>
        <v>264.91500000000002</v>
      </c>
      <c r="G187" s="3">
        <f>DNSPOntSourceData!H1025</f>
        <v>267.63099999999997</v>
      </c>
      <c r="H187" s="3">
        <f>DNSPOntSourceData!I1025</f>
        <v>49558</v>
      </c>
      <c r="I187" s="3">
        <f>DNSPOntSourceData!J1025</f>
        <v>1522.5</v>
      </c>
      <c r="J187" s="3">
        <f>DNSPOntSourceData!K1025</f>
        <v>480</v>
      </c>
      <c r="K187" s="12">
        <f>DNSPOntSourceData!L1025</f>
        <v>0.31527093596059114</v>
      </c>
      <c r="L187" s="20" t="s">
        <v>89</v>
      </c>
    </row>
    <row r="188" spans="1:12">
      <c r="A188">
        <v>3014</v>
      </c>
      <c r="B188" s="2">
        <v>2008</v>
      </c>
      <c r="C188">
        <v>3</v>
      </c>
      <c r="D188" s="3">
        <f>DNSPOntSourceData!E1026</f>
        <v>8360.0183099999995</v>
      </c>
      <c r="E188" s="5">
        <f>DNSPOntSourceData!F1026</f>
        <v>1.078564603993923</v>
      </c>
      <c r="F188" s="3">
        <f>DNSPOntSourceData!G1026</f>
        <v>255.54</v>
      </c>
      <c r="G188" s="3">
        <f>DNSPOntSourceData!H1026</f>
        <v>267.63099999999997</v>
      </c>
      <c r="H188" s="3">
        <f>DNSPOntSourceData!I1026</f>
        <v>50478</v>
      </c>
      <c r="I188" s="3">
        <f>DNSPOntSourceData!J1026</f>
        <v>1542</v>
      </c>
      <c r="J188" s="3">
        <f>DNSPOntSourceData!K1026</f>
        <v>483</v>
      </c>
      <c r="K188" s="12">
        <f>DNSPOntSourceData!L1026</f>
        <v>0.3132295719844358</v>
      </c>
      <c r="L188" s="20" t="s">
        <v>89</v>
      </c>
    </row>
    <row r="189" spans="1:12">
      <c r="A189">
        <v>3014</v>
      </c>
      <c r="B189">
        <v>2009</v>
      </c>
      <c r="C189">
        <v>3</v>
      </c>
      <c r="D189" s="3">
        <f>DNSPOntSourceData!E1027</f>
        <v>8429.6470000000008</v>
      </c>
      <c r="E189" s="5">
        <f>DNSPOntSourceData!F1027</f>
        <v>1.0915070880241431</v>
      </c>
      <c r="F189" s="3">
        <f>DNSPOntSourceData!G1027</f>
        <v>259.23200000000003</v>
      </c>
      <c r="G189" s="3">
        <f>DNSPOntSourceData!H1027</f>
        <v>267.63099999999997</v>
      </c>
      <c r="H189" s="3">
        <f>DNSPOntSourceData!I1027</f>
        <v>51075</v>
      </c>
      <c r="I189" s="3">
        <f>DNSPOntSourceData!J1027</f>
        <v>1541</v>
      </c>
      <c r="J189" s="3">
        <f>DNSPOntSourceData!K1027</f>
        <v>482</v>
      </c>
      <c r="K189" s="12">
        <f>DNSPOntSourceData!L1027</f>
        <v>0.31278390655418559</v>
      </c>
      <c r="L189" s="20" t="s">
        <v>89</v>
      </c>
    </row>
    <row r="190" spans="1:12">
      <c r="A190">
        <v>3014</v>
      </c>
      <c r="B190" s="2">
        <v>2010</v>
      </c>
      <c r="C190">
        <v>3</v>
      </c>
      <c r="D190" s="3">
        <f>DNSPOntSourceData!E1028</f>
        <v>9181.2678699999997</v>
      </c>
      <c r="E190" s="5">
        <f>DNSPOntSourceData!F1028</f>
        <v>1.1243125351578573</v>
      </c>
      <c r="F190" s="3">
        <f>DNSPOntSourceData!G1028</f>
        <v>283.517</v>
      </c>
      <c r="G190" s="3">
        <f>DNSPOntSourceData!H1028</f>
        <v>283.517</v>
      </c>
      <c r="H190" s="3">
        <f>DNSPOntSourceData!I1028</f>
        <v>51914</v>
      </c>
      <c r="I190" s="3">
        <f>DNSPOntSourceData!J1028</f>
        <v>1547</v>
      </c>
      <c r="J190" s="3">
        <f>DNSPOntSourceData!K1028</f>
        <v>488</v>
      </c>
      <c r="K190" s="12">
        <f>DNSPOntSourceData!L1028</f>
        <v>0.3154492566257272</v>
      </c>
      <c r="L190" s="20" t="s">
        <v>89</v>
      </c>
    </row>
    <row r="191" spans="1:12">
      <c r="A191">
        <v>3014</v>
      </c>
      <c r="B191">
        <v>2011</v>
      </c>
      <c r="C191">
        <v>3</v>
      </c>
      <c r="D191" s="3">
        <f>DNSPOntSourceData!E1029</f>
        <v>9361.1634000000013</v>
      </c>
      <c r="E191" s="5">
        <f>DNSPOntSourceData!F1029</f>
        <v>1.1430978626415853</v>
      </c>
      <c r="F191" s="3">
        <f>DNSPOntSourceData!G1029</f>
        <v>294.34899999999999</v>
      </c>
      <c r="G191" s="3">
        <f>DNSPOntSourceData!H1029</f>
        <v>294.34899999999999</v>
      </c>
      <c r="H191" s="3">
        <f>DNSPOntSourceData!I1029</f>
        <v>52612</v>
      </c>
      <c r="I191" s="3">
        <f>DNSPOntSourceData!J1029</f>
        <v>1542</v>
      </c>
      <c r="J191" s="3">
        <f>DNSPOntSourceData!K1029</f>
        <v>490.99999999999994</v>
      </c>
      <c r="K191" s="12">
        <f>DNSPOntSourceData!L1029</f>
        <v>0.31841763942931256</v>
      </c>
      <c r="L191" s="20" t="s">
        <v>89</v>
      </c>
    </row>
    <row r="192" spans="1:12">
      <c r="A192">
        <v>3014</v>
      </c>
      <c r="B192" s="2">
        <v>2012</v>
      </c>
      <c r="C192">
        <v>3</v>
      </c>
      <c r="D192" s="3">
        <f>DNSPOntSourceData!E1030</f>
        <v>9445.4500157000002</v>
      </c>
      <c r="E192" s="5">
        <f>DNSPOntSourceData!F1030</f>
        <v>1.160126854517312</v>
      </c>
      <c r="F192" s="3">
        <f>DNSPOntSourceData!G1030</f>
        <v>286.31</v>
      </c>
      <c r="G192" s="3">
        <f>DNSPOntSourceData!H1030</f>
        <v>294.34899999999999</v>
      </c>
      <c r="H192" s="3">
        <f>DNSPOntSourceData!I1030</f>
        <v>53388</v>
      </c>
      <c r="I192" s="3">
        <f>DNSPOntSourceData!J1030</f>
        <v>1557</v>
      </c>
      <c r="J192" s="3">
        <f>DNSPOntSourceData!K1030</f>
        <v>494</v>
      </c>
      <c r="K192" s="12">
        <f>DNSPOntSourceData!L1030</f>
        <v>0.31727681438664096</v>
      </c>
      <c r="L192" s="20" t="s">
        <v>89</v>
      </c>
    </row>
    <row r="193" spans="1:12">
      <c r="A193">
        <v>3014</v>
      </c>
      <c r="B193">
        <v>2013</v>
      </c>
      <c r="C193">
        <v>3</v>
      </c>
      <c r="D193" s="3">
        <f>DNSPOntSourceData!E1031</f>
        <v>12543.73192</v>
      </c>
      <c r="E193" s="5">
        <f>DNSPOntSourceData!F1031</f>
        <v>1.178602141578931</v>
      </c>
      <c r="F193" s="3">
        <f>DNSPOntSourceData!G1031</f>
        <v>295.13</v>
      </c>
      <c r="G193" s="3">
        <f>DNSPOntSourceData!H1031</f>
        <v>295.13</v>
      </c>
      <c r="H193" s="3">
        <f>DNSPOntSourceData!I1031</f>
        <v>54166</v>
      </c>
      <c r="I193" s="3">
        <f>DNSPOntSourceData!J1031</f>
        <v>1574</v>
      </c>
      <c r="J193" s="3">
        <f>DNSPOntSourceData!K1031</f>
        <v>503</v>
      </c>
      <c r="K193" s="12">
        <f>DNSPOntSourceData!L1031</f>
        <v>0.31956797966963152</v>
      </c>
      <c r="L193" s="20" t="s">
        <v>89</v>
      </c>
    </row>
    <row r="194" spans="1:12">
      <c r="A194">
        <v>3014</v>
      </c>
      <c r="B194" s="2">
        <v>2014</v>
      </c>
      <c r="C194">
        <v>3</v>
      </c>
      <c r="D194" s="3">
        <f>DNSPOntSourceData!E1032</f>
        <v>13122.197</v>
      </c>
      <c r="E194" s="5">
        <f>DNSPOntSourceData!F1032</f>
        <v>1.2030671041042156</v>
      </c>
      <c r="F194" s="3">
        <f>DNSPOntSourceData!G1032</f>
        <v>269.24</v>
      </c>
      <c r="G194" s="3">
        <f>DNSPOntSourceData!H1032</f>
        <v>295.13</v>
      </c>
      <c r="H194" s="3">
        <f>DNSPOntSourceData!I1032</f>
        <v>54675</v>
      </c>
      <c r="I194" s="3">
        <f>DNSPOntSourceData!J1032</f>
        <v>1581</v>
      </c>
      <c r="J194" s="3">
        <f>DNSPOntSourceData!K1032</f>
        <v>513</v>
      </c>
      <c r="K194" s="12">
        <f>DNSPOntSourceData!L1032</f>
        <v>0.32447817836812143</v>
      </c>
      <c r="L194" s="20" t="s">
        <v>89</v>
      </c>
    </row>
    <row r="195" spans="1:12">
      <c r="A195">
        <v>3014</v>
      </c>
      <c r="B195">
        <v>2015</v>
      </c>
      <c r="C195">
        <v>3</v>
      </c>
      <c r="D195" s="3">
        <f>DNSPOntSourceData!E1033</f>
        <v>12148.95</v>
      </c>
      <c r="E195" s="5">
        <f>DNSPOntSourceData!F1033</f>
        <v>1.2312762402864634</v>
      </c>
      <c r="F195" s="3">
        <f>DNSPOntSourceData!G1033</f>
        <v>269.42700000000002</v>
      </c>
      <c r="G195" s="3">
        <f>DNSPOntSourceData!H1033</f>
        <v>295.13</v>
      </c>
      <c r="H195" s="3">
        <f>DNSPOntSourceData!I1033</f>
        <v>55417</v>
      </c>
      <c r="I195" s="3">
        <f>DNSPOntSourceData!J1033</f>
        <v>1618</v>
      </c>
      <c r="J195" s="3">
        <f>DNSPOntSourceData!K1033</f>
        <v>532</v>
      </c>
      <c r="K195" s="12">
        <f>DNSPOntSourceData!L1033</f>
        <v>0.32880098887515452</v>
      </c>
      <c r="L195" s="20" t="s">
        <v>89</v>
      </c>
    </row>
    <row r="196" spans="1:12">
      <c r="A196">
        <v>3014</v>
      </c>
      <c r="B196" s="2">
        <v>2016</v>
      </c>
      <c r="C196">
        <v>3</v>
      </c>
      <c r="D196" s="3">
        <f>DNSPOntSourceData!E1034</f>
        <v>12139.696300000001</v>
      </c>
      <c r="E196" s="5">
        <f>DNSPOntSourceData!F1034</f>
        <v>1.2455044937824149</v>
      </c>
      <c r="F196" s="3">
        <f>DNSPOntSourceData!G1034</f>
        <v>291.41399999999999</v>
      </c>
      <c r="G196" s="3">
        <f>DNSPOntSourceData!H1034</f>
        <v>295.13</v>
      </c>
      <c r="H196" s="3">
        <f>DNSPOntSourceData!I1034</f>
        <v>56231</v>
      </c>
      <c r="I196" s="3">
        <f>DNSPOntSourceData!J1034</f>
        <v>1619</v>
      </c>
      <c r="J196" s="3">
        <f>DNSPOntSourceData!K1034</f>
        <v>551</v>
      </c>
      <c r="K196" s="12">
        <f>DNSPOntSourceData!L1034</f>
        <v>0.34033353922174181</v>
      </c>
      <c r="L196" s="20" t="s">
        <v>89</v>
      </c>
    </row>
    <row r="197" spans="1:12">
      <c r="A197">
        <v>3014</v>
      </c>
      <c r="B197">
        <v>2017</v>
      </c>
      <c r="C197">
        <v>3</v>
      </c>
      <c r="D197" s="3">
        <f>DNSPOntSourceData!E1035</f>
        <v>12895.779060000001</v>
      </c>
      <c r="E197" s="5">
        <f>DNSPOntSourceData!F1035</f>
        <v>1.2674505553724562</v>
      </c>
      <c r="F197" s="3">
        <f>DNSPOntSourceData!G1035</f>
        <v>270.34100000000001</v>
      </c>
      <c r="G197" s="3">
        <f>DNSPOntSourceData!H1035</f>
        <v>295.13</v>
      </c>
      <c r="H197" s="3">
        <f>DNSPOntSourceData!I1035</f>
        <v>57042</v>
      </c>
      <c r="I197" s="3">
        <f>DNSPOntSourceData!J1035</f>
        <v>1646</v>
      </c>
      <c r="J197" s="3">
        <f>DNSPOntSourceData!K1035</f>
        <v>566</v>
      </c>
      <c r="K197" s="12">
        <f>DNSPOntSourceData!L1035</f>
        <v>0.34386391251518833</v>
      </c>
      <c r="L197" s="20" t="s">
        <v>89</v>
      </c>
    </row>
    <row r="198" spans="1:12">
      <c r="A198">
        <v>3014</v>
      </c>
      <c r="B198" s="2">
        <v>2018</v>
      </c>
      <c r="C198">
        <v>3</v>
      </c>
      <c r="D198" s="3">
        <f>DNSPOntSourceData!E1036</f>
        <v>13837.41424</v>
      </c>
      <c r="E198" s="5">
        <f>DNSPOntSourceData!F1036</f>
        <v>1.2994718602728874</v>
      </c>
      <c r="F198" s="3">
        <f>DNSPOntSourceData!G1036</f>
        <v>290.74700000000001</v>
      </c>
      <c r="G198" s="3">
        <f>DNSPOntSourceData!H1036</f>
        <v>295.13</v>
      </c>
      <c r="H198" s="3">
        <f>DNSPOntSourceData!I1036</f>
        <v>57472</v>
      </c>
      <c r="I198" s="3">
        <f>DNSPOntSourceData!J1036</f>
        <v>1652</v>
      </c>
      <c r="J198" s="3">
        <f>DNSPOntSourceData!K1036</f>
        <v>576</v>
      </c>
      <c r="K198" s="12">
        <f>DNSPOntSourceData!L1036</f>
        <v>0.34866828087167068</v>
      </c>
      <c r="L198" s="20" t="s">
        <v>89</v>
      </c>
    </row>
    <row r="199" spans="1:12">
      <c r="A199" s="142">
        <v>3014</v>
      </c>
      <c r="B199" s="142">
        <v>2019</v>
      </c>
      <c r="C199" s="142">
        <v>3</v>
      </c>
      <c r="D199" s="3">
        <f>DNSPOntSourceData!E1037</f>
        <v>13878.886420000001</v>
      </c>
      <c r="E199" s="5">
        <f>DNSPOntSourceData!F1037</f>
        <v>1.3352608354138498</v>
      </c>
      <c r="F199" s="3">
        <f>DNSPOntSourceData!G1037</f>
        <v>271.173</v>
      </c>
      <c r="G199" s="3">
        <f>DNSPOntSourceData!H1037</f>
        <v>295.13</v>
      </c>
      <c r="H199" s="3">
        <f>DNSPOntSourceData!I1037</f>
        <v>57856</v>
      </c>
      <c r="I199" s="3">
        <f>DNSPOntSourceData!J1037</f>
        <v>1648</v>
      </c>
      <c r="J199" s="3">
        <f>DNSPOntSourceData!K1037</f>
        <v>576</v>
      </c>
      <c r="K199" s="12">
        <f>DNSPOntSourceData!L1037</f>
        <v>0.34951456310679613</v>
      </c>
      <c r="L199" s="20" t="s">
        <v>89</v>
      </c>
    </row>
    <row r="200" spans="1:12">
      <c r="A200">
        <v>3015</v>
      </c>
      <c r="B200">
        <v>2005</v>
      </c>
      <c r="C200">
        <v>3</v>
      </c>
      <c r="D200" s="3">
        <f>DNSPOntSourceData!E798</f>
        <v>7675.8416899999993</v>
      </c>
      <c r="E200" s="5">
        <f>DNSPOntSourceData!F798</f>
        <v>1</v>
      </c>
      <c r="F200" s="3">
        <f>DNSPOntSourceData!G798</f>
        <v>217.81399999999999</v>
      </c>
      <c r="G200" s="3">
        <f>DNSPOntSourceData!H798</f>
        <v>217.81399999999999</v>
      </c>
      <c r="H200" s="3">
        <f>DNSPOntSourceData!I798</f>
        <v>49500</v>
      </c>
      <c r="I200" s="94">
        <f>I201*I201/I202</f>
        <v>915.37880377754459</v>
      </c>
      <c r="J200" s="94">
        <f>J201*J201/J202</f>
        <v>422.18409090909091</v>
      </c>
      <c r="K200" s="95">
        <f>J200/I200</f>
        <v>0.46121243922935551</v>
      </c>
      <c r="L200" s="20" t="s">
        <v>74</v>
      </c>
    </row>
    <row r="201" spans="1:12">
      <c r="A201">
        <v>3015</v>
      </c>
      <c r="B201" s="2">
        <v>2006</v>
      </c>
      <c r="C201">
        <v>3</v>
      </c>
      <c r="D201" s="3">
        <f>DNSPOntSourceData!E799</f>
        <v>7571.1170899999997</v>
      </c>
      <c r="E201" s="5">
        <f>DNSPOntSourceData!F799</f>
        <v>1.0181607380073696</v>
      </c>
      <c r="F201" s="3">
        <f>DNSPOntSourceData!G799</f>
        <v>222.83199999999999</v>
      </c>
      <c r="G201" s="3">
        <f>DNSPOntSourceData!H799</f>
        <v>222.83199999999999</v>
      </c>
      <c r="H201" s="3">
        <f>DNSPOntSourceData!I799</f>
        <v>50528</v>
      </c>
      <c r="I201" s="3">
        <f>DNSPOntSourceData!J799</f>
        <v>934</v>
      </c>
      <c r="J201" s="3">
        <f>DNSPOntSourceData!K799</f>
        <v>431</v>
      </c>
      <c r="K201" s="12">
        <f>DNSPOntSourceData!L799</f>
        <v>0.4614561027837259</v>
      </c>
      <c r="L201" s="20" t="s">
        <v>74</v>
      </c>
    </row>
    <row r="202" spans="1:12">
      <c r="A202">
        <v>3015</v>
      </c>
      <c r="B202">
        <v>2007</v>
      </c>
      <c r="C202">
        <v>3</v>
      </c>
      <c r="D202" s="3">
        <f>DNSPOntSourceData!E800</f>
        <v>8193.4672499999997</v>
      </c>
      <c r="E202" s="5">
        <f>DNSPOntSourceData!F800</f>
        <v>1.0531931014872313</v>
      </c>
      <c r="F202" s="3">
        <f>DNSPOntSourceData!G800</f>
        <v>221.904</v>
      </c>
      <c r="G202" s="3">
        <f>DNSPOntSourceData!H800</f>
        <v>222.83199999999999</v>
      </c>
      <c r="H202" s="3">
        <f>DNSPOntSourceData!I800</f>
        <v>50980</v>
      </c>
      <c r="I202" s="3">
        <f>DNSPOntSourceData!J800</f>
        <v>953</v>
      </c>
      <c r="J202" s="3">
        <f>DNSPOntSourceData!K800</f>
        <v>440</v>
      </c>
      <c r="K202" s="12">
        <f>DNSPOntSourceData!L800</f>
        <v>0.46169989506820569</v>
      </c>
      <c r="L202" s="20" t="s">
        <v>74</v>
      </c>
    </row>
    <row r="203" spans="1:12">
      <c r="A203">
        <v>3015</v>
      </c>
      <c r="B203" s="2">
        <v>2008</v>
      </c>
      <c r="C203">
        <v>3</v>
      </c>
      <c r="D203" s="3">
        <f>DNSPOntSourceData!E801</f>
        <v>8435.6861599999993</v>
      </c>
      <c r="E203" s="5">
        <f>DNSPOntSourceData!F801</f>
        <v>1.078564603993923</v>
      </c>
      <c r="F203" s="3">
        <f>DNSPOntSourceData!G801</f>
        <v>208.345</v>
      </c>
      <c r="G203" s="3">
        <f>DNSPOntSourceData!H801</f>
        <v>222.83199999999999</v>
      </c>
      <c r="H203" s="3">
        <f>DNSPOntSourceData!I801</f>
        <v>51813</v>
      </c>
      <c r="I203" s="3">
        <f>DNSPOntSourceData!J801</f>
        <v>948</v>
      </c>
      <c r="J203" s="3">
        <f>DNSPOntSourceData!K801</f>
        <v>438</v>
      </c>
      <c r="K203" s="12">
        <f>DNSPOntSourceData!L801</f>
        <v>0.46202531645569622</v>
      </c>
      <c r="L203" s="20" t="s">
        <v>74</v>
      </c>
    </row>
    <row r="204" spans="1:12">
      <c r="A204">
        <v>3015</v>
      </c>
      <c r="B204">
        <v>2009</v>
      </c>
      <c r="C204">
        <v>3</v>
      </c>
      <c r="D204" s="3">
        <f>DNSPOntSourceData!E802</f>
        <v>8399.8458200000005</v>
      </c>
      <c r="E204" s="5">
        <f>DNSPOntSourceData!F802</f>
        <v>1.0915070880241431</v>
      </c>
      <c r="F204" s="3">
        <f>DNSPOntSourceData!G802</f>
        <v>210.06800000000001</v>
      </c>
      <c r="G204" s="3">
        <f>DNSPOntSourceData!H802</f>
        <v>222.83199999999999</v>
      </c>
      <c r="H204" s="3">
        <f>DNSPOntSourceData!I802</f>
        <v>52184</v>
      </c>
      <c r="I204" s="3">
        <f>DNSPOntSourceData!J802</f>
        <v>950</v>
      </c>
      <c r="J204" s="3">
        <f>DNSPOntSourceData!K802</f>
        <v>439</v>
      </c>
      <c r="K204" s="12">
        <f>DNSPOntSourceData!L802</f>
        <v>0.46210526315789474</v>
      </c>
      <c r="L204" s="20" t="s">
        <v>74</v>
      </c>
    </row>
    <row r="205" spans="1:12">
      <c r="A205">
        <v>3015</v>
      </c>
      <c r="B205" s="2">
        <v>2010</v>
      </c>
      <c r="C205">
        <v>3</v>
      </c>
      <c r="D205" s="3">
        <f>DNSPOntSourceData!E803</f>
        <v>8362.7870000000003</v>
      </c>
      <c r="E205" s="5">
        <f>DNSPOntSourceData!F803</f>
        <v>1.1243125351578573</v>
      </c>
      <c r="F205" s="3">
        <f>DNSPOntSourceData!G803</f>
        <v>220.11500000000001</v>
      </c>
      <c r="G205" s="3">
        <f>DNSPOntSourceData!H803</f>
        <v>222.83199999999999</v>
      </c>
      <c r="H205" s="3">
        <f>DNSPOntSourceData!I803</f>
        <v>52710</v>
      </c>
      <c r="I205" s="3">
        <f>DNSPOntSourceData!J803</f>
        <v>955</v>
      </c>
      <c r="J205" s="3">
        <f>DNSPOntSourceData!K803</f>
        <v>393</v>
      </c>
      <c r="K205" s="12">
        <f>DNSPOntSourceData!L803</f>
        <v>0.41151832460732984</v>
      </c>
      <c r="L205" s="20" t="s">
        <v>74</v>
      </c>
    </row>
    <row r="206" spans="1:12">
      <c r="A206">
        <v>3015</v>
      </c>
      <c r="B206">
        <v>2011</v>
      </c>
      <c r="C206">
        <v>3</v>
      </c>
      <c r="D206" s="3">
        <f>DNSPOntSourceData!E804</f>
        <v>9463.9615289999983</v>
      </c>
      <c r="E206" s="5">
        <f>DNSPOntSourceData!F804</f>
        <v>1.1430978626415853</v>
      </c>
      <c r="F206" s="3">
        <f>DNSPOntSourceData!G804</f>
        <v>234.84899999999999</v>
      </c>
      <c r="G206" s="3">
        <f>DNSPOntSourceData!H804</f>
        <v>234.84899999999999</v>
      </c>
      <c r="H206" s="3">
        <f>DNSPOntSourceData!I804</f>
        <v>53083</v>
      </c>
      <c r="I206" s="3">
        <f>DNSPOntSourceData!J804</f>
        <v>987</v>
      </c>
      <c r="J206" s="3">
        <f>DNSPOntSourceData!K804</f>
        <v>417</v>
      </c>
      <c r="K206" s="12">
        <f>DNSPOntSourceData!L804</f>
        <v>0.42249240121580545</v>
      </c>
      <c r="L206" s="20" t="s">
        <v>74</v>
      </c>
    </row>
    <row r="207" spans="1:12">
      <c r="A207">
        <v>3015</v>
      </c>
      <c r="B207" s="2">
        <v>2012</v>
      </c>
      <c r="C207">
        <v>3</v>
      </c>
      <c r="D207" s="3">
        <f>DNSPOntSourceData!E805</f>
        <v>10665.324000000001</v>
      </c>
      <c r="E207" s="5">
        <f>DNSPOntSourceData!F805</f>
        <v>1.160126854517312</v>
      </c>
      <c r="F207" s="3">
        <f>DNSPOntSourceData!G805</f>
        <v>231.09299999999999</v>
      </c>
      <c r="G207" s="3">
        <f>DNSPOntSourceData!H805</f>
        <v>234.84899999999999</v>
      </c>
      <c r="H207" s="3">
        <f>DNSPOntSourceData!I805</f>
        <v>53361</v>
      </c>
      <c r="I207" s="3">
        <f>DNSPOntSourceData!J805</f>
        <v>996</v>
      </c>
      <c r="J207" s="3">
        <f>DNSPOntSourceData!K805</f>
        <v>423</v>
      </c>
      <c r="K207" s="12">
        <f>DNSPOntSourceData!L805</f>
        <v>0.4246987951807229</v>
      </c>
      <c r="L207" s="20" t="s">
        <v>74</v>
      </c>
    </row>
    <row r="208" spans="1:12">
      <c r="A208">
        <v>3015</v>
      </c>
      <c r="B208">
        <v>2013</v>
      </c>
      <c r="C208">
        <v>3</v>
      </c>
      <c r="D208" s="3">
        <f>DNSPOntSourceData!E806</f>
        <v>10496.48403</v>
      </c>
      <c r="E208" s="5">
        <f>DNSPOntSourceData!F806</f>
        <v>1.178602141578931</v>
      </c>
      <c r="F208" s="3">
        <f>DNSPOntSourceData!G806</f>
        <v>227.923</v>
      </c>
      <c r="G208" s="3">
        <f>DNSPOntSourceData!H806</f>
        <v>234.84899999999999</v>
      </c>
      <c r="H208" s="3">
        <f>DNSPOntSourceData!I806</f>
        <v>53969</v>
      </c>
      <c r="I208" s="3">
        <f>DNSPOntSourceData!J806</f>
        <v>1007</v>
      </c>
      <c r="J208" s="3">
        <f>DNSPOntSourceData!K806</f>
        <v>429</v>
      </c>
      <c r="K208" s="12">
        <f>DNSPOntSourceData!L806</f>
        <v>0.4260178748758689</v>
      </c>
      <c r="L208" s="20" t="s">
        <v>74</v>
      </c>
    </row>
    <row r="209" spans="1:12">
      <c r="A209">
        <v>3015</v>
      </c>
      <c r="B209" s="2">
        <v>2014</v>
      </c>
      <c r="C209">
        <v>3</v>
      </c>
      <c r="D209" s="3">
        <f>DNSPOntSourceData!E807</f>
        <v>10490.056</v>
      </c>
      <c r="E209" s="5">
        <f>DNSPOntSourceData!F807</f>
        <v>1.2030671041042156</v>
      </c>
      <c r="F209" s="3">
        <f>DNSPOntSourceData!G807</f>
        <v>214.547</v>
      </c>
      <c r="G209" s="3">
        <f>DNSPOntSourceData!H807</f>
        <v>234.84899999999999</v>
      </c>
      <c r="H209" s="3">
        <f>DNSPOntSourceData!I807</f>
        <v>54731</v>
      </c>
      <c r="I209" s="3">
        <f>DNSPOntSourceData!J807</f>
        <v>950</v>
      </c>
      <c r="J209" s="3">
        <f>DNSPOntSourceData!K807</f>
        <v>429</v>
      </c>
      <c r="K209" s="12">
        <f>DNSPOntSourceData!L807</f>
        <v>0.45157894736842108</v>
      </c>
      <c r="L209" s="20" t="s">
        <v>74</v>
      </c>
    </row>
    <row r="210" spans="1:12">
      <c r="A210">
        <v>3015</v>
      </c>
      <c r="B210">
        <v>2015</v>
      </c>
      <c r="C210">
        <v>3</v>
      </c>
      <c r="D210" s="3">
        <f>DNSPOntSourceData!E808</f>
        <v>11377.239</v>
      </c>
      <c r="E210" s="5">
        <f>DNSPOntSourceData!F808</f>
        <v>1.2312762402864634</v>
      </c>
      <c r="F210" s="3">
        <f>DNSPOntSourceData!G808</f>
        <v>211.375</v>
      </c>
      <c r="G210" s="3">
        <f>DNSPOntSourceData!H808</f>
        <v>234.84899999999999</v>
      </c>
      <c r="H210" s="3">
        <f>DNSPOntSourceData!I808</f>
        <v>55949</v>
      </c>
      <c r="I210" s="3">
        <f>DNSPOntSourceData!J808</f>
        <v>962</v>
      </c>
      <c r="J210" s="3">
        <f>DNSPOntSourceData!K808</f>
        <v>441</v>
      </c>
      <c r="K210" s="12">
        <f>DNSPOntSourceData!L808</f>
        <v>0.45841995841995842</v>
      </c>
      <c r="L210" s="20" t="s">
        <v>74</v>
      </c>
    </row>
    <row r="211" spans="1:12">
      <c r="A211">
        <v>3015</v>
      </c>
      <c r="B211" s="2">
        <v>2016</v>
      </c>
      <c r="C211">
        <v>3</v>
      </c>
      <c r="D211" s="3">
        <f>DNSPOntSourceData!E809</f>
        <v>11720.224759999999</v>
      </c>
      <c r="E211" s="5">
        <f>DNSPOntSourceData!F809</f>
        <v>1.2455044937824149</v>
      </c>
      <c r="F211" s="3">
        <f>DNSPOntSourceData!G809</f>
        <v>221.78100000000001</v>
      </c>
      <c r="G211" s="3">
        <f>DNSPOntSourceData!H809</f>
        <v>234.84899999999999</v>
      </c>
      <c r="H211" s="3">
        <f>DNSPOntSourceData!I809</f>
        <v>56811</v>
      </c>
      <c r="I211" s="3">
        <f>DNSPOntSourceData!J809</f>
        <v>970</v>
      </c>
      <c r="J211" s="3">
        <f>DNSPOntSourceData!K809</f>
        <v>450</v>
      </c>
      <c r="K211" s="12">
        <f>DNSPOntSourceData!L809</f>
        <v>0.46391752577319589</v>
      </c>
      <c r="L211" s="20" t="s">
        <v>74</v>
      </c>
    </row>
    <row r="212" spans="1:12">
      <c r="A212">
        <v>3015</v>
      </c>
      <c r="B212">
        <v>2017</v>
      </c>
      <c r="C212">
        <v>3</v>
      </c>
      <c r="D212" s="3">
        <f>DNSPOntSourceData!E810</f>
        <v>12150.794340000002</v>
      </c>
      <c r="E212" s="5">
        <f>DNSPOntSourceData!F810</f>
        <v>1.2674505553724562</v>
      </c>
      <c r="F212" s="3">
        <f>DNSPOntSourceData!G810</f>
        <v>208.62700000000001</v>
      </c>
      <c r="G212" s="3">
        <f>DNSPOntSourceData!H810</f>
        <v>234.84899999999999</v>
      </c>
      <c r="H212" s="3">
        <f>DNSPOntSourceData!I810</f>
        <v>57584</v>
      </c>
      <c r="I212" s="3">
        <f>DNSPOntSourceData!J810</f>
        <v>980</v>
      </c>
      <c r="J212" s="3">
        <f>DNSPOntSourceData!K810</f>
        <v>460</v>
      </c>
      <c r="K212" s="12">
        <f>DNSPOntSourceData!L810</f>
        <v>0.46938775510204084</v>
      </c>
      <c r="L212" s="20" t="s">
        <v>74</v>
      </c>
    </row>
    <row r="213" spans="1:12">
      <c r="A213">
        <v>3015</v>
      </c>
      <c r="B213" s="2">
        <v>2018</v>
      </c>
      <c r="C213">
        <v>3</v>
      </c>
      <c r="D213" s="3">
        <f>DNSPOntSourceData!E811</f>
        <v>13100.433999999999</v>
      </c>
      <c r="E213" s="5">
        <f>DNSPOntSourceData!F811</f>
        <v>1.2994718602728874</v>
      </c>
      <c r="F213" s="3">
        <f>DNSPOntSourceData!G811</f>
        <v>232.44900000000001</v>
      </c>
      <c r="G213" s="3">
        <f>DNSPOntSourceData!H811</f>
        <v>234.84899999999999</v>
      </c>
      <c r="H213" s="3">
        <f>DNSPOntSourceData!I811</f>
        <v>58745</v>
      </c>
      <c r="I213" s="3">
        <f>DNSPOntSourceData!J811</f>
        <v>985</v>
      </c>
      <c r="J213" s="3">
        <f>DNSPOntSourceData!K811</f>
        <v>462</v>
      </c>
      <c r="K213" s="12">
        <f>DNSPOntSourceData!L811</f>
        <v>0.46903553299492384</v>
      </c>
      <c r="L213" s="20" t="s">
        <v>74</v>
      </c>
    </row>
    <row r="214" spans="1:12">
      <c r="A214" s="142">
        <v>3015</v>
      </c>
      <c r="B214" s="142">
        <v>2019</v>
      </c>
      <c r="C214" s="142">
        <v>3</v>
      </c>
      <c r="D214" s="3">
        <f>DNSPOntSourceData!E812</f>
        <v>12607.249100000001</v>
      </c>
      <c r="E214" s="5">
        <f>DNSPOntSourceData!F812</f>
        <v>1.3352608354138498</v>
      </c>
      <c r="F214" s="3">
        <f>DNSPOntSourceData!G812</f>
        <v>213.29599999999999</v>
      </c>
      <c r="G214" s="3">
        <f>DNSPOntSourceData!H812</f>
        <v>234.84899999999999</v>
      </c>
      <c r="H214" s="3">
        <f>DNSPOntSourceData!I812</f>
        <v>59183</v>
      </c>
      <c r="I214" s="3">
        <f>DNSPOntSourceData!J812</f>
        <v>1010</v>
      </c>
      <c r="J214" s="3">
        <f>DNSPOntSourceData!K812</f>
        <v>463</v>
      </c>
      <c r="K214" s="12">
        <f>DNSPOntSourceData!L812</f>
        <v>0.45841584158415843</v>
      </c>
      <c r="L214" s="20" t="s">
        <v>74</v>
      </c>
    </row>
    <row r="215" spans="1:12">
      <c r="A215">
        <v>3016</v>
      </c>
      <c r="B215">
        <v>2005</v>
      </c>
      <c r="C215">
        <v>3</v>
      </c>
      <c r="D215" s="3">
        <f>DNSPOntSourceData!E63+DNSPOntSourceData!E108+DNSPOntSourceData!E213</f>
        <v>10063.708719999999</v>
      </c>
      <c r="E215" s="5">
        <f>DNSPOntSourceData!F813</f>
        <v>1</v>
      </c>
      <c r="F215" s="3">
        <f>DNSPOntSourceData!G63+DNSPOntSourceData!G108+DNSPOntSourceData!G213</f>
        <v>358.57299999999998</v>
      </c>
      <c r="G215" s="3">
        <f>F215</f>
        <v>358.57299999999998</v>
      </c>
      <c r="H215" s="3">
        <f>DNSPOntSourceData!I63+DNSPOntSourceData!I108+DNSPOntSourceData!I213</f>
        <v>56495</v>
      </c>
      <c r="I215" s="3">
        <f>DNSPOntSourceData!J63+DNSPOntSourceData!J108+DNSPOntSourceData!J213</f>
        <v>1521</v>
      </c>
      <c r="J215" s="3">
        <f>DNSPOntSourceData!K63+DNSPOntSourceData!K108+DNSPOntSourceData!K213</f>
        <v>389</v>
      </c>
      <c r="K215" s="12">
        <f>J215/I215</f>
        <v>0.25575279421433267</v>
      </c>
      <c r="L215" s="15" t="s">
        <v>320</v>
      </c>
    </row>
    <row r="216" spans="1:12">
      <c r="A216">
        <v>3016</v>
      </c>
      <c r="B216" s="2">
        <v>2006</v>
      </c>
      <c r="C216">
        <v>3</v>
      </c>
      <c r="D216" s="3">
        <f>DNSPOntSourceData!E64+DNSPOntSourceData!E109+DNSPOntSourceData!E214</f>
        <v>10551.771349999999</v>
      </c>
      <c r="E216" s="5">
        <f>DNSPOntSourceData!F814</f>
        <v>1.0181607380073696</v>
      </c>
      <c r="F216" s="3">
        <f>DNSPOntSourceData!G64+DNSPOntSourceData!G109+DNSPOntSourceData!G214</f>
        <v>355.72899999999998</v>
      </c>
      <c r="G216" s="3">
        <f>MAX(F216,G215)</f>
        <v>358.57299999999998</v>
      </c>
      <c r="H216" s="3">
        <f>DNSPOntSourceData!I64+DNSPOntSourceData!I109+DNSPOntSourceData!I214</f>
        <v>57903</v>
      </c>
      <c r="I216" s="3">
        <f>DNSPOntSourceData!J64+DNSPOntSourceData!J109+DNSPOntSourceData!J214</f>
        <v>1418</v>
      </c>
      <c r="J216" s="3">
        <f>DNSPOntSourceData!K64+DNSPOntSourceData!K109+DNSPOntSourceData!K214</f>
        <v>407</v>
      </c>
      <c r="K216" s="12">
        <f t="shared" ref="K216:K226" si="12">J216/I216</f>
        <v>0.28702397743300423</v>
      </c>
      <c r="L216" s="15" t="s">
        <v>320</v>
      </c>
    </row>
    <row r="217" spans="1:12">
      <c r="A217">
        <v>3016</v>
      </c>
      <c r="B217">
        <v>2007</v>
      </c>
      <c r="C217">
        <v>3</v>
      </c>
      <c r="D217" s="3">
        <f>DNSPOntSourceData!E65+DNSPOntSourceData!E110+DNSPOntSourceData!E215</f>
        <v>9537.8094799999999</v>
      </c>
      <c r="E217" s="5">
        <f>DNSPOntSourceData!F815</f>
        <v>1.0531931014872313</v>
      </c>
      <c r="F217" s="3">
        <f>DNSPOntSourceData!G65+DNSPOntSourceData!G110+DNSPOntSourceData!G215</f>
        <v>355.21</v>
      </c>
      <c r="G217" s="3">
        <f t="shared" ref="G217:G226" si="13">MAX(F217,G216)</f>
        <v>358.57299999999998</v>
      </c>
      <c r="H217" s="3">
        <f>DNSPOntSourceData!I65+DNSPOntSourceData!I110+DNSPOntSourceData!I215</f>
        <v>58283</v>
      </c>
      <c r="I217" s="3">
        <f>DNSPOntSourceData!J65+DNSPOntSourceData!J110+DNSPOntSourceData!J215</f>
        <v>1391</v>
      </c>
      <c r="J217" s="3">
        <f>DNSPOntSourceData!K65+DNSPOntSourceData!K110+DNSPOntSourceData!K215</f>
        <v>411</v>
      </c>
      <c r="K217" s="12">
        <f t="shared" si="12"/>
        <v>0.29547088425593099</v>
      </c>
      <c r="L217" s="15" t="s">
        <v>320</v>
      </c>
    </row>
    <row r="218" spans="1:12">
      <c r="A218">
        <v>3016</v>
      </c>
      <c r="B218" s="2">
        <v>2008</v>
      </c>
      <c r="C218">
        <v>3</v>
      </c>
      <c r="D218" s="3">
        <f>DNSPOntSourceData!E66+DNSPOntSourceData!E111+DNSPOntSourceData!E216</f>
        <v>11931.204380000001</v>
      </c>
      <c r="E218" s="5">
        <f>DNSPOntSourceData!F816</f>
        <v>1.078564603993923</v>
      </c>
      <c r="F218" s="3">
        <f>DNSPOntSourceData!G66+DNSPOntSourceData!G111+DNSPOntSourceData!G216</f>
        <v>338.10899999999998</v>
      </c>
      <c r="G218" s="3">
        <f t="shared" si="13"/>
        <v>358.57299999999998</v>
      </c>
      <c r="H218" s="3">
        <f>DNSPOntSourceData!I66+DNSPOntSourceData!I111+DNSPOntSourceData!I216</f>
        <v>58753</v>
      </c>
      <c r="I218" s="3">
        <f>DNSPOntSourceData!J66+DNSPOntSourceData!J111+DNSPOntSourceData!J216</f>
        <v>1432</v>
      </c>
      <c r="J218" s="3">
        <f>DNSPOntSourceData!K66+DNSPOntSourceData!K111+DNSPOntSourceData!K216</f>
        <v>419.99999999999994</v>
      </c>
      <c r="K218" s="12">
        <f t="shared" si="12"/>
        <v>0.2932960893854748</v>
      </c>
      <c r="L218" s="15" t="s">
        <v>320</v>
      </c>
    </row>
    <row r="219" spans="1:12">
      <c r="A219">
        <v>3016</v>
      </c>
      <c r="B219">
        <v>2009</v>
      </c>
      <c r="C219">
        <v>3</v>
      </c>
      <c r="D219" s="3">
        <f>DNSPOntSourceData!E67+DNSPOntSourceData!E112+DNSPOntSourceData!E217</f>
        <v>13948.261770000001</v>
      </c>
      <c r="E219" s="5">
        <f>DNSPOntSourceData!F817</f>
        <v>1.0915070880241431</v>
      </c>
      <c r="F219" s="3">
        <f>DNSPOntSourceData!G67+DNSPOntSourceData!G112+DNSPOntSourceData!G217</f>
        <v>333.72800000000001</v>
      </c>
      <c r="G219" s="3">
        <f t="shared" si="13"/>
        <v>358.57299999999998</v>
      </c>
      <c r="H219" s="3">
        <f>DNSPOntSourceData!I67+DNSPOntSourceData!I112+DNSPOntSourceData!I217</f>
        <v>59699</v>
      </c>
      <c r="I219" s="3">
        <f>DNSPOntSourceData!J67+DNSPOntSourceData!J112+DNSPOntSourceData!J217</f>
        <v>1425</v>
      </c>
      <c r="J219" s="3">
        <f>DNSPOntSourceData!K67+DNSPOntSourceData!K112+DNSPOntSourceData!K217</f>
        <v>435</v>
      </c>
      <c r="K219" s="12">
        <f t="shared" si="12"/>
        <v>0.30526315789473685</v>
      </c>
      <c r="L219" s="15" t="s">
        <v>320</v>
      </c>
    </row>
    <row r="220" spans="1:12">
      <c r="A220">
        <v>3016</v>
      </c>
      <c r="B220" s="2">
        <v>2010</v>
      </c>
      <c r="C220">
        <v>3</v>
      </c>
      <c r="D220" s="3">
        <f>DNSPOntSourceData!E68+DNSPOntSourceData!E113+DNSPOntSourceData!E218</f>
        <v>13473.535669999999</v>
      </c>
      <c r="E220" s="5">
        <f>DNSPOntSourceData!F818</f>
        <v>1.1243125351578573</v>
      </c>
      <c r="F220" s="3">
        <f>DNSPOntSourceData!G68+DNSPOntSourceData!G113+DNSPOntSourceData!G218</f>
        <v>349.35399999999998</v>
      </c>
      <c r="G220" s="3">
        <f t="shared" si="13"/>
        <v>358.57299999999998</v>
      </c>
      <c r="H220" s="3">
        <f>DNSPOntSourceData!I68+DNSPOntSourceData!I113+DNSPOntSourceData!I218</f>
        <v>60557</v>
      </c>
      <c r="I220" s="3">
        <f>DNSPOntSourceData!J68+DNSPOntSourceData!J113+DNSPOntSourceData!J218</f>
        <v>1431</v>
      </c>
      <c r="J220" s="3">
        <f>DNSPOntSourceData!K68+DNSPOntSourceData!K113+DNSPOntSourceData!K218</f>
        <v>441</v>
      </c>
      <c r="K220" s="12">
        <f t="shared" si="12"/>
        <v>0.3081761006289308</v>
      </c>
      <c r="L220" s="15" t="s">
        <v>320</v>
      </c>
    </row>
    <row r="221" spans="1:12">
      <c r="A221">
        <v>3016</v>
      </c>
      <c r="B221">
        <v>2011</v>
      </c>
      <c r="C221">
        <v>3</v>
      </c>
      <c r="D221" s="3">
        <f>DNSPOntSourceData!E69+DNSPOntSourceData!E114+DNSPOntSourceData!E219</f>
        <v>15293.347809999999</v>
      </c>
      <c r="E221" s="5">
        <f>DNSPOntSourceData!F819</f>
        <v>1.1430978626415853</v>
      </c>
      <c r="F221" s="3">
        <f>DNSPOntSourceData!G69+DNSPOntSourceData!G114+DNSPOntSourceData!G219</f>
        <v>367.36700000000002</v>
      </c>
      <c r="G221" s="3">
        <f t="shared" si="13"/>
        <v>367.36700000000002</v>
      </c>
      <c r="H221" s="3">
        <f>DNSPOntSourceData!I69+DNSPOntSourceData!I114+DNSPOntSourceData!I219</f>
        <v>61327</v>
      </c>
      <c r="I221" s="3">
        <f>DNSPOntSourceData!J69+DNSPOntSourceData!J114+DNSPOntSourceData!J219</f>
        <v>1451</v>
      </c>
      <c r="J221" s="3">
        <f>DNSPOntSourceData!K69+DNSPOntSourceData!K114+DNSPOntSourceData!K219</f>
        <v>448</v>
      </c>
      <c r="K221" s="12">
        <f t="shared" si="12"/>
        <v>0.30875258442453479</v>
      </c>
      <c r="L221" s="15" t="s">
        <v>320</v>
      </c>
    </row>
    <row r="222" spans="1:12">
      <c r="A222">
        <v>3016</v>
      </c>
      <c r="B222" s="2">
        <v>2012</v>
      </c>
      <c r="C222">
        <v>3</v>
      </c>
      <c r="D222" s="3">
        <f>DNSPOntSourceData!E70+DNSPOntSourceData!E115+DNSPOntSourceData!E220</f>
        <v>17047.617400700001</v>
      </c>
      <c r="E222" s="5">
        <f>DNSPOntSourceData!F820</f>
        <v>1.160126854517312</v>
      </c>
      <c r="F222" s="3">
        <f>DNSPOntSourceData!G70+DNSPOntSourceData!G115+DNSPOntSourceData!G220</f>
        <v>351.714</v>
      </c>
      <c r="G222" s="3">
        <f t="shared" si="13"/>
        <v>367.36700000000002</v>
      </c>
      <c r="H222" s="3">
        <f>DNSPOntSourceData!I70+DNSPOntSourceData!I115+DNSPOntSourceData!I220</f>
        <v>61768</v>
      </c>
      <c r="I222" s="3">
        <f>DNSPOntSourceData!J70+DNSPOntSourceData!J115+DNSPOntSourceData!J220</f>
        <v>1617</v>
      </c>
      <c r="J222" s="3">
        <f>DNSPOntSourceData!K70+DNSPOntSourceData!K115+DNSPOntSourceData!K220</f>
        <v>489</v>
      </c>
      <c r="K222" s="12">
        <f t="shared" si="12"/>
        <v>0.30241187384044527</v>
      </c>
      <c r="L222" s="15" t="s">
        <v>320</v>
      </c>
    </row>
    <row r="223" spans="1:12">
      <c r="A223">
        <v>3016</v>
      </c>
      <c r="B223">
        <v>2013</v>
      </c>
      <c r="C223">
        <v>3</v>
      </c>
      <c r="D223" s="3">
        <f>DNSPOntSourceData!E71+DNSPOntSourceData!E116+DNSPOntSourceData!E221</f>
        <v>17995.74655</v>
      </c>
      <c r="E223" s="5">
        <f>DNSPOntSourceData!F821</f>
        <v>1.178602141578931</v>
      </c>
      <c r="F223" s="3">
        <f>DNSPOntSourceData!G71+DNSPOntSourceData!G116+DNSPOntSourceData!G221</f>
        <v>352.68299999999999</v>
      </c>
      <c r="G223" s="3">
        <f t="shared" si="13"/>
        <v>367.36700000000002</v>
      </c>
      <c r="H223" s="3">
        <f>DNSPOntSourceData!I71+DNSPOntSourceData!I116+DNSPOntSourceData!I221</f>
        <v>62072</v>
      </c>
      <c r="I223" s="3">
        <f>DNSPOntSourceData!J71+DNSPOntSourceData!J116+DNSPOntSourceData!J221</f>
        <v>1652</v>
      </c>
      <c r="J223" s="3">
        <f>DNSPOntSourceData!K71+DNSPOntSourceData!K116+DNSPOntSourceData!K221</f>
        <v>453.00000000000006</v>
      </c>
      <c r="K223" s="12">
        <f t="shared" si="12"/>
        <v>0.27421307506053272</v>
      </c>
      <c r="L223" s="15" t="s">
        <v>320</v>
      </c>
    </row>
    <row r="224" spans="1:12">
      <c r="A224">
        <v>3016</v>
      </c>
      <c r="B224" s="2">
        <v>2014</v>
      </c>
      <c r="C224">
        <v>3</v>
      </c>
      <c r="D224" s="3">
        <f>DNSPOntSourceData!E72+DNSPOntSourceData!E117+DNSPOntSourceData!E222</f>
        <v>17722.15782</v>
      </c>
      <c r="E224" s="5">
        <f>DNSPOntSourceData!F822</f>
        <v>1.2030671041042156</v>
      </c>
      <c r="F224" s="3">
        <f>DNSPOntSourceData!G72+DNSPOntSourceData!G117+DNSPOntSourceData!G222</f>
        <v>336.88400000000001</v>
      </c>
      <c r="G224" s="3">
        <f t="shared" si="13"/>
        <v>367.36700000000002</v>
      </c>
      <c r="H224" s="3">
        <f>DNSPOntSourceData!I72+DNSPOntSourceData!I117+DNSPOntSourceData!I222</f>
        <v>62657</v>
      </c>
      <c r="I224" s="3">
        <f>DNSPOntSourceData!J72+DNSPOntSourceData!J117+DNSPOntSourceData!J222</f>
        <v>1697</v>
      </c>
      <c r="J224" s="3">
        <f>DNSPOntSourceData!K72+DNSPOntSourceData!K117+DNSPOntSourceData!K222</f>
        <v>506</v>
      </c>
      <c r="K224" s="12">
        <f t="shared" si="12"/>
        <v>0.29817324690630526</v>
      </c>
      <c r="L224" s="15" t="s">
        <v>320</v>
      </c>
    </row>
    <row r="225" spans="1:12">
      <c r="A225">
        <v>3016</v>
      </c>
      <c r="B225">
        <v>2015</v>
      </c>
      <c r="C225">
        <v>3</v>
      </c>
      <c r="D225" s="3">
        <f>DNSPOntSourceData!E73+DNSPOntSourceData!E118+DNSPOntSourceData!E223</f>
        <v>17138.501390000001</v>
      </c>
      <c r="E225" s="5">
        <f>DNSPOntSourceData!F823</f>
        <v>1.2312762402864634</v>
      </c>
      <c r="F225" s="3">
        <f>DNSPOntSourceData!G73+DNSPOntSourceData!G118+DNSPOntSourceData!G223</f>
        <v>338.779</v>
      </c>
      <c r="G225" s="3">
        <f t="shared" si="13"/>
        <v>367.36700000000002</v>
      </c>
      <c r="H225" s="3">
        <f>DNSPOntSourceData!I73+DNSPOntSourceData!I118+DNSPOntSourceData!I223</f>
        <v>63166</v>
      </c>
      <c r="I225" s="3">
        <f>DNSPOntSourceData!J73+DNSPOntSourceData!J118+DNSPOntSourceData!J223</f>
        <v>1718</v>
      </c>
      <c r="J225" s="3">
        <f>DNSPOntSourceData!K73+DNSPOntSourceData!K118+DNSPOntSourceData!K223</f>
        <v>525</v>
      </c>
      <c r="K225" s="12">
        <f t="shared" si="12"/>
        <v>0.30558789289871946</v>
      </c>
      <c r="L225" s="15" t="s">
        <v>320</v>
      </c>
    </row>
    <row r="226" spans="1:12">
      <c r="A226">
        <v>3016</v>
      </c>
      <c r="B226" s="2">
        <v>2016</v>
      </c>
      <c r="C226">
        <v>3</v>
      </c>
      <c r="D226" s="3">
        <f>DNSPOntSourceData!E74+DNSPOntSourceData!E119+DNSPOntSourceData!E224</f>
        <v>16658.607539999997</v>
      </c>
      <c r="E226" s="5">
        <f>DNSPOntSourceData!F824</f>
        <v>1.2455044937824149</v>
      </c>
      <c r="F226" s="3">
        <f>DNSPOntSourceData!G74+DNSPOntSourceData!G119+DNSPOntSourceData!G224</f>
        <v>334.471</v>
      </c>
      <c r="G226" s="3">
        <f t="shared" si="13"/>
        <v>367.36700000000002</v>
      </c>
      <c r="H226" s="3">
        <f>DNSPOntSourceData!I74+DNSPOntSourceData!I119+DNSPOntSourceData!I224</f>
        <v>64125</v>
      </c>
      <c r="I226" s="3">
        <f>DNSPOntSourceData!J74+DNSPOntSourceData!J119+DNSPOntSourceData!J224</f>
        <v>1727</v>
      </c>
      <c r="J226" s="3">
        <f>DNSPOntSourceData!K74+DNSPOntSourceData!K119+DNSPOntSourceData!K224</f>
        <v>532</v>
      </c>
      <c r="K226" s="12">
        <f t="shared" si="12"/>
        <v>0.30804863925883036</v>
      </c>
      <c r="L226" s="15" t="s">
        <v>320</v>
      </c>
    </row>
    <row r="227" spans="1:12">
      <c r="A227">
        <v>3016</v>
      </c>
      <c r="B227">
        <v>2017</v>
      </c>
      <c r="C227">
        <v>3</v>
      </c>
      <c r="D227" s="3">
        <f>DNSPOntSourceData!E75+DNSPOntSourceData!E120+DNSPOntSourceData!E225</f>
        <v>17339.704309999997</v>
      </c>
      <c r="E227" s="5">
        <f>DNSPOntSourceData!F825</f>
        <v>1.2674505553724562</v>
      </c>
      <c r="F227" s="3">
        <f>DNSPOntSourceData!G75+DNSPOntSourceData!G120+DNSPOntSourceData!G225</f>
        <v>305.71800000000002</v>
      </c>
      <c r="G227" s="3">
        <f t="shared" ref="G227" si="14">MAX(F227,G226)</f>
        <v>367.36700000000002</v>
      </c>
      <c r="H227" s="3">
        <f>DNSPOntSourceData!I75+DNSPOntSourceData!I120+DNSPOntSourceData!I225</f>
        <v>64726</v>
      </c>
      <c r="I227" s="3">
        <f>DNSPOntSourceData!J75+DNSPOntSourceData!J120+DNSPOntSourceData!J225</f>
        <v>1487</v>
      </c>
      <c r="J227" s="3">
        <f>DNSPOntSourceData!K75+DNSPOntSourceData!K120+DNSPOntSourceData!K225</f>
        <v>507</v>
      </c>
      <c r="K227" s="12">
        <f t="shared" ref="K227" si="15">J227/I227</f>
        <v>0.34095494283792871</v>
      </c>
      <c r="L227" s="15" t="s">
        <v>320</v>
      </c>
    </row>
    <row r="228" spans="1:12">
      <c r="A228">
        <v>3016</v>
      </c>
      <c r="B228" s="2">
        <v>2018</v>
      </c>
      <c r="C228">
        <v>3</v>
      </c>
      <c r="D228" s="3">
        <f>DNSPOntSourceData!E76+DNSPOntSourceData!E121+DNSPOntSourceData!E226</f>
        <v>17677.971389999995</v>
      </c>
      <c r="E228" s="5">
        <f>DNSPOntSourceData!F826</f>
        <v>1.2994718602728874</v>
      </c>
      <c r="F228" s="3">
        <f>DNSPOntSourceData!G76+DNSPOntSourceData!G121+DNSPOntSourceData!G226</f>
        <v>331.15300000000002</v>
      </c>
      <c r="G228" s="3">
        <f t="shared" ref="G228" si="16">MAX(F228,G227)</f>
        <v>367.36700000000002</v>
      </c>
      <c r="H228" s="3">
        <f>DNSPOntSourceData!I76+DNSPOntSourceData!I121+DNSPOntSourceData!I226</f>
        <v>65404</v>
      </c>
      <c r="I228" s="3">
        <f>DNSPOntSourceData!J76+DNSPOntSourceData!J121+DNSPOntSourceData!J226</f>
        <v>1510</v>
      </c>
      <c r="J228" s="3">
        <f>DNSPOntSourceData!K76+DNSPOntSourceData!K121+DNSPOntSourceData!K226</f>
        <v>531</v>
      </c>
      <c r="K228" s="12">
        <f t="shared" ref="K228" si="17">J228/I228</f>
        <v>0.35165562913907283</v>
      </c>
      <c r="L228" s="15" t="s">
        <v>320</v>
      </c>
    </row>
    <row r="229" spans="1:12">
      <c r="A229" s="142">
        <v>3016</v>
      </c>
      <c r="B229" s="142">
        <v>2019</v>
      </c>
      <c r="C229" s="142">
        <v>3</v>
      </c>
      <c r="D229" s="3">
        <f>DNSPOntSourceData!E77+DNSPOntSourceData!E122+DNSPOntSourceData!E227</f>
        <v>18361.849140000002</v>
      </c>
      <c r="E229" s="5">
        <f>DNSPOntSourceData!F827</f>
        <v>1.3352608354138498</v>
      </c>
      <c r="F229" s="3">
        <f>DNSPOntSourceData!G77+DNSPOntSourceData!G122+DNSPOntSourceData!G227</f>
        <v>302.61900000000003</v>
      </c>
      <c r="G229" s="3">
        <f t="shared" ref="G229" si="18">MAX(F229,G228)</f>
        <v>367.36700000000002</v>
      </c>
      <c r="H229" s="3">
        <f>DNSPOntSourceData!I77+DNSPOntSourceData!I122+DNSPOntSourceData!I227</f>
        <v>66529</v>
      </c>
      <c r="I229" s="3">
        <f>DNSPOntSourceData!J77+DNSPOntSourceData!J122+DNSPOntSourceData!J227</f>
        <v>1523</v>
      </c>
      <c r="J229" s="3">
        <f>DNSPOntSourceData!K77+DNSPOntSourceData!K122+DNSPOntSourceData!K227</f>
        <v>540</v>
      </c>
      <c r="K229" s="12">
        <f t="shared" ref="K229" si="19">J229/I229</f>
        <v>0.35456336178594877</v>
      </c>
      <c r="L229" s="15" t="s">
        <v>320</v>
      </c>
    </row>
    <row r="230" spans="1:12">
      <c r="A230">
        <v>3017</v>
      </c>
      <c r="B230">
        <v>2005</v>
      </c>
      <c r="C230">
        <v>3</v>
      </c>
      <c r="D230" s="3">
        <f>DNSPOntSourceData!E378</f>
        <v>8566.3176400000011</v>
      </c>
      <c r="E230" s="5">
        <f>DNSPOntSourceData!F378</f>
        <v>1</v>
      </c>
      <c r="F230" s="3">
        <f>DNSPOntSourceData!G378</f>
        <v>283.18700000000001</v>
      </c>
      <c r="G230" s="3">
        <f>DNSPOntSourceData!H378</f>
        <v>283.18700000000001</v>
      </c>
      <c r="H230" s="3">
        <f>DNSPOntSourceData!I378</f>
        <v>56177</v>
      </c>
      <c r="I230" s="3">
        <f>DNSPOntSourceData!J378</f>
        <v>976</v>
      </c>
      <c r="J230" s="3">
        <f>DNSPOntSourceData!K378</f>
        <v>554</v>
      </c>
      <c r="K230" s="12">
        <f>DNSPOntSourceData!L378</f>
        <v>0.56762295081967218</v>
      </c>
      <c r="L230" s="20" t="s">
        <v>46</v>
      </c>
    </row>
    <row r="231" spans="1:12">
      <c r="A231">
        <v>3017</v>
      </c>
      <c r="B231" s="2">
        <v>2006</v>
      </c>
      <c r="C231">
        <v>3</v>
      </c>
      <c r="D231" s="3">
        <f>DNSPOntSourceData!E379</f>
        <v>8663.97516</v>
      </c>
      <c r="E231" s="5">
        <f>DNSPOntSourceData!F379</f>
        <v>1.0181607380073696</v>
      </c>
      <c r="F231" s="3">
        <f>DNSPOntSourceData!G379</f>
        <v>285.75</v>
      </c>
      <c r="G231" s="3">
        <f>DNSPOntSourceData!H379</f>
        <v>285.75</v>
      </c>
      <c r="H231" s="3">
        <f>DNSPOntSourceData!I379</f>
        <v>58941</v>
      </c>
      <c r="I231" s="3">
        <f>DNSPOntSourceData!J379</f>
        <v>1002</v>
      </c>
      <c r="J231" s="3">
        <f>DNSPOntSourceData!K379</f>
        <v>577</v>
      </c>
      <c r="K231" s="12">
        <f>DNSPOntSourceData!L379</f>
        <v>0.57584830339321358</v>
      </c>
      <c r="L231" s="20" t="s">
        <v>46</v>
      </c>
    </row>
    <row r="232" spans="1:12">
      <c r="A232">
        <v>3017</v>
      </c>
      <c r="B232">
        <v>2007</v>
      </c>
      <c r="C232">
        <v>3</v>
      </c>
      <c r="D232" s="3">
        <f>DNSPOntSourceData!E380</f>
        <v>10126.682710000001</v>
      </c>
      <c r="E232" s="5">
        <f>DNSPOntSourceData!F380</f>
        <v>1.0531931014872313</v>
      </c>
      <c r="F232" s="3">
        <f>DNSPOntSourceData!G380</f>
        <v>281.37700000000001</v>
      </c>
      <c r="G232" s="3">
        <f>DNSPOntSourceData!H380</f>
        <v>285.75</v>
      </c>
      <c r="H232" s="3">
        <f>DNSPOntSourceData!I380</f>
        <v>47720</v>
      </c>
      <c r="I232" s="3">
        <f>DNSPOntSourceData!J380</f>
        <v>1030</v>
      </c>
      <c r="J232" s="3">
        <f>DNSPOntSourceData!K380</f>
        <v>604</v>
      </c>
      <c r="K232" s="12">
        <f>DNSPOntSourceData!L380</f>
        <v>0.58640776699029129</v>
      </c>
      <c r="L232" s="20" t="s">
        <v>46</v>
      </c>
    </row>
    <row r="233" spans="1:12">
      <c r="A233">
        <v>3017</v>
      </c>
      <c r="B233" s="2">
        <v>2008</v>
      </c>
      <c r="C233">
        <v>3</v>
      </c>
      <c r="D233" s="3">
        <f>DNSPOntSourceData!E381</f>
        <v>10008.08884</v>
      </c>
      <c r="E233" s="5">
        <f>DNSPOntSourceData!F381</f>
        <v>1.078564603993923</v>
      </c>
      <c r="F233" s="3">
        <f>DNSPOntSourceData!G381</f>
        <v>273.89800000000002</v>
      </c>
      <c r="G233" s="3">
        <f>DNSPOntSourceData!H381</f>
        <v>285.75</v>
      </c>
      <c r="H233" s="3">
        <f>DNSPOntSourceData!I381</f>
        <v>48914</v>
      </c>
      <c r="I233" s="3">
        <f>DNSPOntSourceData!J381</f>
        <v>1049</v>
      </c>
      <c r="J233" s="3">
        <f>DNSPOntSourceData!K381</f>
        <v>619.99999999999989</v>
      </c>
      <c r="K233" s="12">
        <f>DNSPOntSourceData!L381</f>
        <v>0.59103908484270729</v>
      </c>
      <c r="L233" s="20" t="s">
        <v>46</v>
      </c>
    </row>
    <row r="234" spans="1:12">
      <c r="A234">
        <v>3017</v>
      </c>
      <c r="B234">
        <v>2009</v>
      </c>
      <c r="C234">
        <v>3</v>
      </c>
      <c r="D234" s="3">
        <f>DNSPOntSourceData!E382</f>
        <v>9246.6920600000012</v>
      </c>
      <c r="E234" s="5">
        <f>DNSPOntSourceData!F382</f>
        <v>1.0915070880241431</v>
      </c>
      <c r="F234" s="3">
        <f>DNSPOntSourceData!G382</f>
        <v>267.57600000000002</v>
      </c>
      <c r="G234" s="3">
        <f>DNSPOntSourceData!H382</f>
        <v>285.75</v>
      </c>
      <c r="H234" s="3">
        <f>DNSPOntSourceData!I382</f>
        <v>49259</v>
      </c>
      <c r="I234" s="3">
        <f>DNSPOntSourceData!J382</f>
        <v>1063</v>
      </c>
      <c r="J234" s="3">
        <f>DNSPOntSourceData!K382</f>
        <v>636</v>
      </c>
      <c r="K234" s="12">
        <f>DNSPOntSourceData!L382</f>
        <v>0.59830667920978364</v>
      </c>
      <c r="L234" s="20" t="s">
        <v>46</v>
      </c>
    </row>
    <row r="235" spans="1:12">
      <c r="A235">
        <v>3017</v>
      </c>
      <c r="B235" s="2">
        <v>2010</v>
      </c>
      <c r="C235">
        <v>3</v>
      </c>
      <c r="D235" s="3">
        <f>DNSPOntSourceData!E383</f>
        <v>9673.2873799999998</v>
      </c>
      <c r="E235" s="5">
        <f>DNSPOntSourceData!F383</f>
        <v>1.1243125351578573</v>
      </c>
      <c r="F235" s="3">
        <f>DNSPOntSourceData!G383</f>
        <v>285.95499999999998</v>
      </c>
      <c r="G235" s="3">
        <f>DNSPOntSourceData!H383</f>
        <v>285.95499999999998</v>
      </c>
      <c r="H235" s="3">
        <f>DNSPOntSourceData!I383</f>
        <v>50250</v>
      </c>
      <c r="I235" s="3">
        <f>DNSPOntSourceData!J383</f>
        <v>1065</v>
      </c>
      <c r="J235" s="3">
        <f>DNSPOntSourceData!K383</f>
        <v>638</v>
      </c>
      <c r="K235" s="12">
        <f>DNSPOntSourceData!L383</f>
        <v>0.59906103286384982</v>
      </c>
      <c r="L235" s="20" t="s">
        <v>46</v>
      </c>
    </row>
    <row r="236" spans="1:12">
      <c r="A236">
        <v>3017</v>
      </c>
      <c r="B236">
        <v>2011</v>
      </c>
      <c r="C236">
        <v>3</v>
      </c>
      <c r="D236" s="3">
        <f>DNSPOntSourceData!E384</f>
        <v>12601.319650000001</v>
      </c>
      <c r="E236" s="5">
        <f>DNSPOntSourceData!F384</f>
        <v>1.1430978626415853</v>
      </c>
      <c r="F236" s="3">
        <f>DNSPOntSourceData!G384</f>
        <v>297.5</v>
      </c>
      <c r="G236" s="3">
        <f>DNSPOntSourceData!H384</f>
        <v>297.5</v>
      </c>
      <c r="H236" s="3">
        <f>DNSPOntSourceData!I384</f>
        <v>50859</v>
      </c>
      <c r="I236" s="3">
        <f>DNSPOntSourceData!J384</f>
        <v>1084</v>
      </c>
      <c r="J236" s="3">
        <f>DNSPOntSourceData!K384</f>
        <v>654</v>
      </c>
      <c r="K236" s="12">
        <f>DNSPOntSourceData!L384</f>
        <v>0.60332103321033215</v>
      </c>
      <c r="L236" s="20" t="s">
        <v>46</v>
      </c>
    </row>
    <row r="237" spans="1:12">
      <c r="A237">
        <v>3017</v>
      </c>
      <c r="B237" s="2">
        <v>2012</v>
      </c>
      <c r="C237">
        <v>3</v>
      </c>
      <c r="D237" s="3">
        <f>DNSPOntSourceData!E385</f>
        <v>13183.392096979282</v>
      </c>
      <c r="E237" s="5">
        <f>DNSPOntSourceData!F385</f>
        <v>1.160126854517312</v>
      </c>
      <c r="F237" s="3">
        <f>DNSPOntSourceData!G385</f>
        <v>294.39999999999998</v>
      </c>
      <c r="G237" s="3">
        <f>DNSPOntSourceData!H385</f>
        <v>297.5</v>
      </c>
      <c r="H237" s="3">
        <f>DNSPOntSourceData!I385</f>
        <v>51553</v>
      </c>
      <c r="I237" s="3">
        <f>DNSPOntSourceData!J385</f>
        <v>1103</v>
      </c>
      <c r="J237" s="3">
        <f>DNSPOntSourceData!K385</f>
        <v>672</v>
      </c>
      <c r="K237" s="12">
        <f>DNSPOntSourceData!L385</f>
        <v>0.60924750679963735</v>
      </c>
      <c r="L237" s="20" t="s">
        <v>46</v>
      </c>
    </row>
    <row r="238" spans="1:12">
      <c r="A238">
        <v>3017</v>
      </c>
      <c r="B238">
        <v>2013</v>
      </c>
      <c r="C238">
        <v>3</v>
      </c>
      <c r="D238" s="3">
        <f>DNSPOntSourceData!E386</f>
        <v>14769.95966</v>
      </c>
      <c r="E238" s="5">
        <f>DNSPOntSourceData!F386</f>
        <v>1.178602141578931</v>
      </c>
      <c r="F238" s="3">
        <f>DNSPOntSourceData!G386</f>
        <v>298.91300000000001</v>
      </c>
      <c r="G238" s="3">
        <f>DNSPOntSourceData!H386</f>
        <v>298.91300000000001</v>
      </c>
      <c r="H238" s="3">
        <f>DNSPOntSourceData!I386</f>
        <v>52323</v>
      </c>
      <c r="I238" s="3">
        <f>DNSPOntSourceData!J386</f>
        <v>1099</v>
      </c>
      <c r="J238" s="3">
        <f>DNSPOntSourceData!K386</f>
        <v>672</v>
      </c>
      <c r="K238" s="12">
        <f>DNSPOntSourceData!L386</f>
        <v>0.61146496815286622</v>
      </c>
      <c r="L238" s="20" t="s">
        <v>46</v>
      </c>
    </row>
    <row r="239" spans="1:12">
      <c r="A239">
        <v>3017</v>
      </c>
      <c r="B239" s="2">
        <v>2014</v>
      </c>
      <c r="C239">
        <v>3</v>
      </c>
      <c r="D239" s="3">
        <f>DNSPOntSourceData!E387</f>
        <v>13774.32</v>
      </c>
      <c r="E239" s="5">
        <f>DNSPOntSourceData!F387</f>
        <v>1.2030671041042156</v>
      </c>
      <c r="F239" s="3">
        <f>DNSPOntSourceData!G387</f>
        <v>285.26499999999999</v>
      </c>
      <c r="G239" s="3">
        <f>DNSPOntSourceData!H387</f>
        <v>298.91300000000001</v>
      </c>
      <c r="H239" s="3">
        <f>DNSPOntSourceData!I387</f>
        <v>52963</v>
      </c>
      <c r="I239" s="3">
        <f>DNSPOntSourceData!J387</f>
        <v>1109</v>
      </c>
      <c r="J239" s="3">
        <f>DNSPOntSourceData!K387</f>
        <v>682</v>
      </c>
      <c r="K239" s="12">
        <f>DNSPOntSourceData!L387</f>
        <v>0.61496844003606854</v>
      </c>
      <c r="L239" s="20" t="s">
        <v>46</v>
      </c>
    </row>
    <row r="240" spans="1:12">
      <c r="A240">
        <v>3017</v>
      </c>
      <c r="B240">
        <v>2015</v>
      </c>
      <c r="C240">
        <v>3</v>
      </c>
      <c r="D240" s="3">
        <f>DNSPOntSourceData!E388</f>
        <v>14875.578</v>
      </c>
      <c r="E240" s="5">
        <f>DNSPOntSourceData!F388</f>
        <v>1.2312762402864634</v>
      </c>
      <c r="F240" s="3">
        <f>DNSPOntSourceData!G388</f>
        <v>292.67500000000001</v>
      </c>
      <c r="G240" s="3">
        <f>DNSPOntSourceData!H388</f>
        <v>298.91300000000001</v>
      </c>
      <c r="H240" s="3">
        <f>DNSPOntSourceData!I388</f>
        <v>53789</v>
      </c>
      <c r="I240" s="3">
        <f>DNSPOntSourceData!J388</f>
        <v>1133</v>
      </c>
      <c r="J240" s="3">
        <f>DNSPOntSourceData!K388</f>
        <v>703</v>
      </c>
      <c r="K240" s="12">
        <f>DNSPOntSourceData!L388</f>
        <v>0.62047661076787286</v>
      </c>
      <c r="L240" s="20" t="s">
        <v>46</v>
      </c>
    </row>
    <row r="241" spans="1:12">
      <c r="A241">
        <v>3017</v>
      </c>
      <c r="B241" s="2">
        <v>2016</v>
      </c>
      <c r="C241">
        <v>3</v>
      </c>
      <c r="D241" s="3">
        <f>DNSPOntSourceData!E389</f>
        <v>14197.517030000003</v>
      </c>
      <c r="E241" s="5">
        <f>DNSPOntSourceData!F389</f>
        <v>1.2455044937824149</v>
      </c>
      <c r="F241" s="3">
        <f>DNSPOntSourceData!G389</f>
        <v>292.46499999999997</v>
      </c>
      <c r="G241" s="3">
        <f>DNSPOntSourceData!H389</f>
        <v>298.91300000000001</v>
      </c>
      <c r="H241" s="3">
        <f>DNSPOntSourceData!I389</f>
        <v>54414</v>
      </c>
      <c r="I241" s="3">
        <f>DNSPOntSourceData!J389</f>
        <v>1132</v>
      </c>
      <c r="J241" s="3">
        <f>DNSPOntSourceData!K389</f>
        <v>712</v>
      </c>
      <c r="K241" s="12">
        <f>DNSPOntSourceData!L389</f>
        <v>0.62897526501766787</v>
      </c>
      <c r="L241" s="20" t="s">
        <v>46</v>
      </c>
    </row>
    <row r="242" spans="1:12">
      <c r="A242">
        <v>3017</v>
      </c>
      <c r="B242">
        <v>2017</v>
      </c>
      <c r="C242">
        <v>3</v>
      </c>
      <c r="D242" s="3">
        <f>DNSPOntSourceData!E390</f>
        <v>14940.538639999999</v>
      </c>
      <c r="E242" s="5">
        <f>DNSPOntSourceData!F390</f>
        <v>1.2674505553724562</v>
      </c>
      <c r="F242" s="3">
        <f>DNSPOntSourceData!G390</f>
        <v>277.33</v>
      </c>
      <c r="G242" s="3">
        <f>DNSPOntSourceData!H390</f>
        <v>298.91300000000001</v>
      </c>
      <c r="H242" s="3">
        <f>DNSPOntSourceData!I390</f>
        <v>55239</v>
      </c>
      <c r="I242" s="3">
        <f>DNSPOntSourceData!J390</f>
        <v>1143</v>
      </c>
      <c r="J242" s="3">
        <f>DNSPOntSourceData!K390</f>
        <v>716</v>
      </c>
      <c r="K242" s="12">
        <f>DNSPOntSourceData!L390</f>
        <v>0.62642169728783903</v>
      </c>
      <c r="L242" s="20" t="s">
        <v>46</v>
      </c>
    </row>
    <row r="243" spans="1:12">
      <c r="A243">
        <v>3017</v>
      </c>
      <c r="B243" s="2">
        <v>2018</v>
      </c>
      <c r="C243">
        <v>3</v>
      </c>
      <c r="D243" s="3">
        <f>DNSPOntSourceData!E391</f>
        <v>16367.15431</v>
      </c>
      <c r="E243" s="5">
        <f>DNSPOntSourceData!F391</f>
        <v>1.2994718602728874</v>
      </c>
      <c r="F243" s="3">
        <f>DNSPOntSourceData!G391</f>
        <v>294.37</v>
      </c>
      <c r="G243" s="3">
        <f>DNSPOntSourceData!H391</f>
        <v>298.91300000000001</v>
      </c>
      <c r="H243" s="3">
        <f>DNSPOntSourceData!I391</f>
        <v>55673</v>
      </c>
      <c r="I243" s="3">
        <f>DNSPOntSourceData!J391</f>
        <v>1152</v>
      </c>
      <c r="J243" s="3">
        <f>DNSPOntSourceData!K391</f>
        <v>726</v>
      </c>
      <c r="K243" s="12">
        <f>DNSPOntSourceData!L391</f>
        <v>0.63020833333333337</v>
      </c>
      <c r="L243" s="20" t="s">
        <v>46</v>
      </c>
    </row>
    <row r="244" spans="1:12">
      <c r="A244">
        <v>3018</v>
      </c>
      <c r="B244">
        <v>2005</v>
      </c>
      <c r="C244">
        <v>3</v>
      </c>
      <c r="D244" s="3">
        <f>DNSPOntSourceData!E678</f>
        <v>12002.4</v>
      </c>
      <c r="E244" s="5">
        <f>DNSPOntSourceData!F678</f>
        <v>1</v>
      </c>
      <c r="F244" s="3">
        <f>DNSPOntSourceData!G678</f>
        <v>260.983</v>
      </c>
      <c r="G244" s="3">
        <f>DNSPOntSourceData!H678</f>
        <v>260.983</v>
      </c>
      <c r="H244" s="3">
        <f>DNSPOntSourceData!I678</f>
        <v>48671</v>
      </c>
      <c r="I244" s="3">
        <f>DNSPOntSourceData!J678</f>
        <v>2114</v>
      </c>
      <c r="J244" s="3">
        <f>DNSPOntSourceData!K678</f>
        <v>541</v>
      </c>
      <c r="K244" s="12">
        <f>DNSPOntSourceData!L678</f>
        <v>0.25591296121097445</v>
      </c>
      <c r="L244" s="20" t="s">
        <v>66</v>
      </c>
    </row>
    <row r="245" spans="1:12">
      <c r="A245">
        <v>3018</v>
      </c>
      <c r="B245" s="2">
        <v>2006</v>
      </c>
      <c r="C245">
        <v>3</v>
      </c>
      <c r="D245" s="3">
        <f>DNSPOntSourceData!E679</f>
        <v>12327.20715</v>
      </c>
      <c r="E245" s="5">
        <f>DNSPOntSourceData!F679</f>
        <v>1.0181607380073696</v>
      </c>
      <c r="F245" s="3">
        <f>DNSPOntSourceData!G679</f>
        <v>268.95800000000003</v>
      </c>
      <c r="G245" s="3">
        <f>DNSPOntSourceData!H679</f>
        <v>268.95800000000003</v>
      </c>
      <c r="H245" s="3">
        <f>DNSPOntSourceData!I679</f>
        <v>48493</v>
      </c>
      <c r="I245" s="3">
        <f>DNSPOntSourceData!J679</f>
        <v>1830</v>
      </c>
      <c r="J245" s="3">
        <f>DNSPOntSourceData!K679</f>
        <v>372</v>
      </c>
      <c r="K245" s="12">
        <f>DNSPOntSourceData!L679</f>
        <v>0.20327868852459016</v>
      </c>
      <c r="L245" s="20" t="s">
        <v>66</v>
      </c>
    </row>
    <row r="246" spans="1:12">
      <c r="A246">
        <v>3018</v>
      </c>
      <c r="B246">
        <v>2007</v>
      </c>
      <c r="C246">
        <v>3</v>
      </c>
      <c r="D246" s="3">
        <f>DNSPOntSourceData!E680</f>
        <v>13040.678510000002</v>
      </c>
      <c r="E246" s="5">
        <f>DNSPOntSourceData!F680</f>
        <v>1.0531931014872313</v>
      </c>
      <c r="F246" s="3">
        <f>DNSPOntSourceData!G680</f>
        <v>254.45699999999999</v>
      </c>
      <c r="G246" s="3">
        <f>DNSPOntSourceData!H680</f>
        <v>268.95800000000003</v>
      </c>
      <c r="H246" s="3">
        <f>DNSPOntSourceData!I680</f>
        <v>50195</v>
      </c>
      <c r="I246" s="94">
        <f>AVERAGE(I245,I247)</f>
        <v>1825</v>
      </c>
      <c r="J246" s="94">
        <f>I246*K246</f>
        <v>402.58658349846871</v>
      </c>
      <c r="K246" s="95">
        <f>AVERAGE(K245,K247)</f>
        <v>0.22059538821833902</v>
      </c>
      <c r="L246" s="20" t="s">
        <v>66</v>
      </c>
    </row>
    <row r="247" spans="1:12">
      <c r="A247">
        <v>3018</v>
      </c>
      <c r="B247" s="2">
        <v>2008</v>
      </c>
      <c r="C247">
        <v>3</v>
      </c>
      <c r="D247" s="3">
        <f>DNSPOntSourceData!E681</f>
        <v>12572.74107</v>
      </c>
      <c r="E247" s="5">
        <f>DNSPOntSourceData!F681</f>
        <v>1.078564603993923</v>
      </c>
      <c r="F247" s="3">
        <f>DNSPOntSourceData!G681</f>
        <v>249.17500000000001</v>
      </c>
      <c r="G247" s="3">
        <f>DNSPOntSourceData!H681</f>
        <v>268.95800000000003</v>
      </c>
      <c r="H247" s="3">
        <f>DNSPOntSourceData!I681</f>
        <v>50255</v>
      </c>
      <c r="I247" s="3">
        <f>DNSPOntSourceData!J681</f>
        <v>1820</v>
      </c>
      <c r="J247" s="3">
        <f>DNSPOntSourceData!K681</f>
        <v>433</v>
      </c>
      <c r="K247" s="12">
        <f>DNSPOntSourceData!L681</f>
        <v>0.2379120879120879</v>
      </c>
      <c r="L247" s="20" t="s">
        <v>66</v>
      </c>
    </row>
    <row r="248" spans="1:12">
      <c r="A248">
        <v>3018</v>
      </c>
      <c r="B248">
        <v>2009</v>
      </c>
      <c r="C248">
        <v>3</v>
      </c>
      <c r="D248" s="3">
        <f>DNSPOntSourceData!E682</f>
        <v>12606.613100000002</v>
      </c>
      <c r="E248" s="5">
        <f>DNSPOntSourceData!F682</f>
        <v>1.0915070880241431</v>
      </c>
      <c r="F248" s="3">
        <f>DNSPOntSourceData!G682</f>
        <v>254.55699999999999</v>
      </c>
      <c r="G248" s="3">
        <f>DNSPOntSourceData!H682</f>
        <v>268.95800000000003</v>
      </c>
      <c r="H248" s="3">
        <f>DNSPOntSourceData!I682</f>
        <v>50403</v>
      </c>
      <c r="I248" s="3">
        <f>DNSPOntSourceData!J682</f>
        <v>1944</v>
      </c>
      <c r="J248" s="3">
        <f>DNSPOntSourceData!K682</f>
        <v>469</v>
      </c>
      <c r="K248" s="12">
        <f>DNSPOntSourceData!L682</f>
        <v>0.24125514403292181</v>
      </c>
      <c r="L248" s="20" t="s">
        <v>66</v>
      </c>
    </row>
    <row r="249" spans="1:12">
      <c r="A249">
        <v>3018</v>
      </c>
      <c r="B249" s="2">
        <v>2010</v>
      </c>
      <c r="C249">
        <v>3</v>
      </c>
      <c r="D249" s="3">
        <f>DNSPOntSourceData!E683</f>
        <v>13264.56335</v>
      </c>
      <c r="E249" s="5">
        <f>DNSPOntSourceData!F683</f>
        <v>1.1243125351578573</v>
      </c>
      <c r="F249" s="3">
        <f>DNSPOntSourceData!G683</f>
        <v>261.04500000000002</v>
      </c>
      <c r="G249" s="3">
        <f>DNSPOntSourceData!H683</f>
        <v>268.95800000000003</v>
      </c>
      <c r="H249" s="3">
        <f>DNSPOntSourceData!I683</f>
        <v>51048</v>
      </c>
      <c r="I249" s="3">
        <f>DNSPOntSourceData!J683</f>
        <v>1950</v>
      </c>
      <c r="J249" s="3">
        <f>DNSPOntSourceData!K683</f>
        <v>479</v>
      </c>
      <c r="K249" s="12">
        <f>DNSPOntSourceData!L683</f>
        <v>0.24564102564102563</v>
      </c>
      <c r="L249" s="20" t="s">
        <v>66</v>
      </c>
    </row>
    <row r="250" spans="1:12">
      <c r="A250">
        <v>3018</v>
      </c>
      <c r="B250">
        <v>2011</v>
      </c>
      <c r="C250">
        <v>3</v>
      </c>
      <c r="D250" s="3">
        <f>DNSPOntSourceData!E684</f>
        <v>13737.556289999999</v>
      </c>
      <c r="E250" s="5">
        <f>DNSPOntSourceData!F684</f>
        <v>1.1430978626415853</v>
      </c>
      <c r="F250" s="3">
        <f>DNSPOntSourceData!G684</f>
        <v>269.26900000000001</v>
      </c>
      <c r="G250" s="3">
        <f>DNSPOntSourceData!H684</f>
        <v>269.26900000000001</v>
      </c>
      <c r="H250" s="3">
        <f>DNSPOntSourceData!I684</f>
        <v>51162</v>
      </c>
      <c r="I250" s="3">
        <f>DNSPOntSourceData!J684</f>
        <v>1975</v>
      </c>
      <c r="J250" s="3">
        <f>DNSPOntSourceData!K684</f>
        <v>491</v>
      </c>
      <c r="K250" s="12">
        <f>DNSPOntSourceData!L684</f>
        <v>0.24860759493670886</v>
      </c>
      <c r="L250" s="20" t="s">
        <v>66</v>
      </c>
    </row>
    <row r="251" spans="1:12">
      <c r="A251">
        <v>3018</v>
      </c>
      <c r="B251" s="2">
        <v>2012</v>
      </c>
      <c r="C251">
        <v>3</v>
      </c>
      <c r="D251" s="3">
        <f>DNSPOntSourceData!E685</f>
        <v>14194.44967</v>
      </c>
      <c r="E251" s="5">
        <f>DNSPOntSourceData!F685</f>
        <v>1.160126854517312</v>
      </c>
      <c r="F251" s="3">
        <f>DNSPOntSourceData!G685</f>
        <v>262.91699999999997</v>
      </c>
      <c r="G251" s="3">
        <f>DNSPOntSourceData!H685</f>
        <v>269.26900000000001</v>
      </c>
      <c r="H251" s="3">
        <f>DNSPOntSourceData!I685</f>
        <v>50986</v>
      </c>
      <c r="I251" s="3">
        <f>DNSPOntSourceData!J685</f>
        <v>1960</v>
      </c>
      <c r="J251" s="3">
        <f>DNSPOntSourceData!K685</f>
        <v>500</v>
      </c>
      <c r="K251" s="12">
        <f>DNSPOntSourceData!L685</f>
        <v>0.25510204081632654</v>
      </c>
      <c r="L251" s="20" t="s">
        <v>66</v>
      </c>
    </row>
    <row r="252" spans="1:12">
      <c r="A252">
        <v>3018</v>
      </c>
      <c r="B252">
        <v>2013</v>
      </c>
      <c r="C252">
        <v>3</v>
      </c>
      <c r="D252" s="3">
        <f>DNSPOntSourceData!E686</f>
        <v>13580.948560000001</v>
      </c>
      <c r="E252" s="5">
        <f>DNSPOntSourceData!F686</f>
        <v>1.178602141578931</v>
      </c>
      <c r="F252" s="3">
        <f>DNSPOntSourceData!G686</f>
        <v>268.58300000000003</v>
      </c>
      <c r="G252" s="3">
        <f>DNSPOntSourceData!H686</f>
        <v>269.26900000000001</v>
      </c>
      <c r="H252" s="3">
        <f>DNSPOntSourceData!I686</f>
        <v>51213</v>
      </c>
      <c r="I252" s="3">
        <f>DNSPOntSourceData!J686</f>
        <v>1977</v>
      </c>
      <c r="J252" s="3">
        <f>DNSPOntSourceData!K686</f>
        <v>519</v>
      </c>
      <c r="K252" s="12">
        <f>DNSPOntSourceData!L686</f>
        <v>0.26251896813353565</v>
      </c>
      <c r="L252" s="20" t="s">
        <v>66</v>
      </c>
    </row>
    <row r="253" spans="1:12">
      <c r="A253">
        <v>3018</v>
      </c>
      <c r="B253" s="2">
        <v>2014</v>
      </c>
      <c r="C253">
        <v>3</v>
      </c>
      <c r="D253" s="3">
        <f>DNSPOntSourceData!E687</f>
        <v>16436.186000000002</v>
      </c>
      <c r="E253" s="5">
        <f>DNSPOntSourceData!F687</f>
        <v>1.2030671041042156</v>
      </c>
      <c r="F253" s="3">
        <f>DNSPOntSourceData!G687</f>
        <v>226.446</v>
      </c>
      <c r="G253" s="3">
        <f>DNSPOntSourceData!H687</f>
        <v>269.26900000000001</v>
      </c>
      <c r="H253" s="3">
        <f>DNSPOntSourceData!I687</f>
        <v>51824</v>
      </c>
      <c r="I253" s="3">
        <f>DNSPOntSourceData!J687</f>
        <v>1977</v>
      </c>
      <c r="J253" s="3">
        <f>DNSPOntSourceData!K687</f>
        <v>519</v>
      </c>
      <c r="K253" s="12">
        <f>DNSPOntSourceData!L687</f>
        <v>0.26251896813353565</v>
      </c>
      <c r="L253" s="20" t="s">
        <v>66</v>
      </c>
    </row>
    <row r="254" spans="1:12">
      <c r="A254">
        <v>3018</v>
      </c>
      <c r="B254">
        <v>2015</v>
      </c>
      <c r="C254">
        <v>3</v>
      </c>
      <c r="D254" s="3">
        <f>DNSPOntSourceData!E688</f>
        <v>16150.052</v>
      </c>
      <c r="E254" s="5">
        <f>DNSPOntSourceData!F688</f>
        <v>1.2312762402864634</v>
      </c>
      <c r="F254" s="3">
        <f>DNSPOntSourceData!G688</f>
        <v>245.124</v>
      </c>
      <c r="G254" s="3">
        <f>DNSPOntSourceData!H688</f>
        <v>269.26900000000001</v>
      </c>
      <c r="H254" s="3">
        <f>DNSPOntSourceData!I688</f>
        <v>52770</v>
      </c>
      <c r="I254" s="3">
        <f>DNSPOntSourceData!J688</f>
        <v>1977</v>
      </c>
      <c r="J254" s="3">
        <f>DNSPOntSourceData!K688</f>
        <v>519</v>
      </c>
      <c r="K254" s="12">
        <f>DNSPOntSourceData!L688</f>
        <v>0.26251896813353565</v>
      </c>
      <c r="L254" s="20" t="s">
        <v>66</v>
      </c>
    </row>
    <row r="255" spans="1:12">
      <c r="A255">
        <v>3018</v>
      </c>
      <c r="B255" s="2">
        <v>2016</v>
      </c>
      <c r="C255">
        <v>3</v>
      </c>
      <c r="D255" s="3">
        <f>DNSPOntSourceData!E689</f>
        <v>16422.964600000003</v>
      </c>
      <c r="E255" s="5">
        <f>DNSPOntSourceData!F689</f>
        <v>1.2455044937824149</v>
      </c>
      <c r="F255" s="3">
        <f>DNSPOntSourceData!G689</f>
        <v>261.49299999999999</v>
      </c>
      <c r="G255" s="3">
        <f>DNSPOntSourceData!H689</f>
        <v>269.26900000000001</v>
      </c>
      <c r="H255" s="3">
        <f>DNSPOntSourceData!I689</f>
        <v>53617</v>
      </c>
      <c r="I255" s="3">
        <f>DNSPOntSourceData!J689</f>
        <v>2004</v>
      </c>
      <c r="J255" s="3">
        <f>DNSPOntSourceData!K689</f>
        <v>549</v>
      </c>
      <c r="K255" s="12">
        <f>DNSPOntSourceData!L689</f>
        <v>0.27395209580838326</v>
      </c>
      <c r="L255" s="20" t="s">
        <v>66</v>
      </c>
    </row>
    <row r="256" spans="1:12">
      <c r="A256">
        <v>3018</v>
      </c>
      <c r="B256">
        <v>2017</v>
      </c>
      <c r="C256">
        <v>3</v>
      </c>
      <c r="D256" s="3">
        <f>DNSPOntSourceData!E690</f>
        <v>17622.603480000005</v>
      </c>
      <c r="E256" s="5">
        <f>DNSPOntSourceData!F690</f>
        <v>1.2674505553724562</v>
      </c>
      <c r="F256" s="3">
        <f>DNSPOntSourceData!G690</f>
        <v>234.89</v>
      </c>
      <c r="G256" s="3">
        <f>DNSPOntSourceData!H690</f>
        <v>269.26900000000001</v>
      </c>
      <c r="H256" s="3">
        <f>DNSPOntSourceData!I690</f>
        <v>54919</v>
      </c>
      <c r="I256" s="3">
        <f>DNSPOntSourceData!J690</f>
        <v>2005</v>
      </c>
      <c r="J256" s="3">
        <f>DNSPOntSourceData!K690</f>
        <v>557</v>
      </c>
      <c r="K256" s="12">
        <f>DNSPOntSourceData!L690</f>
        <v>0.27780548628428925</v>
      </c>
      <c r="L256" s="20" t="s">
        <v>66</v>
      </c>
    </row>
    <row r="257" spans="1:12">
      <c r="A257">
        <v>3018</v>
      </c>
      <c r="B257" s="2">
        <v>2018</v>
      </c>
      <c r="C257">
        <v>3</v>
      </c>
      <c r="D257" s="3">
        <f>DNSPOntSourceData!E691</f>
        <v>17326.921759999997</v>
      </c>
      <c r="E257" s="5">
        <f>DNSPOntSourceData!F691</f>
        <v>1.2994718602728874</v>
      </c>
      <c r="F257" s="3">
        <f>DNSPOntSourceData!G691</f>
        <v>254.506</v>
      </c>
      <c r="G257" s="3">
        <f>DNSPOntSourceData!H691</f>
        <v>269.26900000000001</v>
      </c>
      <c r="H257" s="3">
        <f>DNSPOntSourceData!I691</f>
        <v>55593</v>
      </c>
      <c r="I257" s="3">
        <f>DNSPOntSourceData!J691</f>
        <v>2024</v>
      </c>
      <c r="J257" s="3">
        <f>DNSPOntSourceData!K691</f>
        <v>573</v>
      </c>
      <c r="K257" s="12">
        <f>DNSPOntSourceData!L691</f>
        <v>0.28310276679841895</v>
      </c>
      <c r="L257" s="20" t="s">
        <v>66</v>
      </c>
    </row>
    <row r="258" spans="1:12">
      <c r="A258" s="142">
        <v>3018</v>
      </c>
      <c r="B258" s="142">
        <v>2019</v>
      </c>
      <c r="C258" s="142">
        <v>3</v>
      </c>
      <c r="D258" s="3">
        <f>DNSPOntSourceData!E692</f>
        <v>18348.752419999997</v>
      </c>
      <c r="E258" s="5">
        <f>DNSPOntSourceData!F692</f>
        <v>1.3352608354138498</v>
      </c>
      <c r="F258" s="3">
        <f>DNSPOntSourceData!G692</f>
        <v>251.13300000000001</v>
      </c>
      <c r="G258" s="3">
        <f>DNSPOntSourceData!H692</f>
        <v>269.26900000000001</v>
      </c>
      <c r="H258" s="3">
        <f>DNSPOntSourceData!I692</f>
        <v>56067</v>
      </c>
      <c r="I258" s="3">
        <f>DNSPOntSourceData!J692</f>
        <v>2041</v>
      </c>
      <c r="J258" s="3">
        <f>DNSPOntSourceData!K692</f>
        <v>586</v>
      </c>
      <c r="K258" s="12">
        <f>DNSPOntSourceData!L692</f>
        <v>0.28711415972562471</v>
      </c>
      <c r="L258" s="20" t="s">
        <v>66</v>
      </c>
    </row>
    <row r="259" spans="1:12">
      <c r="A259">
        <v>3019</v>
      </c>
      <c r="B259">
        <v>2005</v>
      </c>
      <c r="C259">
        <v>3</v>
      </c>
      <c r="D259" s="3">
        <f>DNSPOntSourceData!E948+DNSPOntSourceData!E543</f>
        <v>11231.878640000003</v>
      </c>
      <c r="E259" s="5">
        <f>DNSPOntSourceData!F948</f>
        <v>1</v>
      </c>
      <c r="F259" s="3">
        <f>DNSPOntSourceData!G948+DNSPOntSourceData!G543</f>
        <v>220</v>
      </c>
      <c r="G259" s="3">
        <f>F259</f>
        <v>220</v>
      </c>
      <c r="H259" s="3">
        <f>DNSPOntSourceData!I948+DNSPOntSourceData!I543</f>
        <v>55405</v>
      </c>
      <c r="I259" s="3">
        <f>DNSPOntSourceData!J948+DNSPOntSourceData!J543</f>
        <v>1438</v>
      </c>
      <c r="J259" s="3">
        <f>DNSPOntSourceData!K948+DNSPOntSourceData!K528</f>
        <v>558</v>
      </c>
      <c r="K259" s="12">
        <f>J259/I259</f>
        <v>0.38803894297635605</v>
      </c>
      <c r="L259" s="20" t="s">
        <v>427</v>
      </c>
    </row>
    <row r="260" spans="1:12">
      <c r="A260">
        <v>3019</v>
      </c>
      <c r="B260" s="2">
        <v>2006</v>
      </c>
      <c r="C260">
        <v>3</v>
      </c>
      <c r="D260" s="3">
        <f>DNSPOntSourceData!E949+DNSPOntSourceData!E544</f>
        <v>11739.14062</v>
      </c>
      <c r="E260" s="5">
        <f>DNSPOntSourceData!F949</f>
        <v>1.0181607380073696</v>
      </c>
      <c r="F260" s="3">
        <f>DNSPOntSourceData!G949+DNSPOntSourceData!G544</f>
        <v>202.76400000000001</v>
      </c>
      <c r="G260" s="3">
        <f>MAX(F260,G259)</f>
        <v>220</v>
      </c>
      <c r="H260" s="3">
        <f>DNSPOntSourceData!I949+DNSPOntSourceData!I544</f>
        <v>55384</v>
      </c>
      <c r="I260" s="3">
        <f>DNSPOntSourceData!J949+DNSPOntSourceData!J544</f>
        <v>1438</v>
      </c>
      <c r="J260" s="3">
        <f>DNSPOntSourceData!K949+DNSPOntSourceData!K529</f>
        <v>565</v>
      </c>
      <c r="K260" s="12">
        <f t="shared" ref="K260:K272" si="20">J260/I260</f>
        <v>0.39290681502086233</v>
      </c>
      <c r="L260" s="20" t="s">
        <v>427</v>
      </c>
    </row>
    <row r="261" spans="1:12">
      <c r="A261">
        <v>3019</v>
      </c>
      <c r="B261">
        <v>2007</v>
      </c>
      <c r="C261">
        <v>3</v>
      </c>
      <c r="D261" s="3">
        <f>DNSPOntSourceData!E950+DNSPOntSourceData!E545</f>
        <v>12969.339180000003</v>
      </c>
      <c r="E261" s="5">
        <f>DNSPOntSourceData!F950</f>
        <v>1.0531931014872313</v>
      </c>
      <c r="F261" s="3">
        <f>DNSPOntSourceData!G950+DNSPOntSourceData!G545</f>
        <v>211.59299999999999</v>
      </c>
      <c r="G261" s="3">
        <f t="shared" ref="G261:G273" si="21">MAX(F261,G260)</f>
        <v>220</v>
      </c>
      <c r="H261" s="3">
        <f>DNSPOntSourceData!I950+DNSPOntSourceData!I545</f>
        <v>55063</v>
      </c>
      <c r="I261" s="3">
        <f>DNSPOntSourceData!J950+DNSPOntSourceData!J545</f>
        <v>1258</v>
      </c>
      <c r="J261" s="3">
        <f>DNSPOntSourceData!K950+DNSPOntSourceData!K530</f>
        <v>347</v>
      </c>
      <c r="K261" s="12">
        <f t="shared" si="20"/>
        <v>0.27583465818759939</v>
      </c>
      <c r="L261" s="20" t="s">
        <v>427</v>
      </c>
    </row>
    <row r="262" spans="1:12">
      <c r="A262">
        <v>3019</v>
      </c>
      <c r="B262" s="2">
        <v>2008</v>
      </c>
      <c r="C262">
        <v>3</v>
      </c>
      <c r="D262" s="3">
        <f>DNSPOntSourceData!E951+DNSPOntSourceData!E546</f>
        <v>12979.844449999999</v>
      </c>
      <c r="E262" s="5">
        <f>DNSPOntSourceData!F951</f>
        <v>1.078564603993923</v>
      </c>
      <c r="F262" s="3">
        <f>DNSPOntSourceData!G951+DNSPOntSourceData!G546</f>
        <v>208.965</v>
      </c>
      <c r="G262" s="3">
        <f t="shared" si="21"/>
        <v>220</v>
      </c>
      <c r="H262" s="3">
        <f>DNSPOntSourceData!I951+DNSPOntSourceData!I546</f>
        <v>54944</v>
      </c>
      <c r="I262" s="3">
        <f>DNSPOntSourceData!J951+DNSPOntSourceData!J546</f>
        <v>1270</v>
      </c>
      <c r="J262" s="3">
        <f>DNSPOntSourceData!K951+DNSPOntSourceData!K531</f>
        <v>354</v>
      </c>
      <c r="K262" s="12">
        <f t="shared" si="20"/>
        <v>0.27874015748031494</v>
      </c>
      <c r="L262" s="20" t="s">
        <v>427</v>
      </c>
    </row>
    <row r="263" spans="1:12">
      <c r="A263">
        <v>3019</v>
      </c>
      <c r="B263">
        <v>2009</v>
      </c>
      <c r="C263">
        <v>3</v>
      </c>
      <c r="D263" s="3">
        <f>DNSPOntSourceData!E952+DNSPOntSourceData!E547</f>
        <v>13455.722090000001</v>
      </c>
      <c r="E263" s="5">
        <f>DNSPOntSourceData!F952</f>
        <v>1.0915070880241431</v>
      </c>
      <c r="F263" s="3">
        <f>DNSPOntSourceData!G952+DNSPOntSourceData!G547</f>
        <v>208.96600000000001</v>
      </c>
      <c r="G263" s="3">
        <f t="shared" si="21"/>
        <v>220</v>
      </c>
      <c r="H263" s="3">
        <f>DNSPOntSourceData!I952+DNSPOntSourceData!I547</f>
        <v>55032</v>
      </c>
      <c r="I263" s="3">
        <f>DNSPOntSourceData!J952+DNSPOntSourceData!J547</f>
        <v>1284</v>
      </c>
      <c r="J263" s="3">
        <f>DNSPOntSourceData!K952+DNSPOntSourceData!K532</f>
        <v>370</v>
      </c>
      <c r="K263" s="12">
        <f t="shared" si="20"/>
        <v>0.28816199376947038</v>
      </c>
      <c r="L263" s="20" t="s">
        <v>427</v>
      </c>
    </row>
    <row r="264" spans="1:12">
      <c r="A264">
        <v>3019</v>
      </c>
      <c r="B264" s="2">
        <v>2010</v>
      </c>
      <c r="C264">
        <v>3</v>
      </c>
      <c r="D264" s="3">
        <f>DNSPOntSourceData!E953+DNSPOntSourceData!E548</f>
        <v>13716.574479999999</v>
      </c>
      <c r="E264" s="5">
        <f>DNSPOntSourceData!F953</f>
        <v>1.1243125351578573</v>
      </c>
      <c r="F264" s="3">
        <f>DNSPOntSourceData!G953+DNSPOntSourceData!G548</f>
        <v>197.80199999999999</v>
      </c>
      <c r="G264" s="3">
        <f t="shared" si="21"/>
        <v>220</v>
      </c>
      <c r="H264" s="3">
        <f>DNSPOntSourceData!I953+DNSPOntSourceData!I548</f>
        <v>55088</v>
      </c>
      <c r="I264" s="3">
        <f>DNSPOntSourceData!J953+DNSPOntSourceData!J548</f>
        <v>1276</v>
      </c>
      <c r="J264" s="3">
        <f>DNSPOntSourceData!K953+DNSPOntSourceData!K533</f>
        <v>374</v>
      </c>
      <c r="K264" s="12">
        <f t="shared" si="20"/>
        <v>0.29310344827586204</v>
      </c>
      <c r="L264" s="20" t="s">
        <v>427</v>
      </c>
    </row>
    <row r="265" spans="1:12">
      <c r="A265">
        <v>3019</v>
      </c>
      <c r="B265">
        <v>2011</v>
      </c>
      <c r="C265">
        <v>3</v>
      </c>
      <c r="D265" s="3">
        <f>DNSPOntSourceData!E954+DNSPOntSourceData!E549</f>
        <v>13926.431487264445</v>
      </c>
      <c r="E265" s="5">
        <f>DNSPOntSourceData!F954</f>
        <v>1.1430978626415853</v>
      </c>
      <c r="F265" s="3">
        <f>DNSPOntSourceData!G954+DNSPOntSourceData!G549</f>
        <v>191.79599999999999</v>
      </c>
      <c r="G265" s="3">
        <f t="shared" si="21"/>
        <v>220</v>
      </c>
      <c r="H265" s="3">
        <f>DNSPOntSourceData!I954+DNSPOntSourceData!I549</f>
        <v>55337</v>
      </c>
      <c r="I265" s="3">
        <f>DNSPOntSourceData!J954+DNSPOntSourceData!J549</f>
        <v>1284</v>
      </c>
      <c r="J265" s="3">
        <f>DNSPOntSourceData!K954+DNSPOntSourceData!K534</f>
        <v>377</v>
      </c>
      <c r="K265" s="12">
        <f t="shared" si="20"/>
        <v>0.29361370716510904</v>
      </c>
      <c r="L265" s="20" t="s">
        <v>427</v>
      </c>
    </row>
    <row r="266" spans="1:12">
      <c r="A266">
        <v>3019</v>
      </c>
      <c r="B266" s="2">
        <v>2012</v>
      </c>
      <c r="C266">
        <v>3</v>
      </c>
      <c r="D266" s="3">
        <f>DNSPOntSourceData!E955+DNSPOntSourceData!E550</f>
        <v>13917.531327100001</v>
      </c>
      <c r="E266" s="5">
        <f>DNSPOntSourceData!F955</f>
        <v>1.160126854517312</v>
      </c>
      <c r="F266" s="3">
        <f>DNSPOntSourceData!G955+DNSPOntSourceData!G550</f>
        <v>188.94</v>
      </c>
      <c r="G266" s="3">
        <f t="shared" si="21"/>
        <v>220</v>
      </c>
      <c r="H266" s="3">
        <f>DNSPOntSourceData!I955+DNSPOntSourceData!I550</f>
        <v>55566</v>
      </c>
      <c r="I266" s="3">
        <f>DNSPOntSourceData!J955+DNSPOntSourceData!J550</f>
        <v>1255</v>
      </c>
      <c r="J266" s="3">
        <f>DNSPOntSourceData!K955+DNSPOntSourceData!K535</f>
        <v>398</v>
      </c>
      <c r="K266" s="12">
        <f t="shared" si="20"/>
        <v>0.31713147410358566</v>
      </c>
      <c r="L266" s="20" t="s">
        <v>427</v>
      </c>
    </row>
    <row r="267" spans="1:12">
      <c r="A267">
        <v>3019</v>
      </c>
      <c r="B267">
        <v>2013</v>
      </c>
      <c r="C267">
        <v>3</v>
      </c>
      <c r="D267" s="3">
        <f>DNSPOntSourceData!E956+DNSPOntSourceData!E551</f>
        <v>14819.507029999997</v>
      </c>
      <c r="E267" s="5">
        <f>DNSPOntSourceData!F956</f>
        <v>1.178602141578931</v>
      </c>
      <c r="F267" s="3">
        <f>DNSPOntSourceData!G956+DNSPOntSourceData!G551</f>
        <v>202.46100000000001</v>
      </c>
      <c r="G267" s="3">
        <f t="shared" si="21"/>
        <v>220</v>
      </c>
      <c r="H267" s="3">
        <f>DNSPOntSourceData!I956+DNSPOntSourceData!I551</f>
        <v>55757</v>
      </c>
      <c r="I267" s="3">
        <f>DNSPOntSourceData!J956+DNSPOntSourceData!J551</f>
        <v>1243</v>
      </c>
      <c r="J267" s="3">
        <f>DNSPOntSourceData!K956+DNSPOntSourceData!K536</f>
        <v>402</v>
      </c>
      <c r="K267" s="12">
        <f t="shared" si="20"/>
        <v>0.32341110217216412</v>
      </c>
      <c r="L267" s="20" t="s">
        <v>427</v>
      </c>
    </row>
    <row r="268" spans="1:12">
      <c r="A268">
        <v>3019</v>
      </c>
      <c r="B268" s="2">
        <v>2014</v>
      </c>
      <c r="C268">
        <v>3</v>
      </c>
      <c r="D268" s="3">
        <f>DNSPOntSourceData!E957+DNSPOntSourceData!E552</f>
        <v>15501.701000000001</v>
      </c>
      <c r="E268" s="5">
        <f>DNSPOntSourceData!F957</f>
        <v>1.2030671041042156</v>
      </c>
      <c r="F268" s="3">
        <f>DNSPOntSourceData!G957+DNSPOntSourceData!G552</f>
        <v>201.845</v>
      </c>
      <c r="G268" s="3">
        <f t="shared" si="21"/>
        <v>220</v>
      </c>
      <c r="H268" s="3">
        <f>DNSPOntSourceData!I957+DNSPOntSourceData!I552</f>
        <v>56040</v>
      </c>
      <c r="I268" s="3">
        <f>DNSPOntSourceData!J957+DNSPOntSourceData!J552</f>
        <v>1236</v>
      </c>
      <c r="J268" s="3">
        <f>DNSPOntSourceData!K957+DNSPOntSourceData!K537</f>
        <v>408</v>
      </c>
      <c r="K268" s="12">
        <f t="shared" si="20"/>
        <v>0.3300970873786408</v>
      </c>
      <c r="L268" s="20" t="s">
        <v>427</v>
      </c>
    </row>
    <row r="269" spans="1:12">
      <c r="A269">
        <v>3019</v>
      </c>
      <c r="B269">
        <v>2015</v>
      </c>
      <c r="C269">
        <v>3</v>
      </c>
      <c r="D269" s="3">
        <f>DNSPOntSourceData!E958+DNSPOntSourceData!E553</f>
        <v>16102.125</v>
      </c>
      <c r="E269" s="5">
        <f>DNSPOntSourceData!F958</f>
        <v>1.2312762402864634</v>
      </c>
      <c r="F269" s="3">
        <f>DNSPOntSourceData!G958+DNSPOntSourceData!G553</f>
        <v>199.21</v>
      </c>
      <c r="G269" s="3">
        <f t="shared" si="21"/>
        <v>220</v>
      </c>
      <c r="H269" s="3">
        <f>DNSPOntSourceData!I958+DNSPOntSourceData!I553</f>
        <v>56183</v>
      </c>
      <c r="I269" s="3">
        <f>DNSPOntSourceData!J958+DNSPOntSourceData!J553</f>
        <v>1279</v>
      </c>
      <c r="J269" s="3">
        <f>DNSPOntSourceData!K958+DNSPOntSourceData!K538</f>
        <v>431</v>
      </c>
      <c r="K269" s="12">
        <f t="shared" si="20"/>
        <v>0.33698201720093823</v>
      </c>
      <c r="L269" s="20" t="s">
        <v>427</v>
      </c>
    </row>
    <row r="270" spans="1:12">
      <c r="A270">
        <v>3019</v>
      </c>
      <c r="B270" s="2">
        <v>2016</v>
      </c>
      <c r="C270">
        <v>3</v>
      </c>
      <c r="D270" s="3">
        <f>DNSPOntSourceData!E959+DNSPOntSourceData!E554</f>
        <v>17165.842839999998</v>
      </c>
      <c r="E270" s="5">
        <f>DNSPOntSourceData!F959</f>
        <v>1.2455044937824149</v>
      </c>
      <c r="F270" s="3">
        <f>DNSPOntSourceData!G959+DNSPOntSourceData!G554</f>
        <v>187.41899999999998</v>
      </c>
      <c r="G270" s="3">
        <f t="shared" si="21"/>
        <v>220</v>
      </c>
      <c r="H270" s="3">
        <f>DNSPOntSourceData!I959+DNSPOntSourceData!I554</f>
        <v>56332</v>
      </c>
      <c r="I270" s="3">
        <f>DNSPOntSourceData!J959+DNSPOntSourceData!J554</f>
        <v>1286</v>
      </c>
      <c r="J270" s="3">
        <f>DNSPOntSourceData!K959+DNSPOntSourceData!K539</f>
        <v>438</v>
      </c>
      <c r="K270" s="12">
        <f t="shared" si="20"/>
        <v>0.3405909797822706</v>
      </c>
      <c r="L270" s="20" t="s">
        <v>427</v>
      </c>
    </row>
    <row r="271" spans="1:12">
      <c r="A271">
        <v>3019</v>
      </c>
      <c r="B271">
        <v>2017</v>
      </c>
      <c r="C271">
        <v>3</v>
      </c>
      <c r="D271" s="3">
        <f>DNSPOntSourceData!E960+DNSPOntSourceData!E555</f>
        <v>17581.54106</v>
      </c>
      <c r="E271" s="5">
        <f>DNSPOntSourceData!F960</f>
        <v>1.2674505553724562</v>
      </c>
      <c r="F271" s="3">
        <f>DNSPOntSourceData!G960+DNSPOntSourceData!G555</f>
        <v>172.96599999999998</v>
      </c>
      <c r="G271" s="3">
        <f t="shared" si="21"/>
        <v>220</v>
      </c>
      <c r="H271" s="3">
        <f>DNSPOntSourceData!I960+DNSPOntSourceData!I555</f>
        <v>56425</v>
      </c>
      <c r="I271" s="3">
        <f>DNSPOntSourceData!J960+DNSPOntSourceData!J555</f>
        <v>1257</v>
      </c>
      <c r="J271" s="3">
        <f>DNSPOntSourceData!K960+DNSPOntSourceData!K540</f>
        <v>454</v>
      </c>
      <c r="K271" s="12">
        <f t="shared" si="20"/>
        <v>0.36117740652346858</v>
      </c>
      <c r="L271" s="20" t="s">
        <v>427</v>
      </c>
    </row>
    <row r="272" spans="1:12">
      <c r="A272">
        <v>3019</v>
      </c>
      <c r="B272" s="2">
        <v>2018</v>
      </c>
      <c r="C272">
        <v>3</v>
      </c>
      <c r="D272" s="3">
        <f>DNSPOntSourceData!E961+DNSPOntSourceData!E556</f>
        <v>17752.307529999998</v>
      </c>
      <c r="E272" s="5">
        <f>DNSPOntSourceData!F961</f>
        <v>1.2994718602728874</v>
      </c>
      <c r="F272" s="3">
        <f>DNSPOntSourceData!G961+DNSPOntSourceData!G556</f>
        <v>184.53299999999999</v>
      </c>
      <c r="G272" s="3">
        <f t="shared" si="21"/>
        <v>220</v>
      </c>
      <c r="H272" s="3">
        <f>DNSPOntSourceData!I961+DNSPOntSourceData!I556</f>
        <v>56515</v>
      </c>
      <c r="I272" s="3">
        <f>DNSPOntSourceData!J961+DNSPOntSourceData!J556</f>
        <v>1252</v>
      </c>
      <c r="J272" s="3">
        <f>DNSPOntSourceData!K961+DNSPOntSourceData!K541</f>
        <v>474</v>
      </c>
      <c r="K272" s="12">
        <f t="shared" si="20"/>
        <v>0.37859424920127793</v>
      </c>
      <c r="L272" s="20" t="s">
        <v>427</v>
      </c>
    </row>
    <row r="273" spans="1:12">
      <c r="A273" s="142">
        <v>3019</v>
      </c>
      <c r="B273" s="142">
        <v>2019</v>
      </c>
      <c r="C273" s="142">
        <v>3</v>
      </c>
      <c r="D273" s="158">
        <v>16857.003659999998</v>
      </c>
      <c r="E273" s="5">
        <f>DNSPOntSourceData!F962</f>
        <v>1.3352608354138498</v>
      </c>
      <c r="F273" s="158">
        <v>180.43600000000001</v>
      </c>
      <c r="G273" s="3">
        <f t="shared" si="21"/>
        <v>220</v>
      </c>
      <c r="H273" s="158">
        <v>56700</v>
      </c>
      <c r="I273" s="158">
        <v>1268</v>
      </c>
      <c r="J273" s="94">
        <f>I273*K273</f>
        <v>480.05750798722045</v>
      </c>
      <c r="K273" s="95">
        <f>K272</f>
        <v>0.37859424920127793</v>
      </c>
      <c r="L273" s="20" t="s">
        <v>427</v>
      </c>
    </row>
    <row r="274" spans="1:12">
      <c r="A274">
        <v>3020</v>
      </c>
      <c r="B274">
        <v>2005</v>
      </c>
      <c r="C274">
        <v>3</v>
      </c>
      <c r="D274" s="3">
        <f>DNSPOntSourceData!E348</f>
        <v>9548.1171200000008</v>
      </c>
      <c r="E274" s="5">
        <f>DNSPOntSourceData!F348</f>
        <v>1</v>
      </c>
      <c r="F274" s="3">
        <f>DNSPOntSourceData!G348</f>
        <v>193.60400000000001</v>
      </c>
      <c r="G274" s="3">
        <f>DNSPOntSourceData!H348</f>
        <v>193.60400000000001</v>
      </c>
      <c r="H274" s="3">
        <f>DNSPOntSourceData!I348</f>
        <v>45915</v>
      </c>
      <c r="I274" s="3">
        <f>DNSPOntSourceData!J348</f>
        <v>870</v>
      </c>
      <c r="J274" s="3">
        <f>DNSPOntSourceData!K348</f>
        <v>175</v>
      </c>
      <c r="K274" s="12">
        <f>DNSPOntSourceData!L348</f>
        <v>0.20114942528735633</v>
      </c>
      <c r="L274" s="20" t="s">
        <v>44</v>
      </c>
    </row>
    <row r="275" spans="1:12">
      <c r="A275">
        <v>3020</v>
      </c>
      <c r="B275" s="2">
        <v>2006</v>
      </c>
      <c r="C275">
        <v>3</v>
      </c>
      <c r="D275" s="3">
        <f>DNSPOntSourceData!E349</f>
        <v>9356.1048499999997</v>
      </c>
      <c r="E275" s="5">
        <f>DNSPOntSourceData!F349</f>
        <v>1.0181607380073696</v>
      </c>
      <c r="F275" s="3">
        <f>DNSPOntSourceData!G349</f>
        <v>187.511</v>
      </c>
      <c r="G275" s="3">
        <f>DNSPOntSourceData!H349</f>
        <v>193.60400000000001</v>
      </c>
      <c r="H275" s="3">
        <f>DNSPOntSourceData!I349</f>
        <v>46020</v>
      </c>
      <c r="I275" s="3">
        <f>DNSPOntSourceData!J349</f>
        <v>871</v>
      </c>
      <c r="J275" s="3">
        <f>DNSPOntSourceData!K349</f>
        <v>175</v>
      </c>
      <c r="K275" s="12">
        <f>DNSPOntSourceData!L349</f>
        <v>0.20091848450057406</v>
      </c>
      <c r="L275" s="20" t="s">
        <v>44</v>
      </c>
    </row>
    <row r="276" spans="1:12">
      <c r="A276">
        <v>3020</v>
      </c>
      <c r="B276">
        <v>2007</v>
      </c>
      <c r="C276">
        <v>3</v>
      </c>
      <c r="D276" s="3">
        <f>DNSPOntSourceData!E350</f>
        <v>15842.248</v>
      </c>
      <c r="E276" s="5">
        <f>DNSPOntSourceData!F350</f>
        <v>1.0531931014872313</v>
      </c>
      <c r="F276" s="3">
        <f>DNSPOntSourceData!G350</f>
        <v>195.452</v>
      </c>
      <c r="G276" s="3">
        <f>DNSPOntSourceData!H350</f>
        <v>195.452</v>
      </c>
      <c r="H276" s="3">
        <f>DNSPOntSourceData!I350</f>
        <v>46451</v>
      </c>
      <c r="I276" s="3">
        <f>DNSPOntSourceData!J350</f>
        <v>871</v>
      </c>
      <c r="J276" s="3">
        <f>DNSPOntSourceData!K350</f>
        <v>175</v>
      </c>
      <c r="K276" s="12">
        <f>DNSPOntSourceData!L350</f>
        <v>0.20091848450057406</v>
      </c>
      <c r="L276" s="20" t="s">
        <v>44</v>
      </c>
    </row>
    <row r="277" spans="1:12">
      <c r="A277">
        <v>3020</v>
      </c>
      <c r="B277" s="2">
        <v>2008</v>
      </c>
      <c r="C277">
        <v>3</v>
      </c>
      <c r="D277" s="3">
        <f>DNSPOntSourceData!E351</f>
        <v>10582.17316</v>
      </c>
      <c r="E277" s="5">
        <f>DNSPOntSourceData!F351</f>
        <v>1.078564603993923</v>
      </c>
      <c r="F277" s="3">
        <f>DNSPOntSourceData!G351</f>
        <v>189.10499999999999</v>
      </c>
      <c r="G277" s="3">
        <f>DNSPOntSourceData!H351</f>
        <v>195.452</v>
      </c>
      <c r="H277" s="3">
        <f>DNSPOntSourceData!I351</f>
        <v>46215</v>
      </c>
      <c r="I277" s="3">
        <f>DNSPOntSourceData!J351</f>
        <v>871</v>
      </c>
      <c r="J277" s="3">
        <f>DNSPOntSourceData!K351</f>
        <v>175</v>
      </c>
      <c r="K277" s="12">
        <f>DNSPOntSourceData!L351</f>
        <v>0.20091848450057406</v>
      </c>
      <c r="L277" s="20" t="s">
        <v>44</v>
      </c>
    </row>
    <row r="278" spans="1:12">
      <c r="A278">
        <v>3020</v>
      </c>
      <c r="B278">
        <v>2009</v>
      </c>
      <c r="C278">
        <v>3</v>
      </c>
      <c r="D278" s="3">
        <f>DNSPOntSourceData!E352</f>
        <v>11183.125449999998</v>
      </c>
      <c r="E278" s="5">
        <f>DNSPOntSourceData!F352</f>
        <v>1.0915070880241431</v>
      </c>
      <c r="F278" s="3">
        <f>DNSPOntSourceData!G352</f>
        <v>206.94</v>
      </c>
      <c r="G278" s="3">
        <f>DNSPOntSourceData!H352</f>
        <v>206.94</v>
      </c>
      <c r="H278" s="3">
        <f>DNSPOntSourceData!I352</f>
        <v>46349</v>
      </c>
      <c r="I278" s="3">
        <f>DNSPOntSourceData!J352</f>
        <v>944</v>
      </c>
      <c r="J278" s="3">
        <f>DNSPOntSourceData!K352</f>
        <v>213</v>
      </c>
      <c r="K278" s="12">
        <f>DNSPOntSourceData!L352</f>
        <v>0.22563559322033899</v>
      </c>
      <c r="L278" s="20" t="s">
        <v>44</v>
      </c>
    </row>
    <row r="279" spans="1:12">
      <c r="A279">
        <v>3020</v>
      </c>
      <c r="B279" s="2">
        <v>2010</v>
      </c>
      <c r="C279">
        <v>3</v>
      </c>
      <c r="D279" s="3">
        <f>DNSPOntSourceData!E353</f>
        <v>7497.4209500000006</v>
      </c>
      <c r="E279" s="5">
        <f>DNSPOntSourceData!F353</f>
        <v>1.1243125351578573</v>
      </c>
      <c r="F279" s="3">
        <f>DNSPOntSourceData!G353</f>
        <v>206.94</v>
      </c>
      <c r="G279" s="3">
        <f>DNSPOntSourceData!H353</f>
        <v>206.94</v>
      </c>
      <c r="H279" s="3">
        <f>DNSPOntSourceData!I353</f>
        <v>46710</v>
      </c>
      <c r="I279" s="3">
        <f>DNSPOntSourceData!J353</f>
        <v>944</v>
      </c>
      <c r="J279" s="3">
        <f>DNSPOntSourceData!K353</f>
        <v>213</v>
      </c>
      <c r="K279" s="12">
        <f>DNSPOntSourceData!L353</f>
        <v>0.22563559322033899</v>
      </c>
      <c r="L279" s="20" t="s">
        <v>44</v>
      </c>
    </row>
    <row r="280" spans="1:12">
      <c r="A280">
        <v>3020</v>
      </c>
      <c r="B280">
        <v>2011</v>
      </c>
      <c r="C280">
        <v>3</v>
      </c>
      <c r="D280" s="3">
        <f>DNSPOntSourceData!E354</f>
        <v>12104.256969999999</v>
      </c>
      <c r="E280" s="5">
        <f>DNSPOntSourceData!F354</f>
        <v>1.1430978626415853</v>
      </c>
      <c r="F280" s="3">
        <f>DNSPOntSourceData!G354</f>
        <v>196.11500000000001</v>
      </c>
      <c r="G280" s="3">
        <f>DNSPOntSourceData!H354</f>
        <v>206.94</v>
      </c>
      <c r="H280" s="3">
        <f>DNSPOntSourceData!I354</f>
        <v>46748</v>
      </c>
      <c r="I280" s="3">
        <f>DNSPOntSourceData!J354</f>
        <v>962</v>
      </c>
      <c r="J280" s="3">
        <f>DNSPOntSourceData!K354</f>
        <v>225</v>
      </c>
      <c r="K280" s="12">
        <f>DNSPOntSourceData!L354</f>
        <v>0.2338877338877339</v>
      </c>
      <c r="L280" s="20" t="s">
        <v>44</v>
      </c>
    </row>
    <row r="281" spans="1:12">
      <c r="A281">
        <v>3020</v>
      </c>
      <c r="B281" s="2">
        <v>2012</v>
      </c>
      <c r="C281">
        <v>3</v>
      </c>
      <c r="D281" s="3">
        <f>DNSPOntSourceData!E355</f>
        <v>12803.057430000001</v>
      </c>
      <c r="E281" s="5">
        <f>DNSPOntSourceData!F355</f>
        <v>1.160126854517312</v>
      </c>
      <c r="F281" s="3">
        <f>DNSPOntSourceData!G355</f>
        <v>180.33199999999999</v>
      </c>
      <c r="G281" s="3">
        <f>DNSPOntSourceData!H355</f>
        <v>206.94</v>
      </c>
      <c r="H281" s="3">
        <f>DNSPOntSourceData!I355</f>
        <v>46879</v>
      </c>
      <c r="I281" s="3">
        <f>DNSPOntSourceData!J355</f>
        <v>971</v>
      </c>
      <c r="J281" s="3">
        <f>DNSPOntSourceData!K355</f>
        <v>228</v>
      </c>
      <c r="K281" s="12">
        <f>DNSPOntSourceData!L355</f>
        <v>0.23480947476828012</v>
      </c>
      <c r="L281" s="20" t="s">
        <v>44</v>
      </c>
    </row>
    <row r="282" spans="1:12">
      <c r="A282">
        <v>3020</v>
      </c>
      <c r="B282">
        <v>2013</v>
      </c>
      <c r="C282">
        <v>3</v>
      </c>
      <c r="D282" s="3">
        <f>DNSPOntSourceData!E356</f>
        <v>11080.579680000001</v>
      </c>
      <c r="E282" s="5">
        <f>DNSPOntSourceData!F356</f>
        <v>1.178602141578931</v>
      </c>
      <c r="F282" s="3">
        <f>DNSPOntSourceData!G356</f>
        <v>195.749</v>
      </c>
      <c r="G282" s="3">
        <f>DNSPOntSourceData!H356</f>
        <v>206.94</v>
      </c>
      <c r="H282" s="3">
        <f>DNSPOntSourceData!I356</f>
        <v>47074</v>
      </c>
      <c r="I282" s="3">
        <f>DNSPOntSourceData!J356</f>
        <v>980</v>
      </c>
      <c r="J282" s="3">
        <f>DNSPOntSourceData!K356</f>
        <v>231</v>
      </c>
      <c r="K282" s="12">
        <f>DNSPOntSourceData!L356</f>
        <v>0.23571428571428571</v>
      </c>
      <c r="L282" s="20" t="s">
        <v>44</v>
      </c>
    </row>
    <row r="283" spans="1:12">
      <c r="A283">
        <v>3020</v>
      </c>
      <c r="B283" s="2">
        <v>2014</v>
      </c>
      <c r="C283">
        <v>3</v>
      </c>
      <c r="D283" s="3">
        <f>DNSPOntSourceData!E357</f>
        <v>14850.227000000001</v>
      </c>
      <c r="E283" s="5">
        <f>DNSPOntSourceData!F357</f>
        <v>1.2030671041042156</v>
      </c>
      <c r="F283" s="3">
        <f>DNSPOntSourceData!G357</f>
        <v>194.17400000000001</v>
      </c>
      <c r="G283" s="3">
        <f>DNSPOntSourceData!H357</f>
        <v>206.94</v>
      </c>
      <c r="H283" s="3">
        <f>DNSPOntSourceData!I357</f>
        <v>47187</v>
      </c>
      <c r="I283" s="3">
        <f>DNSPOntSourceData!J357</f>
        <v>996</v>
      </c>
      <c r="J283" s="3">
        <f>DNSPOntSourceData!K357</f>
        <v>244</v>
      </c>
      <c r="K283" s="12">
        <f>DNSPOntSourceData!L357</f>
        <v>0.24497991967871485</v>
      </c>
      <c r="L283" s="20" t="s">
        <v>44</v>
      </c>
    </row>
    <row r="284" spans="1:12">
      <c r="A284">
        <v>3020</v>
      </c>
      <c r="B284">
        <v>2015</v>
      </c>
      <c r="C284">
        <v>3</v>
      </c>
      <c r="D284" s="3">
        <f>DNSPOntSourceData!E358</f>
        <v>13121.322</v>
      </c>
      <c r="E284" s="5">
        <f>DNSPOntSourceData!F358</f>
        <v>1.2312762402864634</v>
      </c>
      <c r="F284" s="3">
        <f>DNSPOntSourceData!G358</f>
        <v>185.13200000000001</v>
      </c>
      <c r="G284" s="3">
        <f>DNSPOntSourceData!H358</f>
        <v>206.94</v>
      </c>
      <c r="H284" s="3">
        <f>DNSPOntSourceData!I358</f>
        <v>47298</v>
      </c>
      <c r="I284" s="3">
        <f>DNSPOntSourceData!J358</f>
        <v>1001</v>
      </c>
      <c r="J284" s="3">
        <f>DNSPOntSourceData!K358</f>
        <v>248</v>
      </c>
      <c r="K284" s="12">
        <f>DNSPOntSourceData!L358</f>
        <v>0.24775224775224775</v>
      </c>
      <c r="L284" s="20" t="s">
        <v>44</v>
      </c>
    </row>
    <row r="285" spans="1:12">
      <c r="A285">
        <v>3020</v>
      </c>
      <c r="B285" s="2">
        <v>2016</v>
      </c>
      <c r="C285">
        <v>3</v>
      </c>
      <c r="D285" s="3">
        <f>DNSPOntSourceData!E359</f>
        <v>14059.731199999998</v>
      </c>
      <c r="E285" s="5">
        <f>DNSPOntSourceData!F359</f>
        <v>1.2455044937824149</v>
      </c>
      <c r="F285" s="3">
        <f>DNSPOntSourceData!G359</f>
        <v>171.316</v>
      </c>
      <c r="G285" s="3">
        <f>DNSPOntSourceData!H359</f>
        <v>206.94</v>
      </c>
      <c r="H285" s="3">
        <f>DNSPOntSourceData!I359</f>
        <v>47362</v>
      </c>
      <c r="I285" s="3">
        <f>DNSPOntSourceData!J359</f>
        <v>1001</v>
      </c>
      <c r="J285" s="3">
        <f>DNSPOntSourceData!K359</f>
        <v>250</v>
      </c>
      <c r="K285" s="12">
        <f>DNSPOntSourceData!L359</f>
        <v>0.24975024975024976</v>
      </c>
      <c r="L285" s="20" t="s">
        <v>44</v>
      </c>
    </row>
    <row r="286" spans="1:12">
      <c r="A286">
        <v>3020</v>
      </c>
      <c r="B286">
        <v>2017</v>
      </c>
      <c r="C286">
        <v>3</v>
      </c>
      <c r="D286" s="3">
        <f>DNSPOntSourceData!E360</f>
        <v>13736.802530000001</v>
      </c>
      <c r="E286" s="5">
        <f>DNSPOntSourceData!F360</f>
        <v>1.2674505553724562</v>
      </c>
      <c r="F286" s="3">
        <f>DNSPOntSourceData!G360</f>
        <v>163.61099999999999</v>
      </c>
      <c r="G286" s="3">
        <f>DNSPOntSourceData!H360</f>
        <v>206.94</v>
      </c>
      <c r="H286" s="3">
        <f>DNSPOntSourceData!I360</f>
        <v>47427</v>
      </c>
      <c r="I286" s="3">
        <f>DNSPOntSourceData!J360</f>
        <v>1005</v>
      </c>
      <c r="J286" s="3">
        <f>DNSPOntSourceData!K360</f>
        <v>251</v>
      </c>
      <c r="K286" s="12">
        <f>DNSPOntSourceData!L360</f>
        <v>0.24975124378109453</v>
      </c>
      <c r="L286" s="20" t="s">
        <v>44</v>
      </c>
    </row>
    <row r="287" spans="1:12">
      <c r="A287">
        <v>3020</v>
      </c>
      <c r="B287" s="2">
        <v>2018</v>
      </c>
      <c r="C287">
        <v>3</v>
      </c>
      <c r="D287" s="3">
        <f>DNSPOntSourceData!E361</f>
        <v>14687.808559999999</v>
      </c>
      <c r="E287" s="5">
        <f>DNSPOntSourceData!F361</f>
        <v>1.2994718602728874</v>
      </c>
      <c r="F287" s="3">
        <f>DNSPOntSourceData!G361</f>
        <v>167.80600000000001</v>
      </c>
      <c r="G287" s="3">
        <f>DNSPOntSourceData!H361</f>
        <v>206.94</v>
      </c>
      <c r="H287" s="3">
        <f>DNSPOntSourceData!I361</f>
        <v>47626</v>
      </c>
      <c r="I287" s="3">
        <f>DNSPOntSourceData!J361</f>
        <v>1009</v>
      </c>
      <c r="J287" s="3">
        <f>DNSPOntSourceData!K361</f>
        <v>253</v>
      </c>
      <c r="K287" s="12">
        <f>DNSPOntSourceData!L361</f>
        <v>0.25074331020812685</v>
      </c>
      <c r="L287" s="20" t="s">
        <v>44</v>
      </c>
    </row>
    <row r="288" spans="1:12">
      <c r="A288" s="142">
        <v>3020</v>
      </c>
      <c r="B288" s="142">
        <v>2019</v>
      </c>
      <c r="C288" s="142">
        <v>3</v>
      </c>
      <c r="D288" s="3">
        <f>DNSPOntSourceData!E362</f>
        <v>14566.545779999999</v>
      </c>
      <c r="E288" s="5">
        <f>DNSPOntSourceData!F362</f>
        <v>1.3352608354138498</v>
      </c>
      <c r="F288" s="3">
        <f>DNSPOntSourceData!G362</f>
        <v>176.84299999999999</v>
      </c>
      <c r="G288" s="3">
        <f>DNSPOntSourceData!H362</f>
        <v>206.94</v>
      </c>
      <c r="H288" s="3">
        <f>DNSPOntSourceData!I362</f>
        <v>47725</v>
      </c>
      <c r="I288" s="3">
        <f>DNSPOntSourceData!J362</f>
        <v>1015</v>
      </c>
      <c r="J288" s="3">
        <f>DNSPOntSourceData!K362</f>
        <v>253</v>
      </c>
      <c r="K288" s="12">
        <f>DNSPOntSourceData!L362</f>
        <v>0.24926108374384237</v>
      </c>
      <c r="L288" s="20" t="s">
        <v>44</v>
      </c>
    </row>
    <row r="289" spans="1:12">
      <c r="A289">
        <v>3022</v>
      </c>
      <c r="B289">
        <v>2005</v>
      </c>
      <c r="C289">
        <v>3</v>
      </c>
      <c r="D289" s="3">
        <f>DNSPOntSourceData!E243+DNSPOntSourceData!E933</f>
        <v>9677.0848299999998</v>
      </c>
      <c r="E289" s="5">
        <f>DNSPOntSourceData!F243</f>
        <v>1</v>
      </c>
      <c r="F289" s="3">
        <f>DNSPOntSourceData!G243+DNSPOntSourceData!G933</f>
        <v>299.18</v>
      </c>
      <c r="G289" s="3">
        <f>F289</f>
        <v>299.18</v>
      </c>
      <c r="H289" s="3">
        <f>DNSPOntSourceData!I243+DNSPOntSourceData!I933</f>
        <v>54802</v>
      </c>
      <c r="I289" s="3">
        <f>DNSPOntSourceData!J243+DNSPOntSourceData!J933</f>
        <v>1140</v>
      </c>
      <c r="J289" s="3">
        <f>DNSPOntSourceData!K243+DNSPOntSourceData!K933</f>
        <v>327</v>
      </c>
      <c r="K289" s="12">
        <f>J289/I289</f>
        <v>0.2868421052631579</v>
      </c>
      <c r="L289" s="20" t="s">
        <v>318</v>
      </c>
    </row>
    <row r="290" spans="1:12">
      <c r="A290">
        <v>3022</v>
      </c>
      <c r="B290" s="2">
        <v>2006</v>
      </c>
      <c r="C290">
        <v>3</v>
      </c>
      <c r="D290" s="3">
        <f>DNSPOntSourceData!E244+DNSPOntSourceData!E934</f>
        <v>10078.964550000001</v>
      </c>
      <c r="E290" s="5">
        <f>DNSPOntSourceData!F244</f>
        <v>1.0181607380073696</v>
      </c>
      <c r="F290" s="3">
        <f>DNSPOntSourceData!G244+DNSPOntSourceData!G934</f>
        <v>301.57</v>
      </c>
      <c r="G290" s="3">
        <f>MAX(F290,G289)</f>
        <v>301.57</v>
      </c>
      <c r="H290" s="3">
        <f>DNSPOntSourceData!I244+DNSPOntSourceData!I934</f>
        <v>55264</v>
      </c>
      <c r="I290" s="3">
        <f>DNSPOntSourceData!J244+DNSPOntSourceData!J934</f>
        <v>1144</v>
      </c>
      <c r="J290" s="3">
        <f>DNSPOntSourceData!K244+DNSPOntSourceData!K934</f>
        <v>317</v>
      </c>
      <c r="K290" s="12">
        <f t="shared" ref="K290:K302" si="22">J290/I290</f>
        <v>0.27709790209790208</v>
      </c>
      <c r="L290" s="20" t="s">
        <v>318</v>
      </c>
    </row>
    <row r="291" spans="1:12">
      <c r="A291">
        <v>3022</v>
      </c>
      <c r="B291">
        <v>2007</v>
      </c>
      <c r="C291">
        <v>3</v>
      </c>
      <c r="D291" s="3">
        <f>DNSPOntSourceData!E245+DNSPOntSourceData!E935</f>
        <v>10014.279630000001</v>
      </c>
      <c r="E291" s="5">
        <f>DNSPOntSourceData!F245</f>
        <v>1.0531931014872313</v>
      </c>
      <c r="F291" s="3">
        <f>DNSPOntSourceData!G245+DNSPOntSourceData!G935</f>
        <v>285.666</v>
      </c>
      <c r="G291" s="3">
        <f t="shared" ref="G291:G302" si="23">MAX(F291,G290)</f>
        <v>301.57</v>
      </c>
      <c r="H291" s="3">
        <f>DNSPOntSourceData!I245+DNSPOntSourceData!I935</f>
        <v>55082</v>
      </c>
      <c r="I291" s="3">
        <f>DNSPOntSourceData!J245+DNSPOntSourceData!J935</f>
        <v>1132</v>
      </c>
      <c r="J291" s="3">
        <f>DNSPOntSourceData!K245+DNSPOntSourceData!K935</f>
        <v>320</v>
      </c>
      <c r="K291" s="12">
        <f t="shared" si="22"/>
        <v>0.28268551236749118</v>
      </c>
      <c r="L291" s="20" t="s">
        <v>318</v>
      </c>
    </row>
    <row r="292" spans="1:12">
      <c r="A292">
        <v>3022</v>
      </c>
      <c r="B292" s="2">
        <v>2008</v>
      </c>
      <c r="C292">
        <v>3</v>
      </c>
      <c r="D292" s="3">
        <f>DNSPOntSourceData!E246+DNSPOntSourceData!E936</f>
        <v>10135.61875</v>
      </c>
      <c r="E292" s="5">
        <f>DNSPOntSourceData!F246</f>
        <v>1.078564603993923</v>
      </c>
      <c r="F292" s="3">
        <f>DNSPOntSourceData!G246+DNSPOntSourceData!G936</f>
        <v>269.84399999999999</v>
      </c>
      <c r="G292" s="3">
        <f t="shared" si="23"/>
        <v>301.57</v>
      </c>
      <c r="H292" s="3">
        <f>DNSPOntSourceData!I246+DNSPOntSourceData!I936</f>
        <v>55253</v>
      </c>
      <c r="I292" s="3">
        <f>DNSPOntSourceData!J246+DNSPOntSourceData!J936</f>
        <v>1145</v>
      </c>
      <c r="J292" s="3">
        <f>DNSPOntSourceData!K246+DNSPOntSourceData!K936</f>
        <v>337</v>
      </c>
      <c r="K292" s="12">
        <f t="shared" si="22"/>
        <v>0.29432314410480348</v>
      </c>
      <c r="L292" s="20" t="s">
        <v>318</v>
      </c>
    </row>
    <row r="293" spans="1:12">
      <c r="A293">
        <v>3022</v>
      </c>
      <c r="B293">
        <v>2009</v>
      </c>
      <c r="C293">
        <v>3</v>
      </c>
      <c r="D293" s="3">
        <f>DNSPOntSourceData!E247+DNSPOntSourceData!E937</f>
        <v>10254.038710000001</v>
      </c>
      <c r="E293" s="5">
        <f>DNSPOntSourceData!F247</f>
        <v>1.0915070880241431</v>
      </c>
      <c r="F293" s="3">
        <f>DNSPOntSourceData!G247+DNSPOntSourceData!G937</f>
        <v>246.572</v>
      </c>
      <c r="G293" s="3">
        <f t="shared" si="23"/>
        <v>301.57</v>
      </c>
      <c r="H293" s="3">
        <f>DNSPOntSourceData!I247+DNSPOntSourceData!I937</f>
        <v>56074</v>
      </c>
      <c r="I293" s="3">
        <f>DNSPOntSourceData!J247+DNSPOntSourceData!J937</f>
        <v>1178</v>
      </c>
      <c r="J293" s="3">
        <f>DNSPOntSourceData!K247+DNSPOntSourceData!K937</f>
        <v>340</v>
      </c>
      <c r="K293" s="12">
        <f t="shared" si="22"/>
        <v>0.28862478777589134</v>
      </c>
      <c r="L293" s="20" t="s">
        <v>318</v>
      </c>
    </row>
    <row r="294" spans="1:12">
      <c r="A294">
        <v>3022</v>
      </c>
      <c r="B294" s="2">
        <v>2010</v>
      </c>
      <c r="C294">
        <v>3</v>
      </c>
      <c r="D294" s="3">
        <f>DNSPOntSourceData!E248+DNSPOntSourceData!E938</f>
        <v>11324.498810148905</v>
      </c>
      <c r="E294" s="5">
        <f>DNSPOntSourceData!F248</f>
        <v>1.1243125351578573</v>
      </c>
      <c r="F294" s="3">
        <f>DNSPOntSourceData!G248+DNSPOntSourceData!G938</f>
        <v>260.447</v>
      </c>
      <c r="G294" s="3">
        <f t="shared" si="23"/>
        <v>301.57</v>
      </c>
      <c r="H294" s="3">
        <f>DNSPOntSourceData!I248+DNSPOntSourceData!I938</f>
        <v>56311</v>
      </c>
      <c r="I294" s="3">
        <f>DNSPOntSourceData!J248+DNSPOntSourceData!J938</f>
        <v>1255</v>
      </c>
      <c r="J294" s="3">
        <f>DNSPOntSourceData!K248+DNSPOntSourceData!K938</f>
        <v>399</v>
      </c>
      <c r="K294" s="12">
        <f t="shared" si="22"/>
        <v>0.31792828685258961</v>
      </c>
      <c r="L294" s="20" t="s">
        <v>318</v>
      </c>
    </row>
    <row r="295" spans="1:12">
      <c r="A295">
        <v>3022</v>
      </c>
      <c r="B295">
        <v>2011</v>
      </c>
      <c r="C295">
        <v>3</v>
      </c>
      <c r="D295" s="3">
        <f>DNSPOntSourceData!E249+DNSPOntSourceData!E939</f>
        <v>11878.725109999999</v>
      </c>
      <c r="E295" s="5">
        <f>DNSPOntSourceData!F249</f>
        <v>1.1430978626415853</v>
      </c>
      <c r="F295" s="3">
        <f>DNSPOntSourceData!G249+DNSPOntSourceData!G939</f>
        <v>238.91899999999998</v>
      </c>
      <c r="G295" s="3">
        <f t="shared" si="23"/>
        <v>301.57</v>
      </c>
      <c r="H295" s="3">
        <f>DNSPOntSourceData!I249+DNSPOntSourceData!I939</f>
        <v>56556</v>
      </c>
      <c r="I295" s="3">
        <f>DNSPOntSourceData!J249+DNSPOntSourceData!J939</f>
        <v>1194</v>
      </c>
      <c r="J295" s="3">
        <f>DNSPOntSourceData!K249+DNSPOntSourceData!K939</f>
        <v>360</v>
      </c>
      <c r="K295" s="12">
        <f t="shared" si="22"/>
        <v>0.30150753768844218</v>
      </c>
      <c r="L295" s="20" t="s">
        <v>318</v>
      </c>
    </row>
    <row r="296" spans="1:12">
      <c r="A296">
        <v>3022</v>
      </c>
      <c r="B296" s="2">
        <v>2012</v>
      </c>
      <c r="C296">
        <v>3</v>
      </c>
      <c r="D296" s="3">
        <f>DNSPOntSourceData!E250+DNSPOntSourceData!E940</f>
        <v>12691.405879951097</v>
      </c>
      <c r="E296" s="5">
        <f>DNSPOntSourceData!F250</f>
        <v>1.160126854517312</v>
      </c>
      <c r="F296" s="3">
        <f>DNSPOntSourceData!G250+DNSPOntSourceData!G940</f>
        <v>262.786</v>
      </c>
      <c r="G296" s="3">
        <f t="shared" si="23"/>
        <v>301.57</v>
      </c>
      <c r="H296" s="3">
        <f>DNSPOntSourceData!I250+DNSPOntSourceData!I940</f>
        <v>56795</v>
      </c>
      <c r="I296" s="3">
        <f>DNSPOntSourceData!J250+DNSPOntSourceData!J940</f>
        <v>1211</v>
      </c>
      <c r="J296" s="3">
        <f>DNSPOntSourceData!K250+DNSPOntSourceData!K940</f>
        <v>368</v>
      </c>
      <c r="K296" s="12">
        <f t="shared" si="22"/>
        <v>0.30388109000825764</v>
      </c>
      <c r="L296" s="20" t="s">
        <v>97</v>
      </c>
    </row>
    <row r="297" spans="1:12">
      <c r="A297">
        <v>3022</v>
      </c>
      <c r="B297">
        <v>2013</v>
      </c>
      <c r="C297">
        <v>3</v>
      </c>
      <c r="D297" s="3">
        <f>DNSPOntSourceData!E251+DNSPOntSourceData!E941</f>
        <v>12744.205820000001</v>
      </c>
      <c r="E297" s="5">
        <f>DNSPOntSourceData!F251</f>
        <v>1.178602141578931</v>
      </c>
      <c r="F297" s="3">
        <f>DNSPOntSourceData!G251+DNSPOntSourceData!G941</f>
        <v>253.559</v>
      </c>
      <c r="G297" s="3">
        <f t="shared" si="23"/>
        <v>301.57</v>
      </c>
      <c r="H297" s="3">
        <f>DNSPOntSourceData!I251+DNSPOntSourceData!I941</f>
        <v>56231</v>
      </c>
      <c r="I297" s="3">
        <f>DNSPOntSourceData!J251+DNSPOntSourceData!J941</f>
        <v>1210</v>
      </c>
      <c r="J297" s="3">
        <f>DNSPOntSourceData!K251+DNSPOntSourceData!K941</f>
        <v>378</v>
      </c>
      <c r="K297" s="12">
        <f t="shared" si="22"/>
        <v>0.31239669421487604</v>
      </c>
      <c r="L297" s="20" t="s">
        <v>97</v>
      </c>
    </row>
    <row r="298" spans="1:12">
      <c r="A298">
        <v>3022</v>
      </c>
      <c r="B298" s="2">
        <v>2014</v>
      </c>
      <c r="C298">
        <v>3</v>
      </c>
      <c r="D298" s="3">
        <f>DNSPOntSourceData!E252+DNSPOntSourceData!E942</f>
        <v>12715.862000000001</v>
      </c>
      <c r="E298" s="5">
        <f>DNSPOntSourceData!F252</f>
        <v>1.2030671041042156</v>
      </c>
      <c r="F298" s="3">
        <f>DNSPOntSourceData!G252+DNSPOntSourceData!G942</f>
        <v>227.636</v>
      </c>
      <c r="G298" s="3">
        <f t="shared" si="23"/>
        <v>301.57</v>
      </c>
      <c r="H298" s="3">
        <f>DNSPOntSourceData!I252+DNSPOntSourceData!I942</f>
        <v>57421</v>
      </c>
      <c r="I298" s="3">
        <f>DNSPOntSourceData!J252+DNSPOntSourceData!J942</f>
        <v>1213</v>
      </c>
      <c r="J298" s="3">
        <f>DNSPOntSourceData!K252+DNSPOntSourceData!K942</f>
        <v>380</v>
      </c>
      <c r="K298" s="12">
        <f t="shared" si="22"/>
        <v>0.31327287716405605</v>
      </c>
      <c r="L298" s="20" t="s">
        <v>97</v>
      </c>
    </row>
    <row r="299" spans="1:12">
      <c r="A299">
        <v>3022</v>
      </c>
      <c r="B299">
        <v>2015</v>
      </c>
      <c r="C299">
        <v>3</v>
      </c>
      <c r="D299" s="3">
        <f>DNSPOntSourceData!E253+DNSPOntSourceData!E943</f>
        <v>12661.266000000001</v>
      </c>
      <c r="E299" s="5">
        <f>DNSPOntSourceData!F253</f>
        <v>1.2312762402864634</v>
      </c>
      <c r="F299" s="3">
        <f>DNSPOntSourceData!G253+DNSPOntSourceData!G943</f>
        <v>232.75300000000001</v>
      </c>
      <c r="G299" s="3">
        <f t="shared" si="23"/>
        <v>301.57</v>
      </c>
      <c r="H299" s="3">
        <f>DNSPOntSourceData!I253+DNSPOntSourceData!I943</f>
        <v>57731</v>
      </c>
      <c r="I299" s="3">
        <f>DNSPOntSourceData!J253+DNSPOntSourceData!J943</f>
        <v>1216</v>
      </c>
      <c r="J299" s="3">
        <f>DNSPOntSourceData!K253+DNSPOntSourceData!K943</f>
        <v>396</v>
      </c>
      <c r="K299" s="12">
        <f t="shared" si="22"/>
        <v>0.32565789473684209</v>
      </c>
      <c r="L299" s="20" t="s">
        <v>97</v>
      </c>
    </row>
    <row r="300" spans="1:12">
      <c r="A300">
        <v>3022</v>
      </c>
      <c r="B300" s="2">
        <v>2016</v>
      </c>
      <c r="C300">
        <v>3</v>
      </c>
      <c r="D300" s="3">
        <f>DNSPOntSourceData!E254+DNSPOntSourceData!E944</f>
        <v>13592.05229</v>
      </c>
      <c r="E300" s="5">
        <f>DNSPOntSourceData!F254</f>
        <v>1.2455044937824149</v>
      </c>
      <c r="F300" s="3">
        <f>DNSPOntSourceData!G254+DNSPOntSourceData!G944</f>
        <v>254.21799999999999</v>
      </c>
      <c r="G300" s="3">
        <f t="shared" si="23"/>
        <v>301.57</v>
      </c>
      <c r="H300" s="3">
        <f>DNSPOntSourceData!I254+DNSPOntSourceData!I944</f>
        <v>58080</v>
      </c>
      <c r="I300" s="3">
        <f>DNSPOntSourceData!J254+DNSPOntSourceData!J944</f>
        <v>1195</v>
      </c>
      <c r="J300" s="3">
        <f>DNSPOntSourceData!K254+DNSPOntSourceData!K944</f>
        <v>375</v>
      </c>
      <c r="K300" s="12">
        <f t="shared" si="22"/>
        <v>0.31380753138075312</v>
      </c>
      <c r="L300" s="20" t="s">
        <v>97</v>
      </c>
    </row>
    <row r="301" spans="1:12">
      <c r="A301">
        <v>3022</v>
      </c>
      <c r="B301">
        <v>2017</v>
      </c>
      <c r="C301">
        <v>3</v>
      </c>
      <c r="D301" s="3">
        <f>DNSPOntSourceData!E255+DNSPOntSourceData!E945</f>
        <v>13088.795149999998</v>
      </c>
      <c r="E301" s="5">
        <f>DNSPOntSourceData!F255</f>
        <v>1.2674505553724562</v>
      </c>
      <c r="F301" s="3">
        <f>DNSPOntSourceData!G255+DNSPOntSourceData!G945</f>
        <v>228.19200000000001</v>
      </c>
      <c r="G301" s="3">
        <f t="shared" si="23"/>
        <v>301.57</v>
      </c>
      <c r="H301" s="3">
        <f>DNSPOntSourceData!I255+DNSPOntSourceData!I945</f>
        <v>58662</v>
      </c>
      <c r="I301" s="3">
        <f>DNSPOntSourceData!J255+DNSPOntSourceData!J945</f>
        <v>1236</v>
      </c>
      <c r="J301" s="3">
        <f>DNSPOntSourceData!K255+DNSPOntSourceData!K945</f>
        <v>400</v>
      </c>
      <c r="K301" s="12">
        <f t="shared" si="22"/>
        <v>0.32362459546925565</v>
      </c>
      <c r="L301" s="20" t="s">
        <v>97</v>
      </c>
    </row>
    <row r="302" spans="1:12">
      <c r="A302">
        <v>3022</v>
      </c>
      <c r="B302" s="2">
        <v>2018</v>
      </c>
      <c r="C302">
        <v>3</v>
      </c>
      <c r="D302" s="3">
        <f>DNSPOntSourceData!E256+DNSPOntSourceData!E946</f>
        <v>13576.024710000002</v>
      </c>
      <c r="E302" s="5">
        <f>DNSPOntSourceData!F256</f>
        <v>1.2994718602728874</v>
      </c>
      <c r="F302" s="3">
        <f>DNSPOntSourceData!G256+DNSPOntSourceData!G946</f>
        <v>231.78200000000001</v>
      </c>
      <c r="G302" s="3">
        <f t="shared" si="23"/>
        <v>301.57</v>
      </c>
      <c r="H302" s="3">
        <f>DNSPOntSourceData!I256+DNSPOntSourceData!I946</f>
        <v>59187</v>
      </c>
      <c r="I302" s="3">
        <f>DNSPOntSourceData!J256+DNSPOntSourceData!J946</f>
        <v>1243</v>
      </c>
      <c r="J302" s="3">
        <f>DNSPOntSourceData!K256+DNSPOntSourceData!K946</f>
        <v>408</v>
      </c>
      <c r="K302" s="12">
        <f t="shared" si="22"/>
        <v>0.32823813354786807</v>
      </c>
      <c r="L302" s="20" t="s">
        <v>97</v>
      </c>
    </row>
    <row r="303" spans="1:12">
      <c r="A303" s="142">
        <v>3022</v>
      </c>
      <c r="B303" s="142">
        <v>2019</v>
      </c>
      <c r="C303" s="142">
        <v>3</v>
      </c>
      <c r="D303" s="3">
        <f>DNSPOntSourceData!E257+DNSPOntSourceData!E947</f>
        <v>13298.367649999998</v>
      </c>
      <c r="E303" s="5">
        <f>DNSPOntSourceData!F257</f>
        <v>1.3352608354138498</v>
      </c>
      <c r="F303" s="3">
        <f>DNSPOntSourceData!G257+DNSPOntSourceData!G947</f>
        <v>229.17400000000001</v>
      </c>
      <c r="G303" s="3">
        <f t="shared" ref="G303" si="24">MAX(F303,G302)</f>
        <v>301.57</v>
      </c>
      <c r="H303" s="3">
        <f>DNSPOntSourceData!I257+DNSPOntSourceData!I947</f>
        <v>59811</v>
      </c>
      <c r="I303" s="3">
        <f>DNSPOntSourceData!J257+DNSPOntSourceData!J947</f>
        <v>980</v>
      </c>
      <c r="J303" s="3">
        <f>DNSPOntSourceData!K257+DNSPOntSourceData!K947</f>
        <v>386</v>
      </c>
      <c r="K303" s="12">
        <f t="shared" ref="K303" si="25">J303/I303</f>
        <v>0.39387755102040817</v>
      </c>
      <c r="L303" s="20" t="s">
        <v>97</v>
      </c>
    </row>
    <row r="304" spans="1:12">
      <c r="A304">
        <v>3023</v>
      </c>
      <c r="B304">
        <v>2005</v>
      </c>
      <c r="C304">
        <v>3</v>
      </c>
      <c r="D304" s="3">
        <f>DNSPOntSourceData!E78</f>
        <v>6826.1729000000005</v>
      </c>
      <c r="E304" s="5">
        <f>DNSPOntSourceData!F78</f>
        <v>1</v>
      </c>
      <c r="F304" s="3">
        <f>DNSPOntSourceData!G78</f>
        <v>192.71100000000001</v>
      </c>
      <c r="G304" s="3">
        <f>DNSPOntSourceData!H78</f>
        <v>192.71100000000001</v>
      </c>
      <c r="H304" s="3">
        <f>DNSPOntSourceData!I78</f>
        <v>35986</v>
      </c>
      <c r="I304" s="3">
        <f>DNSPOntSourceData!J78</f>
        <v>478</v>
      </c>
      <c r="J304" s="3">
        <f>DNSPOntSourceData!K78</f>
        <v>203</v>
      </c>
      <c r="K304" s="12">
        <f>DNSPOntSourceData!L78</f>
        <v>0.42468619246861927</v>
      </c>
      <c r="L304" s="20" t="s">
        <v>29</v>
      </c>
    </row>
    <row r="305" spans="1:12">
      <c r="A305">
        <v>3023</v>
      </c>
      <c r="B305" s="2">
        <v>2006</v>
      </c>
      <c r="C305">
        <v>3</v>
      </c>
      <c r="D305" s="3">
        <f>DNSPOntSourceData!E79</f>
        <v>6026.1797300000007</v>
      </c>
      <c r="E305" s="5">
        <f>DNSPOntSourceData!F79</f>
        <v>1.0181607380073696</v>
      </c>
      <c r="F305" s="3">
        <f>DNSPOntSourceData!G79</f>
        <v>196.464</v>
      </c>
      <c r="G305" s="3">
        <f>DNSPOntSourceData!H79</f>
        <v>196.464</v>
      </c>
      <c r="H305" s="3">
        <f>DNSPOntSourceData!I79</f>
        <v>36569</v>
      </c>
      <c r="I305" s="3">
        <f>DNSPOntSourceData!J79</f>
        <v>491</v>
      </c>
      <c r="J305" s="3">
        <f>DNSPOntSourceData!K79</f>
        <v>214</v>
      </c>
      <c r="K305" s="12">
        <f>DNSPOntSourceData!L79</f>
        <v>0.43584521384928715</v>
      </c>
      <c r="L305" s="20" t="s">
        <v>29</v>
      </c>
    </row>
    <row r="306" spans="1:12">
      <c r="A306">
        <v>3023</v>
      </c>
      <c r="B306">
        <v>2007</v>
      </c>
      <c r="C306">
        <v>3</v>
      </c>
      <c r="D306" s="3">
        <f>DNSPOntSourceData!E80</f>
        <v>7375.8704400000006</v>
      </c>
      <c r="E306" s="5">
        <f>DNSPOntSourceData!F80</f>
        <v>1.0531931014872313</v>
      </c>
      <c r="F306" s="3">
        <f>DNSPOntSourceData!G80</f>
        <v>191.679</v>
      </c>
      <c r="G306" s="3">
        <f>DNSPOntSourceData!H80</f>
        <v>196.464</v>
      </c>
      <c r="H306" s="3">
        <f>DNSPOntSourceData!I80</f>
        <v>37108</v>
      </c>
      <c r="I306" s="3">
        <f>DNSPOntSourceData!J80</f>
        <v>490</v>
      </c>
      <c r="J306" s="3">
        <f>DNSPOntSourceData!K80</f>
        <v>217</v>
      </c>
      <c r="K306" s="12">
        <f>DNSPOntSourceData!L80</f>
        <v>0.44285714285714284</v>
      </c>
      <c r="L306" s="20" t="s">
        <v>29</v>
      </c>
    </row>
    <row r="307" spans="1:12">
      <c r="A307">
        <v>3023</v>
      </c>
      <c r="B307" s="2">
        <v>2008</v>
      </c>
      <c r="C307">
        <v>3</v>
      </c>
      <c r="D307" s="3">
        <f>DNSPOntSourceData!E81</f>
        <v>7449.9271529999996</v>
      </c>
      <c r="E307" s="5">
        <f>DNSPOntSourceData!F81</f>
        <v>1.078564603993923</v>
      </c>
      <c r="F307" s="3">
        <f>DNSPOntSourceData!G81</f>
        <v>182.43899999999999</v>
      </c>
      <c r="G307" s="3">
        <f>DNSPOntSourceData!H81</f>
        <v>196.464</v>
      </c>
      <c r="H307" s="3">
        <f>DNSPOntSourceData!I81</f>
        <v>37473</v>
      </c>
      <c r="I307" s="3">
        <f>DNSPOntSourceData!J81</f>
        <v>486</v>
      </c>
      <c r="J307" s="3">
        <f>DNSPOntSourceData!K81</f>
        <v>221</v>
      </c>
      <c r="K307" s="12">
        <f>DNSPOntSourceData!L81</f>
        <v>0.45473251028806583</v>
      </c>
      <c r="L307" s="20" t="s">
        <v>29</v>
      </c>
    </row>
    <row r="308" spans="1:12">
      <c r="A308">
        <v>3023</v>
      </c>
      <c r="B308">
        <v>2009</v>
      </c>
      <c r="C308">
        <v>3</v>
      </c>
      <c r="D308" s="3">
        <f>DNSPOntSourceData!E82</f>
        <v>7381.4177</v>
      </c>
      <c r="E308" s="5">
        <f>DNSPOntSourceData!F82</f>
        <v>1.0915070880241431</v>
      </c>
      <c r="F308" s="3">
        <f>DNSPOntSourceData!G82</f>
        <v>180.423</v>
      </c>
      <c r="G308" s="3">
        <f>DNSPOntSourceData!H82</f>
        <v>196.464</v>
      </c>
      <c r="H308" s="3">
        <f>DNSPOntSourceData!I82</f>
        <v>37223</v>
      </c>
      <c r="I308" s="3">
        <f>DNSPOntSourceData!J82</f>
        <v>541</v>
      </c>
      <c r="J308" s="3">
        <f>DNSPOntSourceData!K82</f>
        <v>275</v>
      </c>
      <c r="K308" s="12">
        <f>DNSPOntSourceData!L82</f>
        <v>0.50831792975970425</v>
      </c>
      <c r="L308" s="20" t="s">
        <v>29</v>
      </c>
    </row>
    <row r="309" spans="1:12">
      <c r="A309">
        <v>3023</v>
      </c>
      <c r="B309" s="2">
        <v>2010</v>
      </c>
      <c r="C309">
        <v>3</v>
      </c>
      <c r="D309" s="3">
        <f>DNSPOntSourceData!E83</f>
        <v>7198.7223800000002</v>
      </c>
      <c r="E309" s="5">
        <f>DNSPOntSourceData!F83</f>
        <v>1.1243125351578573</v>
      </c>
      <c r="F309" s="3">
        <f>DNSPOntSourceData!G83</f>
        <v>189.6</v>
      </c>
      <c r="G309" s="3">
        <f>DNSPOntSourceData!H83</f>
        <v>196.464</v>
      </c>
      <c r="H309" s="3">
        <f>DNSPOntSourceData!I83</f>
        <v>37654</v>
      </c>
      <c r="I309" s="3">
        <f>DNSPOntSourceData!J83</f>
        <v>508</v>
      </c>
      <c r="J309" s="3">
        <f>DNSPOntSourceData!K83</f>
        <v>242</v>
      </c>
      <c r="K309" s="12">
        <f>DNSPOntSourceData!L83</f>
        <v>0.4763779527559055</v>
      </c>
      <c r="L309" s="20" t="s">
        <v>29</v>
      </c>
    </row>
    <row r="310" spans="1:12">
      <c r="A310">
        <v>3023</v>
      </c>
      <c r="B310">
        <v>2011</v>
      </c>
      <c r="C310">
        <v>3</v>
      </c>
      <c r="D310" s="3">
        <f>DNSPOntSourceData!E84</f>
        <v>6598.5596100000002</v>
      </c>
      <c r="E310" s="5">
        <f>DNSPOntSourceData!F84</f>
        <v>1.1430978626415853</v>
      </c>
      <c r="F310" s="3">
        <f>DNSPOntSourceData!G84</f>
        <v>192.53800000000001</v>
      </c>
      <c r="G310" s="3">
        <f>DNSPOntSourceData!H84</f>
        <v>196.464</v>
      </c>
      <c r="H310" s="3">
        <f>DNSPOntSourceData!I84</f>
        <v>37967</v>
      </c>
      <c r="I310" s="3">
        <f>DNSPOntSourceData!J84</f>
        <v>649</v>
      </c>
      <c r="J310" s="3">
        <f>DNSPOntSourceData!K84</f>
        <v>260</v>
      </c>
      <c r="K310" s="12">
        <f>DNSPOntSourceData!L84</f>
        <v>0.40061633281972264</v>
      </c>
      <c r="L310" s="20" t="s">
        <v>29</v>
      </c>
    </row>
    <row r="311" spans="1:12">
      <c r="A311">
        <v>3023</v>
      </c>
      <c r="B311" s="2">
        <v>2012</v>
      </c>
      <c r="C311">
        <v>3</v>
      </c>
      <c r="D311" s="3">
        <f>DNSPOntSourceData!E85</f>
        <v>7799.1961700000011</v>
      </c>
      <c r="E311" s="5">
        <f>DNSPOntSourceData!F85</f>
        <v>1.160126854517312</v>
      </c>
      <c r="F311" s="3">
        <f>DNSPOntSourceData!G85</f>
        <v>192.04499999999999</v>
      </c>
      <c r="G311" s="3">
        <f>DNSPOntSourceData!H85</f>
        <v>196.464</v>
      </c>
      <c r="H311" s="3">
        <f>DNSPOntSourceData!I85</f>
        <v>38263</v>
      </c>
      <c r="I311" s="3">
        <f>DNSPOntSourceData!J85</f>
        <v>512</v>
      </c>
      <c r="J311" s="3">
        <f>DNSPOntSourceData!K85</f>
        <v>238</v>
      </c>
      <c r="K311" s="12">
        <f>DNSPOntSourceData!L85</f>
        <v>0.46484375</v>
      </c>
      <c r="L311" s="20" t="s">
        <v>29</v>
      </c>
    </row>
    <row r="312" spans="1:12">
      <c r="A312">
        <v>3023</v>
      </c>
      <c r="B312">
        <v>2013</v>
      </c>
      <c r="C312">
        <v>3</v>
      </c>
      <c r="D312" s="3">
        <f>DNSPOntSourceData!E86</f>
        <v>8727.5399399999988</v>
      </c>
      <c r="E312" s="5">
        <f>DNSPOntSourceData!F86</f>
        <v>1.178602141578931</v>
      </c>
      <c r="F312" s="3">
        <f>DNSPOntSourceData!G86</f>
        <v>197.59100000000001</v>
      </c>
      <c r="G312" s="3">
        <f>DNSPOntSourceData!H86</f>
        <v>197.59100000000001</v>
      </c>
      <c r="H312" s="3">
        <f>DNSPOntSourceData!I86</f>
        <v>38546</v>
      </c>
      <c r="I312" s="3">
        <f>DNSPOntSourceData!J86</f>
        <v>496</v>
      </c>
      <c r="J312" s="3">
        <f>DNSPOntSourceData!K86</f>
        <v>227</v>
      </c>
      <c r="K312" s="12">
        <f>DNSPOntSourceData!L86</f>
        <v>0.45766129032258063</v>
      </c>
      <c r="L312" s="20" t="s">
        <v>29</v>
      </c>
    </row>
    <row r="313" spans="1:12">
      <c r="A313">
        <v>3023</v>
      </c>
      <c r="B313" s="2">
        <v>2014</v>
      </c>
      <c r="C313">
        <v>3</v>
      </c>
      <c r="D313" s="3">
        <f>DNSPOntSourceData!E87</f>
        <v>8559.9989999999998</v>
      </c>
      <c r="E313" s="5">
        <f>DNSPOntSourceData!F87</f>
        <v>1.2030671041042156</v>
      </c>
      <c r="F313" s="3">
        <f>DNSPOntSourceData!G87</f>
        <v>169.31</v>
      </c>
      <c r="G313" s="3">
        <f>DNSPOntSourceData!H87</f>
        <v>197.59100000000001</v>
      </c>
      <c r="H313" s="3">
        <f>DNSPOntSourceData!I87</f>
        <v>38790</v>
      </c>
      <c r="I313" s="3">
        <f>DNSPOntSourceData!J87</f>
        <v>500</v>
      </c>
      <c r="J313" s="3">
        <f>DNSPOntSourceData!K87</f>
        <v>233</v>
      </c>
      <c r="K313" s="12">
        <f>DNSPOntSourceData!L87</f>
        <v>0.46600000000000003</v>
      </c>
      <c r="L313" s="20" t="s">
        <v>29</v>
      </c>
    </row>
    <row r="314" spans="1:12">
      <c r="A314">
        <v>3023</v>
      </c>
      <c r="B314">
        <v>2015</v>
      </c>
      <c r="C314">
        <v>3</v>
      </c>
      <c r="D314" s="3">
        <f>DNSPOntSourceData!E88</f>
        <v>8836.8809999999994</v>
      </c>
      <c r="E314" s="5">
        <f>DNSPOntSourceData!F88</f>
        <v>1.2312762402864634</v>
      </c>
      <c r="F314" s="3">
        <f>DNSPOntSourceData!G88</f>
        <v>175.113</v>
      </c>
      <c r="G314" s="3">
        <f>DNSPOntSourceData!H88</f>
        <v>197.59100000000001</v>
      </c>
      <c r="H314" s="3">
        <f>DNSPOntSourceData!I88</f>
        <v>39128</v>
      </c>
      <c r="I314" s="3">
        <f>DNSPOntSourceData!J88</f>
        <v>498</v>
      </c>
      <c r="J314" s="3">
        <f>DNSPOntSourceData!K88</f>
        <v>232</v>
      </c>
      <c r="K314" s="12">
        <f>DNSPOntSourceData!L88</f>
        <v>0.46586345381526106</v>
      </c>
      <c r="L314" s="20" t="s">
        <v>29</v>
      </c>
    </row>
    <row r="315" spans="1:12">
      <c r="A315">
        <v>3023</v>
      </c>
      <c r="B315" s="2">
        <v>2016</v>
      </c>
      <c r="C315">
        <v>3</v>
      </c>
      <c r="D315" s="3">
        <f>DNSPOntSourceData!E89</f>
        <v>9685.2382899999993</v>
      </c>
      <c r="E315" s="5">
        <f>DNSPOntSourceData!F89</f>
        <v>1.2455044937824149</v>
      </c>
      <c r="F315" s="3">
        <f>DNSPOntSourceData!G89</f>
        <v>187.33099999999999</v>
      </c>
      <c r="G315" s="3">
        <f>DNSPOntSourceData!H89</f>
        <v>197.59100000000001</v>
      </c>
      <c r="H315" s="3">
        <f>DNSPOntSourceData!I89</f>
        <v>39406</v>
      </c>
      <c r="I315" s="3">
        <f>DNSPOntSourceData!J89</f>
        <v>503</v>
      </c>
      <c r="J315" s="3">
        <f>DNSPOntSourceData!K89</f>
        <v>233</v>
      </c>
      <c r="K315" s="12">
        <f>DNSPOntSourceData!L89</f>
        <v>0.46322067594433397</v>
      </c>
      <c r="L315" s="20" t="s">
        <v>29</v>
      </c>
    </row>
    <row r="316" spans="1:12">
      <c r="A316">
        <v>3023</v>
      </c>
      <c r="B316">
        <v>2017</v>
      </c>
      <c r="C316">
        <v>3</v>
      </c>
      <c r="D316" s="3">
        <f>DNSPOntSourceData!E90</f>
        <v>9372.9033099999997</v>
      </c>
      <c r="E316" s="5">
        <f>DNSPOntSourceData!F90</f>
        <v>1.2674505553724562</v>
      </c>
      <c r="F316" s="3">
        <f>DNSPOntSourceData!G90</f>
        <v>172.881</v>
      </c>
      <c r="G316" s="3">
        <f>DNSPOntSourceData!H90</f>
        <v>197.59100000000001</v>
      </c>
      <c r="H316" s="3">
        <f>DNSPOntSourceData!I90</f>
        <v>39623</v>
      </c>
      <c r="I316" s="3">
        <f>DNSPOntSourceData!J90</f>
        <v>507</v>
      </c>
      <c r="J316" s="3">
        <f>DNSPOntSourceData!K90</f>
        <v>238</v>
      </c>
      <c r="K316" s="12">
        <f>DNSPOntSourceData!L90</f>
        <v>0.46942800788954636</v>
      </c>
      <c r="L316" s="20" t="s">
        <v>29</v>
      </c>
    </row>
    <row r="317" spans="1:12">
      <c r="A317">
        <v>3023</v>
      </c>
      <c r="B317" s="2">
        <v>2018</v>
      </c>
      <c r="C317">
        <v>3</v>
      </c>
      <c r="D317" s="3">
        <f>DNSPOntSourceData!E91</f>
        <v>9964.5648800000017</v>
      </c>
      <c r="E317" s="5">
        <f>DNSPOntSourceData!F91</f>
        <v>1.2994718602728874</v>
      </c>
      <c r="F317" s="3">
        <f>DNSPOntSourceData!G91</f>
        <v>186.91200000000001</v>
      </c>
      <c r="G317" s="3">
        <f>DNSPOntSourceData!H91</f>
        <v>197.59100000000001</v>
      </c>
      <c r="H317" s="3">
        <f>DNSPOntSourceData!I91</f>
        <v>39905</v>
      </c>
      <c r="I317" s="3">
        <f>DNSPOntSourceData!J91</f>
        <v>510</v>
      </c>
      <c r="J317" s="3">
        <f>DNSPOntSourceData!K91</f>
        <v>240</v>
      </c>
      <c r="K317" s="12">
        <f>DNSPOntSourceData!L91</f>
        <v>0.47058823529411764</v>
      </c>
      <c r="L317" s="20" t="s">
        <v>29</v>
      </c>
    </row>
    <row r="318" spans="1:12">
      <c r="A318" s="142">
        <v>3023</v>
      </c>
      <c r="B318" s="142">
        <v>2019</v>
      </c>
      <c r="C318" s="142">
        <v>3</v>
      </c>
      <c r="D318" s="3">
        <f>DNSPOntSourceData!E92</f>
        <v>10071.91524</v>
      </c>
      <c r="E318" s="5">
        <f>DNSPOntSourceData!F92</f>
        <v>1.3352608354138498</v>
      </c>
      <c r="F318" s="3">
        <f>DNSPOntSourceData!G92</f>
        <v>183.51400000000001</v>
      </c>
      <c r="G318" s="3">
        <f>DNSPOntSourceData!H92</f>
        <v>197.59100000000001</v>
      </c>
      <c r="H318" s="3">
        <f>DNSPOntSourceData!I92</f>
        <v>40125</v>
      </c>
      <c r="I318" s="3">
        <f>DNSPOntSourceData!J92</f>
        <v>515</v>
      </c>
      <c r="J318" s="3">
        <f>DNSPOntSourceData!K92</f>
        <v>245</v>
      </c>
      <c r="K318" s="12">
        <f>DNSPOntSourceData!L92</f>
        <v>0.47572815533980584</v>
      </c>
      <c r="L318" s="20" t="s">
        <v>29</v>
      </c>
    </row>
    <row r="319" spans="1:12">
      <c r="A319">
        <v>3024</v>
      </c>
      <c r="B319">
        <v>2005</v>
      </c>
      <c r="C319">
        <v>3</v>
      </c>
      <c r="D319" s="3">
        <f>DNSPOntSourceData!E48</f>
        <v>8698.0769999999993</v>
      </c>
      <c r="E319" s="5">
        <f>DNSPOntSourceData!F48</f>
        <v>1</v>
      </c>
      <c r="F319" s="3">
        <f>DNSPOntSourceData!G48</f>
        <v>211.24</v>
      </c>
      <c r="G319" s="3">
        <f>DNSPOntSourceData!H48</f>
        <v>211.24</v>
      </c>
      <c r="H319" s="3">
        <f>DNSPOntSourceData!I48</f>
        <v>35208</v>
      </c>
      <c r="I319" s="3">
        <f>DNSPOntSourceData!J48</f>
        <v>785</v>
      </c>
      <c r="J319" s="3">
        <f>DNSPOntSourceData!K48</f>
        <v>180</v>
      </c>
      <c r="K319" s="12">
        <f>DNSPOntSourceData!L48</f>
        <v>0.22929936305732485</v>
      </c>
      <c r="L319" s="20" t="s">
        <v>27</v>
      </c>
    </row>
    <row r="320" spans="1:12">
      <c r="A320">
        <v>3024</v>
      </c>
      <c r="B320" s="2">
        <v>2006</v>
      </c>
      <c r="C320">
        <v>3</v>
      </c>
      <c r="D320" s="3">
        <f>DNSPOntSourceData!E49</f>
        <v>9274.7750599999999</v>
      </c>
      <c r="E320" s="5">
        <f>DNSPOntSourceData!F49</f>
        <v>1.0181607380073696</v>
      </c>
      <c r="F320" s="3">
        <f>DNSPOntSourceData!G49</f>
        <v>219.364</v>
      </c>
      <c r="G320" s="3">
        <f>DNSPOntSourceData!H49</f>
        <v>219.364</v>
      </c>
      <c r="H320" s="3">
        <f>DNSPOntSourceData!I49</f>
        <v>35510</v>
      </c>
      <c r="I320" s="3">
        <f>DNSPOntSourceData!J49</f>
        <v>746</v>
      </c>
      <c r="J320" s="3">
        <f>DNSPOntSourceData!K49</f>
        <v>163</v>
      </c>
      <c r="K320" s="12">
        <f>DNSPOntSourceData!L49</f>
        <v>0.21849865951742628</v>
      </c>
      <c r="L320" s="20" t="s">
        <v>27</v>
      </c>
    </row>
    <row r="321" spans="1:12">
      <c r="A321">
        <v>3024</v>
      </c>
      <c r="B321">
        <v>2007</v>
      </c>
      <c r="C321">
        <v>3</v>
      </c>
      <c r="D321" s="3">
        <f>DNSPOntSourceData!E50</f>
        <v>8868.7673799999993</v>
      </c>
      <c r="E321" s="5">
        <f>DNSPOntSourceData!F50</f>
        <v>1.0531931014872313</v>
      </c>
      <c r="F321" s="3">
        <f>DNSPOntSourceData!G50</f>
        <v>208.36600000000001</v>
      </c>
      <c r="G321" s="3">
        <f>DNSPOntSourceData!H50</f>
        <v>219.364</v>
      </c>
      <c r="H321" s="3">
        <f>DNSPOntSourceData!I50</f>
        <v>35906</v>
      </c>
      <c r="I321" s="3">
        <f>DNSPOntSourceData!J50</f>
        <v>746</v>
      </c>
      <c r="J321" s="3">
        <f>DNSPOntSourceData!K50</f>
        <v>169</v>
      </c>
      <c r="K321" s="12">
        <f>DNSPOntSourceData!L50</f>
        <v>0.22654155495978553</v>
      </c>
      <c r="L321" s="20" t="s">
        <v>27</v>
      </c>
    </row>
    <row r="322" spans="1:12">
      <c r="A322">
        <v>3024</v>
      </c>
      <c r="B322" s="2">
        <v>2008</v>
      </c>
      <c r="C322">
        <v>3</v>
      </c>
      <c r="D322" s="3">
        <f>DNSPOntSourceData!E51</f>
        <v>9004.0126099999998</v>
      </c>
      <c r="E322" s="5">
        <f>DNSPOntSourceData!F51</f>
        <v>1.078564603993923</v>
      </c>
      <c r="F322" s="3">
        <f>DNSPOntSourceData!G51</f>
        <v>191.64</v>
      </c>
      <c r="G322" s="3">
        <f>DNSPOntSourceData!H51</f>
        <v>219.364</v>
      </c>
      <c r="H322" s="3">
        <f>DNSPOntSourceData!I51</f>
        <v>36218</v>
      </c>
      <c r="I322" s="3">
        <f>DNSPOntSourceData!J51</f>
        <v>747</v>
      </c>
      <c r="J322" s="3">
        <f>DNSPOntSourceData!K51</f>
        <v>173</v>
      </c>
      <c r="K322" s="12">
        <f>DNSPOntSourceData!L51</f>
        <v>0.23159303882195448</v>
      </c>
      <c r="L322" s="20" t="s">
        <v>27</v>
      </c>
    </row>
    <row r="323" spans="1:12">
      <c r="A323">
        <v>3024</v>
      </c>
      <c r="B323">
        <v>2009</v>
      </c>
      <c r="C323">
        <v>3</v>
      </c>
      <c r="D323" s="3">
        <f>DNSPOntSourceData!E52</f>
        <v>9864.0449800000006</v>
      </c>
      <c r="E323" s="5">
        <f>DNSPOntSourceData!F52</f>
        <v>1.0915070880241431</v>
      </c>
      <c r="F323" s="3">
        <f>DNSPOntSourceData!G52</f>
        <v>168.89400000000001</v>
      </c>
      <c r="G323" s="3">
        <f>DNSPOntSourceData!H52</f>
        <v>219.364</v>
      </c>
      <c r="H323" s="3">
        <f>DNSPOntSourceData!I52</f>
        <v>35323</v>
      </c>
      <c r="I323" s="3">
        <f>DNSPOntSourceData!J52</f>
        <v>751</v>
      </c>
      <c r="J323" s="3">
        <f>DNSPOntSourceData!K52</f>
        <v>177</v>
      </c>
      <c r="K323" s="12">
        <f>DNSPOntSourceData!L52</f>
        <v>0.23568575233022637</v>
      </c>
      <c r="L323" s="20" t="s">
        <v>27</v>
      </c>
    </row>
    <row r="324" spans="1:12">
      <c r="A324">
        <v>3024</v>
      </c>
      <c r="B324" s="2">
        <v>2010</v>
      </c>
      <c r="C324">
        <v>3</v>
      </c>
      <c r="D324" s="3">
        <f>DNSPOntSourceData!E53</f>
        <v>9775.8886000000002</v>
      </c>
      <c r="E324" s="5">
        <f>DNSPOntSourceData!F53</f>
        <v>1.1243125351578573</v>
      </c>
      <c r="F324" s="3">
        <f>DNSPOntSourceData!G53</f>
        <v>188.56200000000001</v>
      </c>
      <c r="G324" s="3">
        <f>DNSPOntSourceData!H53</f>
        <v>219.364</v>
      </c>
      <c r="H324" s="3">
        <f>DNSPOntSourceData!I53</f>
        <v>35688</v>
      </c>
      <c r="I324" s="3">
        <f>DNSPOntSourceData!J53</f>
        <v>752</v>
      </c>
      <c r="J324" s="3">
        <f>DNSPOntSourceData!K53</f>
        <v>178</v>
      </c>
      <c r="K324" s="12">
        <f>DNSPOntSourceData!L53</f>
        <v>0.23670212765957446</v>
      </c>
      <c r="L324" s="20" t="s">
        <v>27</v>
      </c>
    </row>
    <row r="325" spans="1:12">
      <c r="A325">
        <v>3024</v>
      </c>
      <c r="B325">
        <v>2011</v>
      </c>
      <c r="C325">
        <v>3</v>
      </c>
      <c r="D325" s="3">
        <f>DNSPOntSourceData!E54</f>
        <v>10893.95379</v>
      </c>
      <c r="E325" s="5">
        <f>DNSPOntSourceData!F54</f>
        <v>1.1430978626415853</v>
      </c>
      <c r="F325" s="3">
        <f>DNSPOntSourceData!G54</f>
        <v>187.65799999999999</v>
      </c>
      <c r="G325" s="3">
        <f>DNSPOntSourceData!H54</f>
        <v>219.364</v>
      </c>
      <c r="H325" s="3">
        <f>DNSPOntSourceData!I54</f>
        <v>35772</v>
      </c>
      <c r="I325" s="3">
        <f>DNSPOntSourceData!J54</f>
        <v>777</v>
      </c>
      <c r="J325" s="3">
        <f>DNSPOntSourceData!K54</f>
        <v>195.99999999999997</v>
      </c>
      <c r="K325" s="12">
        <f>DNSPOntSourceData!L54</f>
        <v>0.25225225225225223</v>
      </c>
      <c r="L325" s="20" t="s">
        <v>27</v>
      </c>
    </row>
    <row r="326" spans="1:12">
      <c r="A326">
        <v>3024</v>
      </c>
      <c r="B326" s="2">
        <v>2012</v>
      </c>
      <c r="C326">
        <v>3</v>
      </c>
      <c r="D326" s="3">
        <f>DNSPOntSourceData!E55</f>
        <v>10898.384141100001</v>
      </c>
      <c r="E326" s="5">
        <f>DNSPOntSourceData!F55</f>
        <v>1.160126854517312</v>
      </c>
      <c r="F326" s="3">
        <f>DNSPOntSourceData!G55</f>
        <v>182.50899999999999</v>
      </c>
      <c r="G326" s="3">
        <f>DNSPOntSourceData!H55</f>
        <v>219.364</v>
      </c>
      <c r="H326" s="3">
        <f>DNSPOntSourceData!I55</f>
        <v>35820</v>
      </c>
      <c r="I326" s="3">
        <f>DNSPOntSourceData!J55</f>
        <v>797</v>
      </c>
      <c r="J326" s="3">
        <f>DNSPOntSourceData!K55</f>
        <v>211.99999999999997</v>
      </c>
      <c r="K326" s="12">
        <f>DNSPOntSourceData!L55</f>
        <v>0.26599749058971139</v>
      </c>
      <c r="L326" s="20" t="s">
        <v>27</v>
      </c>
    </row>
    <row r="327" spans="1:12">
      <c r="A327">
        <v>3024</v>
      </c>
      <c r="B327">
        <v>2013</v>
      </c>
      <c r="C327">
        <v>3</v>
      </c>
      <c r="D327" s="3">
        <f>DNSPOntSourceData!E56</f>
        <v>11982.29343</v>
      </c>
      <c r="E327" s="5">
        <f>DNSPOntSourceData!F56</f>
        <v>1.178602141578931</v>
      </c>
      <c r="F327" s="3">
        <f>DNSPOntSourceData!G56</f>
        <v>176.33099999999999</v>
      </c>
      <c r="G327" s="3">
        <f>DNSPOntSourceData!H56</f>
        <v>219.364</v>
      </c>
      <c r="H327" s="3">
        <f>DNSPOntSourceData!I56</f>
        <v>35982</v>
      </c>
      <c r="I327" s="3">
        <f>DNSPOntSourceData!J56</f>
        <v>801</v>
      </c>
      <c r="J327" s="3">
        <f>DNSPOntSourceData!K56</f>
        <v>215</v>
      </c>
      <c r="K327" s="12">
        <f>DNSPOntSourceData!L56</f>
        <v>0.26841448189762795</v>
      </c>
      <c r="L327" s="20" t="s">
        <v>27</v>
      </c>
    </row>
    <row r="328" spans="1:12">
      <c r="A328">
        <v>3024</v>
      </c>
      <c r="B328" s="2">
        <v>2014</v>
      </c>
      <c r="C328">
        <v>3</v>
      </c>
      <c r="D328" s="3">
        <f>DNSPOntSourceData!E57</f>
        <v>11467.313</v>
      </c>
      <c r="E328" s="5">
        <f>DNSPOntSourceData!F57</f>
        <v>1.2030671041042156</v>
      </c>
      <c r="F328" s="3">
        <f>DNSPOntSourceData!G57</f>
        <v>169.643</v>
      </c>
      <c r="G328" s="3">
        <f>DNSPOntSourceData!H57</f>
        <v>219.364</v>
      </c>
      <c r="H328" s="3">
        <f>DNSPOntSourceData!I57</f>
        <v>36115</v>
      </c>
      <c r="I328" s="3">
        <f>DNSPOntSourceData!J57</f>
        <v>788</v>
      </c>
      <c r="J328" s="3">
        <f>DNSPOntSourceData!K57</f>
        <v>213.99999999999997</v>
      </c>
      <c r="K328" s="12">
        <f>DNSPOntSourceData!L57</f>
        <v>0.27157360406091369</v>
      </c>
      <c r="L328" s="20" t="s">
        <v>27</v>
      </c>
    </row>
    <row r="329" spans="1:12">
      <c r="A329">
        <v>3024</v>
      </c>
      <c r="B329">
        <v>2015</v>
      </c>
      <c r="C329">
        <v>3</v>
      </c>
      <c r="D329" s="3">
        <f>DNSPOntSourceData!E58</f>
        <v>13155.344660000001</v>
      </c>
      <c r="E329" s="5">
        <f>DNSPOntSourceData!F58</f>
        <v>1.2312762402864634</v>
      </c>
      <c r="F329" s="3">
        <f>DNSPOntSourceData!G58</f>
        <v>149.53200000000001</v>
      </c>
      <c r="G329" s="3">
        <f>DNSPOntSourceData!H58</f>
        <v>219.364</v>
      </c>
      <c r="H329" s="3">
        <f>DNSPOntSourceData!I58</f>
        <v>36208</v>
      </c>
      <c r="I329" s="3">
        <f>DNSPOntSourceData!J58</f>
        <v>783</v>
      </c>
      <c r="J329" s="3">
        <f>DNSPOntSourceData!K58</f>
        <v>210.99999999999997</v>
      </c>
      <c r="K329" s="12">
        <f>DNSPOntSourceData!L58</f>
        <v>0.26947637292464877</v>
      </c>
      <c r="L329" s="20" t="s">
        <v>27</v>
      </c>
    </row>
    <row r="330" spans="1:12">
      <c r="A330">
        <v>3024</v>
      </c>
      <c r="B330" s="2">
        <v>2016</v>
      </c>
      <c r="C330">
        <v>3</v>
      </c>
      <c r="D330" s="3">
        <f>DNSPOntSourceData!E59</f>
        <v>13631.005370000001</v>
      </c>
      <c r="E330" s="5">
        <f>DNSPOntSourceData!F59</f>
        <v>1.2455044937824149</v>
      </c>
      <c r="F330" s="3">
        <f>DNSPOntSourceData!G59</f>
        <v>164.28399999999999</v>
      </c>
      <c r="G330" s="3">
        <f>DNSPOntSourceData!H59</f>
        <v>219.364</v>
      </c>
      <c r="H330" s="3">
        <f>DNSPOntSourceData!I59</f>
        <v>36355</v>
      </c>
      <c r="I330" s="3">
        <f>DNSPOntSourceData!J59</f>
        <v>773</v>
      </c>
      <c r="J330" s="3">
        <f>DNSPOntSourceData!K59</f>
        <v>204.99999999999997</v>
      </c>
      <c r="K330" s="12">
        <f>DNSPOntSourceData!L59</f>
        <v>0.2652005174644243</v>
      </c>
      <c r="L330" s="20" t="s">
        <v>27</v>
      </c>
    </row>
    <row r="331" spans="1:12">
      <c r="A331">
        <v>3024</v>
      </c>
      <c r="B331">
        <v>2017</v>
      </c>
      <c r="C331">
        <v>3</v>
      </c>
      <c r="D331" s="3">
        <f>DNSPOntSourceData!E60</f>
        <v>13327.256450000001</v>
      </c>
      <c r="E331" s="5">
        <f>DNSPOntSourceData!F60</f>
        <v>1.2674505553724562</v>
      </c>
      <c r="F331" s="3">
        <f>DNSPOntSourceData!G60</f>
        <v>154.393</v>
      </c>
      <c r="G331" s="3">
        <f>DNSPOntSourceData!H60</f>
        <v>219.364</v>
      </c>
      <c r="H331" s="3">
        <f>DNSPOntSourceData!I60</f>
        <v>36585</v>
      </c>
      <c r="I331" s="3">
        <f>DNSPOntSourceData!J60</f>
        <v>775</v>
      </c>
      <c r="J331" s="3">
        <f>DNSPOntSourceData!K60</f>
        <v>208.99999999999997</v>
      </c>
      <c r="K331" s="12">
        <f>DNSPOntSourceData!L60</f>
        <v>0.26967741935483869</v>
      </c>
      <c r="L331" s="20" t="s">
        <v>27</v>
      </c>
    </row>
    <row r="332" spans="1:12">
      <c r="A332">
        <v>3024</v>
      </c>
      <c r="B332" s="2">
        <v>2018</v>
      </c>
      <c r="C332">
        <v>3</v>
      </c>
      <c r="D332" s="3">
        <f>DNSPOntSourceData!E61</f>
        <v>13754.073609999999</v>
      </c>
      <c r="E332" s="5">
        <f>DNSPOntSourceData!F61</f>
        <v>1.2994718602728874</v>
      </c>
      <c r="F332" s="3">
        <f>DNSPOntSourceData!G61</f>
        <v>161.52500000000001</v>
      </c>
      <c r="G332" s="3">
        <f>DNSPOntSourceData!H61</f>
        <v>219.364</v>
      </c>
      <c r="H332" s="3">
        <f>DNSPOntSourceData!I61</f>
        <v>36691</v>
      </c>
      <c r="I332" s="3">
        <f>DNSPOntSourceData!J61</f>
        <v>783</v>
      </c>
      <c r="J332" s="3">
        <f>DNSPOntSourceData!K61</f>
        <v>221</v>
      </c>
      <c r="K332" s="12">
        <f>DNSPOntSourceData!L61</f>
        <v>0.28224776500638571</v>
      </c>
      <c r="L332" s="20" t="s">
        <v>27</v>
      </c>
    </row>
    <row r="333" spans="1:12">
      <c r="A333" s="142">
        <v>3024</v>
      </c>
      <c r="B333" s="142">
        <v>2019</v>
      </c>
      <c r="C333" s="142">
        <v>3</v>
      </c>
      <c r="D333" s="3">
        <f>DNSPOntSourceData!E62</f>
        <v>13313.535220000002</v>
      </c>
      <c r="E333" s="5">
        <f>DNSPOntSourceData!F62</f>
        <v>1.3352608354138498</v>
      </c>
      <c r="F333" s="3">
        <f>DNSPOntSourceData!G62</f>
        <v>151.86799999999999</v>
      </c>
      <c r="G333" s="3">
        <f>DNSPOntSourceData!H62</f>
        <v>219.364</v>
      </c>
      <c r="H333" s="3">
        <f>DNSPOntSourceData!I62</f>
        <v>36743</v>
      </c>
      <c r="I333" s="3">
        <f>DNSPOntSourceData!J62</f>
        <v>773</v>
      </c>
      <c r="J333" s="3">
        <f>DNSPOntSourceData!K62</f>
        <v>210</v>
      </c>
      <c r="K333" s="12">
        <f>DNSPOntSourceData!L62</f>
        <v>0.27166882276843468</v>
      </c>
      <c r="L333" s="20" t="s">
        <v>27</v>
      </c>
    </row>
    <row r="334" spans="1:12">
      <c r="A334">
        <v>3025</v>
      </c>
      <c r="B334">
        <v>2005</v>
      </c>
      <c r="C334">
        <v>3</v>
      </c>
      <c r="D334" s="3">
        <f>DNSPOntSourceData!E843</f>
        <v>5271.8235800000002</v>
      </c>
      <c r="E334" s="5">
        <f>DNSPOntSourceData!F843</f>
        <v>1</v>
      </c>
      <c r="F334" s="3">
        <f>DNSPOntSourceData!G843</f>
        <v>154.667</v>
      </c>
      <c r="G334" s="3">
        <f>DNSPOntSourceData!H843</f>
        <v>154.667</v>
      </c>
      <c r="H334" s="3">
        <f>DNSPOntSourceData!I843</f>
        <v>33531</v>
      </c>
      <c r="I334" s="3">
        <f>DNSPOntSourceData!J843</f>
        <v>536</v>
      </c>
      <c r="J334" s="3">
        <f>DNSPOntSourceData!K843</f>
        <v>156</v>
      </c>
      <c r="K334" s="12">
        <f>DNSPOntSourceData!L843</f>
        <v>0.29104477611940299</v>
      </c>
      <c r="L334" s="20" t="s">
        <v>77</v>
      </c>
    </row>
    <row r="335" spans="1:12">
      <c r="A335">
        <v>3025</v>
      </c>
      <c r="B335" s="2">
        <v>2006</v>
      </c>
      <c r="C335">
        <v>3</v>
      </c>
      <c r="D335" s="3">
        <f>DNSPOntSourceData!E844</f>
        <v>6166.8574700000008</v>
      </c>
      <c r="E335" s="5">
        <f>DNSPOntSourceData!F844</f>
        <v>1.0181607380073696</v>
      </c>
      <c r="F335" s="3">
        <f>DNSPOntSourceData!G844</f>
        <v>157.90899999999999</v>
      </c>
      <c r="G335" s="3">
        <f>DNSPOntSourceData!H844</f>
        <v>157.90899999999999</v>
      </c>
      <c r="H335" s="3">
        <f>DNSPOntSourceData!I844</f>
        <v>33866</v>
      </c>
      <c r="I335" s="3">
        <f>DNSPOntSourceData!J844</f>
        <v>545</v>
      </c>
      <c r="J335" s="3">
        <f>DNSPOntSourceData!K844</f>
        <v>161</v>
      </c>
      <c r="K335" s="12">
        <f>DNSPOntSourceData!L844</f>
        <v>0.29541284403669726</v>
      </c>
      <c r="L335" s="20" t="s">
        <v>77</v>
      </c>
    </row>
    <row r="336" spans="1:12">
      <c r="A336">
        <v>3025</v>
      </c>
      <c r="B336">
        <v>2007</v>
      </c>
      <c r="C336">
        <v>3</v>
      </c>
      <c r="D336" s="3">
        <f>DNSPOntSourceData!E845</f>
        <v>6430.5863799999997</v>
      </c>
      <c r="E336" s="5">
        <f>DNSPOntSourceData!F845</f>
        <v>1.0531931014872313</v>
      </c>
      <c r="F336" s="3">
        <f>DNSPOntSourceData!G845</f>
        <v>152.21899999999999</v>
      </c>
      <c r="G336" s="3">
        <f>DNSPOntSourceData!H845</f>
        <v>157.90899999999999</v>
      </c>
      <c r="H336" s="3">
        <f>DNSPOntSourceData!I845</f>
        <v>34161</v>
      </c>
      <c r="I336" s="3">
        <f>DNSPOntSourceData!J845</f>
        <v>545</v>
      </c>
      <c r="J336" s="3">
        <f>DNSPOntSourceData!K845</f>
        <v>161</v>
      </c>
      <c r="K336" s="12">
        <f>DNSPOntSourceData!L845</f>
        <v>0.29541284403669726</v>
      </c>
      <c r="L336" s="20" t="s">
        <v>77</v>
      </c>
    </row>
    <row r="337" spans="1:12">
      <c r="A337">
        <v>3025</v>
      </c>
      <c r="B337" s="2">
        <v>2008</v>
      </c>
      <c r="C337">
        <v>3</v>
      </c>
      <c r="D337" s="3">
        <f>DNSPOntSourceData!E846</f>
        <v>7017.3372199999994</v>
      </c>
      <c r="E337" s="5">
        <f>DNSPOntSourceData!F846</f>
        <v>1.078564603993923</v>
      </c>
      <c r="F337" s="3">
        <f>DNSPOntSourceData!G846</f>
        <v>148.39500000000001</v>
      </c>
      <c r="G337" s="3">
        <f>DNSPOntSourceData!H846</f>
        <v>157.90899999999999</v>
      </c>
      <c r="H337" s="3">
        <f>DNSPOntSourceData!I846</f>
        <v>34349</v>
      </c>
      <c r="I337" s="3">
        <f>DNSPOntSourceData!J846</f>
        <v>550</v>
      </c>
      <c r="J337" s="3">
        <f>DNSPOntSourceData!K846</f>
        <v>166</v>
      </c>
      <c r="K337" s="12">
        <f>DNSPOntSourceData!L846</f>
        <v>0.30181818181818182</v>
      </c>
      <c r="L337" s="20" t="s">
        <v>77</v>
      </c>
    </row>
    <row r="338" spans="1:12">
      <c r="A338">
        <v>3025</v>
      </c>
      <c r="B338">
        <v>2009</v>
      </c>
      <c r="C338">
        <v>3</v>
      </c>
      <c r="D338" s="3">
        <f>DNSPOntSourceData!E847</f>
        <v>6359.26109</v>
      </c>
      <c r="E338" s="5">
        <f>DNSPOntSourceData!F847</f>
        <v>1.0915070880241431</v>
      </c>
      <c r="F338" s="3">
        <f>DNSPOntSourceData!G847</f>
        <v>153.78700000000001</v>
      </c>
      <c r="G338" s="3">
        <f>DNSPOntSourceData!H847</f>
        <v>157.90899999999999</v>
      </c>
      <c r="H338" s="3">
        <f>DNSPOntSourceData!I847</f>
        <v>34654</v>
      </c>
      <c r="I338" s="3">
        <f>DNSPOntSourceData!J847</f>
        <v>550</v>
      </c>
      <c r="J338" s="3">
        <f>DNSPOntSourceData!K847</f>
        <v>166</v>
      </c>
      <c r="K338" s="12">
        <f>DNSPOntSourceData!L847</f>
        <v>0.30181818181818182</v>
      </c>
      <c r="L338" s="20" t="s">
        <v>77</v>
      </c>
    </row>
    <row r="339" spans="1:12">
      <c r="A339">
        <v>3025</v>
      </c>
      <c r="B339" s="2">
        <v>2010</v>
      </c>
      <c r="C339">
        <v>3</v>
      </c>
      <c r="D339" s="3">
        <f>DNSPOntSourceData!E848</f>
        <v>6041.2717999999995</v>
      </c>
      <c r="E339" s="5">
        <f>DNSPOntSourceData!F848</f>
        <v>1.1243125351578573</v>
      </c>
      <c r="F339" s="3">
        <f>DNSPOntSourceData!G848</f>
        <v>150.10300000000001</v>
      </c>
      <c r="G339" s="3">
        <f>DNSPOntSourceData!H848</f>
        <v>157.90899999999999</v>
      </c>
      <c r="H339" s="3">
        <f>DNSPOntSourceData!I848</f>
        <v>35012</v>
      </c>
      <c r="I339" s="3">
        <f>DNSPOntSourceData!J848</f>
        <v>552</v>
      </c>
      <c r="J339" s="3">
        <f>DNSPOntSourceData!K848</f>
        <v>168</v>
      </c>
      <c r="K339" s="12">
        <f>DNSPOntSourceData!L848</f>
        <v>0.30434782608695654</v>
      </c>
      <c r="L339" s="20" t="s">
        <v>77</v>
      </c>
    </row>
    <row r="340" spans="1:12">
      <c r="A340">
        <v>3025</v>
      </c>
      <c r="B340">
        <v>2011</v>
      </c>
      <c r="C340">
        <v>3</v>
      </c>
      <c r="D340" s="3">
        <f>DNSPOntSourceData!E849</f>
        <v>6763.9671500000004</v>
      </c>
      <c r="E340" s="5">
        <f>DNSPOntSourceData!F849</f>
        <v>1.1430978626415853</v>
      </c>
      <c r="F340" s="3">
        <f>DNSPOntSourceData!G849</f>
        <v>161.697</v>
      </c>
      <c r="G340" s="3">
        <f>DNSPOntSourceData!H849</f>
        <v>161.697</v>
      </c>
      <c r="H340" s="3">
        <f>DNSPOntSourceData!I849</f>
        <v>35270</v>
      </c>
      <c r="I340" s="3">
        <f>DNSPOntSourceData!J849</f>
        <v>553</v>
      </c>
      <c r="J340" s="3">
        <f>DNSPOntSourceData!K849</f>
        <v>168</v>
      </c>
      <c r="K340" s="12">
        <f>DNSPOntSourceData!L849</f>
        <v>0.30379746835443039</v>
      </c>
      <c r="L340" s="20" t="s">
        <v>77</v>
      </c>
    </row>
    <row r="341" spans="1:12">
      <c r="A341">
        <v>3025</v>
      </c>
      <c r="B341" s="2">
        <v>2012</v>
      </c>
      <c r="C341">
        <v>3</v>
      </c>
      <c r="D341" s="3">
        <f>DNSPOntSourceData!E850</f>
        <v>6408.7294407999998</v>
      </c>
      <c r="E341" s="5">
        <f>DNSPOntSourceData!F850</f>
        <v>1.160126854517312</v>
      </c>
      <c r="F341" s="3">
        <f>DNSPOntSourceData!G850</f>
        <v>147.149</v>
      </c>
      <c r="G341" s="3">
        <f>DNSPOntSourceData!H850</f>
        <v>161.697</v>
      </c>
      <c r="H341" s="3">
        <f>DNSPOntSourceData!I850</f>
        <v>35436</v>
      </c>
      <c r="I341" s="3">
        <f>DNSPOntSourceData!J850</f>
        <v>560</v>
      </c>
      <c r="J341" s="3">
        <f>DNSPOntSourceData!K850</f>
        <v>172</v>
      </c>
      <c r="K341" s="12">
        <f>DNSPOntSourceData!L850</f>
        <v>0.30714285714285716</v>
      </c>
      <c r="L341" s="20" t="s">
        <v>77</v>
      </c>
    </row>
    <row r="342" spans="1:12">
      <c r="A342">
        <v>3025</v>
      </c>
      <c r="B342">
        <v>2013</v>
      </c>
      <c r="C342">
        <v>3</v>
      </c>
      <c r="D342" s="3">
        <f>DNSPOntSourceData!E851</f>
        <v>7788.1138600000004</v>
      </c>
      <c r="E342" s="5">
        <f>DNSPOntSourceData!F851</f>
        <v>1.178602141578931</v>
      </c>
      <c r="F342" s="3">
        <f>DNSPOntSourceData!G851</f>
        <v>158.06</v>
      </c>
      <c r="G342" s="3">
        <f>DNSPOntSourceData!H851</f>
        <v>161.697</v>
      </c>
      <c r="H342" s="3">
        <f>DNSPOntSourceData!I851</f>
        <v>35845</v>
      </c>
      <c r="I342" s="3">
        <f>DNSPOntSourceData!J851</f>
        <v>564</v>
      </c>
      <c r="J342" s="3">
        <f>DNSPOntSourceData!K851</f>
        <v>177</v>
      </c>
      <c r="K342" s="12">
        <f>DNSPOntSourceData!L851</f>
        <v>0.31382978723404253</v>
      </c>
      <c r="L342" s="20" t="s">
        <v>77</v>
      </c>
    </row>
    <row r="343" spans="1:12">
      <c r="A343">
        <v>3025</v>
      </c>
      <c r="B343" s="2">
        <v>2014</v>
      </c>
      <c r="C343">
        <v>3</v>
      </c>
      <c r="D343" s="3">
        <f>DNSPOntSourceData!E852</f>
        <v>8381</v>
      </c>
      <c r="E343" s="5">
        <f>DNSPOntSourceData!F852</f>
        <v>1.2030671041042156</v>
      </c>
      <c r="F343" s="3">
        <f>DNSPOntSourceData!G852</f>
        <v>148.42599999999999</v>
      </c>
      <c r="G343" s="3">
        <f>DNSPOntSourceData!H852</f>
        <v>161.697</v>
      </c>
      <c r="H343" s="3">
        <f>DNSPOntSourceData!I852</f>
        <v>36058</v>
      </c>
      <c r="I343" s="3">
        <f>DNSPOntSourceData!J852</f>
        <v>564</v>
      </c>
      <c r="J343" s="3">
        <f>DNSPOntSourceData!K852</f>
        <v>178</v>
      </c>
      <c r="K343" s="12">
        <f>DNSPOntSourceData!L852</f>
        <v>0.31560283687943264</v>
      </c>
      <c r="L343" s="20" t="s">
        <v>77</v>
      </c>
    </row>
    <row r="344" spans="1:12">
      <c r="A344">
        <v>3025</v>
      </c>
      <c r="B344">
        <v>2015</v>
      </c>
      <c r="C344">
        <v>3</v>
      </c>
      <c r="D344" s="3">
        <f>DNSPOntSourceData!E853</f>
        <v>7951.7820000000002</v>
      </c>
      <c r="E344" s="5">
        <f>DNSPOntSourceData!F853</f>
        <v>1.2312762402864634</v>
      </c>
      <c r="F344" s="3">
        <f>DNSPOntSourceData!G853</f>
        <v>142.93899999999999</v>
      </c>
      <c r="G344" s="3">
        <f>DNSPOntSourceData!H853</f>
        <v>161.697</v>
      </c>
      <c r="H344" s="3">
        <f>DNSPOntSourceData!I853</f>
        <v>36317</v>
      </c>
      <c r="I344" s="3">
        <f>DNSPOntSourceData!J853</f>
        <v>563</v>
      </c>
      <c r="J344" s="3">
        <f>DNSPOntSourceData!K853</f>
        <v>180</v>
      </c>
      <c r="K344" s="12">
        <f>DNSPOntSourceData!L853</f>
        <v>0.31971580817051509</v>
      </c>
      <c r="L344" s="20" t="s">
        <v>77</v>
      </c>
    </row>
    <row r="345" spans="1:12">
      <c r="A345">
        <v>3025</v>
      </c>
      <c r="B345" s="2">
        <v>2016</v>
      </c>
      <c r="C345">
        <v>3</v>
      </c>
      <c r="D345" s="3">
        <f>DNSPOntSourceData!E854</f>
        <v>8836.4923599999984</v>
      </c>
      <c r="E345" s="5">
        <f>DNSPOntSourceData!F854</f>
        <v>1.2455044937824149</v>
      </c>
      <c r="F345" s="3">
        <f>DNSPOntSourceData!G854</f>
        <v>145.20500000000001</v>
      </c>
      <c r="G345" s="3">
        <f>DNSPOntSourceData!H854</f>
        <v>161.697</v>
      </c>
      <c r="H345" s="3">
        <f>DNSPOntSourceData!I854</f>
        <v>36574</v>
      </c>
      <c r="I345" s="3">
        <f>DNSPOntSourceData!J854</f>
        <v>564</v>
      </c>
      <c r="J345" s="3">
        <f>DNSPOntSourceData!K854</f>
        <v>181</v>
      </c>
      <c r="K345" s="12">
        <f>DNSPOntSourceData!L854</f>
        <v>0.32092198581560283</v>
      </c>
      <c r="L345" s="20" t="s">
        <v>77</v>
      </c>
    </row>
    <row r="346" spans="1:12">
      <c r="A346">
        <v>3025</v>
      </c>
      <c r="B346">
        <v>2017</v>
      </c>
      <c r="C346">
        <v>3</v>
      </c>
      <c r="D346" s="3">
        <f>DNSPOntSourceData!E855</f>
        <v>8616.7901100000017</v>
      </c>
      <c r="E346" s="5">
        <f>DNSPOntSourceData!F855</f>
        <v>1.2674505553724562</v>
      </c>
      <c r="F346" s="3">
        <f>DNSPOntSourceData!G855</f>
        <v>126.759</v>
      </c>
      <c r="G346" s="3">
        <f>DNSPOntSourceData!H855</f>
        <v>161.697</v>
      </c>
      <c r="H346" s="3">
        <f>DNSPOntSourceData!I855</f>
        <v>37349</v>
      </c>
      <c r="I346" s="3">
        <f>DNSPOntSourceData!J855</f>
        <v>571</v>
      </c>
      <c r="J346" s="3">
        <f>DNSPOntSourceData!K855</f>
        <v>187</v>
      </c>
      <c r="K346" s="12">
        <f>DNSPOntSourceData!L855</f>
        <v>0.32749562171628721</v>
      </c>
      <c r="L346" s="20" t="s">
        <v>77</v>
      </c>
    </row>
    <row r="347" spans="1:12">
      <c r="A347">
        <v>3025</v>
      </c>
      <c r="B347" s="2">
        <v>2018</v>
      </c>
      <c r="C347">
        <v>3</v>
      </c>
      <c r="D347" s="3">
        <f>DNSPOntSourceData!E856</f>
        <v>8748.4463099999994</v>
      </c>
      <c r="E347" s="5">
        <f>DNSPOntSourceData!F856</f>
        <v>1.2994718602728874</v>
      </c>
      <c r="F347" s="3">
        <f>DNSPOntSourceData!G856</f>
        <v>148.86799999999999</v>
      </c>
      <c r="G347" s="3">
        <f>DNSPOntSourceData!H856</f>
        <v>161.697</v>
      </c>
      <c r="H347" s="3">
        <f>DNSPOntSourceData!I856</f>
        <v>37139</v>
      </c>
      <c r="I347" s="3">
        <f>DNSPOntSourceData!J856</f>
        <v>573</v>
      </c>
      <c r="J347" s="3">
        <f>DNSPOntSourceData!K856</f>
        <v>188</v>
      </c>
      <c r="K347" s="12">
        <f>DNSPOntSourceData!L856</f>
        <v>0.32809773123909247</v>
      </c>
      <c r="L347" s="20" t="s">
        <v>77</v>
      </c>
    </row>
    <row r="348" spans="1:12">
      <c r="A348" s="142">
        <v>3025</v>
      </c>
      <c r="B348" s="142">
        <v>2019</v>
      </c>
      <c r="C348" s="142">
        <v>3</v>
      </c>
      <c r="D348" s="3">
        <f>DNSPOntSourceData!E857</f>
        <v>8467.4134200000008</v>
      </c>
      <c r="E348" s="5">
        <f>DNSPOntSourceData!F857</f>
        <v>1.3352608354138498</v>
      </c>
      <c r="F348" s="3">
        <f>DNSPOntSourceData!G857</f>
        <v>136.31700000000001</v>
      </c>
      <c r="G348" s="3">
        <f>DNSPOntSourceData!H857</f>
        <v>161.697</v>
      </c>
      <c r="H348" s="3">
        <f>DNSPOntSourceData!I857</f>
        <v>37250</v>
      </c>
      <c r="I348" s="3">
        <f>DNSPOntSourceData!J857</f>
        <v>573</v>
      </c>
      <c r="J348" s="3">
        <f>DNSPOntSourceData!K857</f>
        <v>188</v>
      </c>
      <c r="K348" s="12">
        <f>DNSPOntSourceData!L857</f>
        <v>0.32809773123909247</v>
      </c>
      <c r="L348" s="20" t="s">
        <v>77</v>
      </c>
    </row>
    <row r="349" spans="1:12">
      <c r="A349">
        <v>3026</v>
      </c>
      <c r="B349">
        <v>2005</v>
      </c>
      <c r="C349">
        <v>3</v>
      </c>
      <c r="D349" s="3">
        <f>DNSPOntSourceData!E663+DNSPOntSourceData!E633</f>
        <v>7074.9436400000013</v>
      </c>
      <c r="E349" s="5">
        <f>DNSPOntSourceData!F663</f>
        <v>1</v>
      </c>
      <c r="F349" s="3">
        <f>DNSPOntSourceData!G663+DNSPOntSourceData!G633</f>
        <v>197.92700000000002</v>
      </c>
      <c r="G349" s="3">
        <f>F349</f>
        <v>197.92700000000002</v>
      </c>
      <c r="H349" s="3">
        <f>DNSPOntSourceData!I663+DNSPOntSourceData!I633</f>
        <v>36682</v>
      </c>
      <c r="I349" s="3">
        <f>DNSPOntSourceData!J663+DNSPOntSourceData!J633</f>
        <v>1117</v>
      </c>
      <c r="J349" s="3">
        <f>DNSPOntSourceData!K663+DNSPOntSourceData!K633</f>
        <v>457</v>
      </c>
      <c r="K349" s="12">
        <f>J349/I349</f>
        <v>0.40913160250671443</v>
      </c>
      <c r="L349" s="20" t="s">
        <v>65</v>
      </c>
    </row>
    <row r="350" spans="1:12">
      <c r="A350">
        <v>3026</v>
      </c>
      <c r="B350" s="2">
        <v>2006</v>
      </c>
      <c r="C350">
        <v>3</v>
      </c>
      <c r="D350" s="3">
        <f>DNSPOntSourceData!E664+DNSPOntSourceData!E634</f>
        <v>7208.5349000000006</v>
      </c>
      <c r="E350" s="5">
        <f>DNSPOntSourceData!F664</f>
        <v>1.0181607380073696</v>
      </c>
      <c r="F350" s="3">
        <f>DNSPOntSourceData!G664+DNSPOntSourceData!G634</f>
        <v>203.11799999999999</v>
      </c>
      <c r="G350" s="3">
        <f>MAX(F350,G349)</f>
        <v>203.11799999999999</v>
      </c>
      <c r="H350" s="3">
        <f>DNSPOntSourceData!I664+DNSPOntSourceData!I634</f>
        <v>37318</v>
      </c>
      <c r="I350" s="3">
        <f>DNSPOntSourceData!J664+DNSPOntSourceData!J634</f>
        <v>1127</v>
      </c>
      <c r="J350" s="3">
        <f>DNSPOntSourceData!K664+DNSPOntSourceData!K634</f>
        <v>466</v>
      </c>
      <c r="K350" s="12">
        <f t="shared" ref="K350:K362" si="26">J350/I350</f>
        <v>0.41348713398402842</v>
      </c>
      <c r="L350" s="20" t="s">
        <v>65</v>
      </c>
    </row>
    <row r="351" spans="1:12">
      <c r="A351">
        <v>3026</v>
      </c>
      <c r="B351">
        <v>2007</v>
      </c>
      <c r="C351">
        <v>3</v>
      </c>
      <c r="D351" s="3">
        <f>DNSPOntSourceData!E665+DNSPOntSourceData!E635</f>
        <v>7150.7407799999992</v>
      </c>
      <c r="E351" s="5">
        <f>DNSPOntSourceData!F665</f>
        <v>1.0531931014872313</v>
      </c>
      <c r="F351" s="3">
        <f>DNSPOntSourceData!G665+DNSPOntSourceData!G635</f>
        <v>195.327</v>
      </c>
      <c r="G351" s="3">
        <f t="shared" ref="G351:G362" si="27">MAX(F351,G350)</f>
        <v>203.11799999999999</v>
      </c>
      <c r="H351" s="3">
        <f>DNSPOntSourceData!I665+DNSPOntSourceData!I635</f>
        <v>37902</v>
      </c>
      <c r="I351" s="3">
        <f>DNSPOntSourceData!J665+DNSPOntSourceData!J635</f>
        <v>1149</v>
      </c>
      <c r="J351" s="3">
        <f>DNSPOntSourceData!K665+DNSPOntSourceData!K635</f>
        <v>490</v>
      </c>
      <c r="K351" s="12">
        <f t="shared" si="26"/>
        <v>0.42645778938207135</v>
      </c>
      <c r="L351" s="20" t="s">
        <v>65</v>
      </c>
    </row>
    <row r="352" spans="1:12">
      <c r="A352">
        <v>3026</v>
      </c>
      <c r="B352" s="2">
        <v>2008</v>
      </c>
      <c r="C352">
        <v>3</v>
      </c>
      <c r="D352" s="3">
        <f>DNSPOntSourceData!E666+DNSPOntSourceData!E636</f>
        <v>7991.3609500000002</v>
      </c>
      <c r="E352" s="5">
        <f>DNSPOntSourceData!F666</f>
        <v>1.078564603993923</v>
      </c>
      <c r="F352" s="3">
        <f>DNSPOntSourceData!G666+DNSPOntSourceData!G636</f>
        <v>179.636</v>
      </c>
      <c r="G352" s="3">
        <f t="shared" si="27"/>
        <v>203.11799999999999</v>
      </c>
      <c r="H352" s="3">
        <f>DNSPOntSourceData!I666+DNSPOntSourceData!I636</f>
        <v>38647</v>
      </c>
      <c r="I352" s="3">
        <f>DNSPOntSourceData!J666+DNSPOntSourceData!J636</f>
        <v>1165</v>
      </c>
      <c r="J352" s="3">
        <f>DNSPOntSourceData!K666+DNSPOntSourceData!K636</f>
        <v>503</v>
      </c>
      <c r="K352" s="12">
        <f t="shared" si="26"/>
        <v>0.43175965665236049</v>
      </c>
      <c r="L352" s="20" t="s">
        <v>65</v>
      </c>
    </row>
    <row r="353" spans="1:12">
      <c r="A353">
        <v>3026</v>
      </c>
      <c r="B353">
        <v>2009</v>
      </c>
      <c r="C353">
        <v>3</v>
      </c>
      <c r="D353" s="3">
        <f>DNSPOntSourceData!E667+DNSPOntSourceData!E637</f>
        <v>8122.185089999999</v>
      </c>
      <c r="E353" s="5">
        <f>DNSPOntSourceData!F667</f>
        <v>1.0915070880241431</v>
      </c>
      <c r="F353" s="3">
        <f>DNSPOntSourceData!G667+DNSPOntSourceData!G637</f>
        <v>180.47500000000002</v>
      </c>
      <c r="G353" s="3">
        <f t="shared" si="27"/>
        <v>203.11799999999999</v>
      </c>
      <c r="H353" s="3">
        <f>DNSPOntSourceData!I667+DNSPOntSourceData!I637</f>
        <v>39322</v>
      </c>
      <c r="I353" s="3">
        <f>DNSPOntSourceData!J667+DNSPOntSourceData!J637</f>
        <v>1168</v>
      </c>
      <c r="J353" s="3">
        <f>DNSPOntSourceData!K667+DNSPOntSourceData!K637</f>
        <v>504</v>
      </c>
      <c r="K353" s="12">
        <f t="shared" si="26"/>
        <v>0.4315068493150685</v>
      </c>
      <c r="L353" s="20" t="s">
        <v>65</v>
      </c>
    </row>
    <row r="354" spans="1:12">
      <c r="A354">
        <v>3026</v>
      </c>
      <c r="B354" s="2">
        <v>2010</v>
      </c>
      <c r="C354">
        <v>3</v>
      </c>
      <c r="D354" s="3">
        <f>DNSPOntSourceData!E668+DNSPOntSourceData!E638</f>
        <v>8486.6488200000003</v>
      </c>
      <c r="E354" s="5">
        <f>DNSPOntSourceData!F668</f>
        <v>1.1243125351578573</v>
      </c>
      <c r="F354" s="3">
        <f>DNSPOntSourceData!G668+DNSPOntSourceData!G638</f>
        <v>194.69</v>
      </c>
      <c r="G354" s="3">
        <f t="shared" si="27"/>
        <v>203.11799999999999</v>
      </c>
      <c r="H354" s="3">
        <f>DNSPOntSourceData!I668+DNSPOntSourceData!I638</f>
        <v>39825</v>
      </c>
      <c r="I354" s="3">
        <f>DNSPOntSourceData!J668+DNSPOntSourceData!J638</f>
        <v>1220</v>
      </c>
      <c r="J354" s="3">
        <f>DNSPOntSourceData!K668+DNSPOntSourceData!K638</f>
        <v>520</v>
      </c>
      <c r="K354" s="12">
        <f t="shared" si="26"/>
        <v>0.42622950819672129</v>
      </c>
      <c r="L354" s="20" t="s">
        <v>65</v>
      </c>
    </row>
    <row r="355" spans="1:12">
      <c r="A355">
        <v>3026</v>
      </c>
      <c r="B355">
        <v>2011</v>
      </c>
      <c r="C355">
        <v>3</v>
      </c>
      <c r="D355" s="3">
        <f>DNSPOntSourceData!E669+DNSPOntSourceData!E639</f>
        <v>8247.4091470364147</v>
      </c>
      <c r="E355" s="5">
        <f>DNSPOntSourceData!F669</f>
        <v>1.1430978626415853</v>
      </c>
      <c r="F355" s="3">
        <f>DNSPOntSourceData!G669+DNSPOntSourceData!G639</f>
        <v>194.352</v>
      </c>
      <c r="G355" s="3">
        <f t="shared" si="27"/>
        <v>203.11799999999999</v>
      </c>
      <c r="H355" s="3">
        <f>DNSPOntSourceData!I669+DNSPOntSourceData!I639</f>
        <v>40289</v>
      </c>
      <c r="I355" s="3">
        <f>DNSPOntSourceData!J669+DNSPOntSourceData!J639</f>
        <v>1095</v>
      </c>
      <c r="J355" s="3">
        <f>DNSPOntSourceData!K669+DNSPOntSourceData!K639</f>
        <v>538</v>
      </c>
      <c r="K355" s="12">
        <f t="shared" si="26"/>
        <v>0.49132420091324203</v>
      </c>
      <c r="L355" s="20" t="s">
        <v>65</v>
      </c>
    </row>
    <row r="356" spans="1:12">
      <c r="A356">
        <v>3026</v>
      </c>
      <c r="B356" s="2">
        <v>2012</v>
      </c>
      <c r="C356">
        <v>3</v>
      </c>
      <c r="D356" s="3">
        <f>DNSPOntSourceData!E670+DNSPOntSourceData!E640</f>
        <v>8914.3869539000007</v>
      </c>
      <c r="E356" s="5">
        <f>DNSPOntSourceData!F670</f>
        <v>1.160126854517312</v>
      </c>
      <c r="F356" s="3">
        <f>DNSPOntSourceData!G670+DNSPOntSourceData!G640</f>
        <v>193.26500000000001</v>
      </c>
      <c r="G356" s="3">
        <f t="shared" si="27"/>
        <v>203.11799999999999</v>
      </c>
      <c r="H356" s="3">
        <f>DNSPOntSourceData!I670+DNSPOntSourceData!I640</f>
        <v>40858</v>
      </c>
      <c r="I356" s="3">
        <f>DNSPOntSourceData!J670+DNSPOntSourceData!J640</f>
        <v>964</v>
      </c>
      <c r="J356" s="3">
        <f>DNSPOntSourceData!K670+DNSPOntSourceData!K640</f>
        <v>509</v>
      </c>
      <c r="K356" s="12">
        <f t="shared" si="26"/>
        <v>0.52800829875518673</v>
      </c>
      <c r="L356" s="20" t="s">
        <v>65</v>
      </c>
    </row>
    <row r="357" spans="1:12">
      <c r="A357">
        <v>3026</v>
      </c>
      <c r="B357">
        <v>2013</v>
      </c>
      <c r="C357">
        <v>3</v>
      </c>
      <c r="D357" s="3">
        <f>DNSPOntSourceData!E671+DNSPOntSourceData!E641</f>
        <v>9490.7243199999994</v>
      </c>
      <c r="E357" s="5">
        <f>DNSPOntSourceData!F671</f>
        <v>1.178602141578931</v>
      </c>
      <c r="F357" s="3">
        <f>DNSPOntSourceData!G671+DNSPOntSourceData!G641</f>
        <v>188.93800000000002</v>
      </c>
      <c r="G357" s="3">
        <f t="shared" si="27"/>
        <v>203.11799999999999</v>
      </c>
      <c r="H357" s="3">
        <f>DNSPOntSourceData!I671+DNSPOntSourceData!I641</f>
        <v>41639</v>
      </c>
      <c r="I357" s="3">
        <f>DNSPOntSourceData!J671+DNSPOntSourceData!J641</f>
        <v>979</v>
      </c>
      <c r="J357" s="3">
        <f>DNSPOntSourceData!K671+DNSPOntSourceData!K641</f>
        <v>536</v>
      </c>
      <c r="K357" s="12">
        <f t="shared" si="26"/>
        <v>0.54749744637385089</v>
      </c>
      <c r="L357" s="20" t="s">
        <v>65</v>
      </c>
    </row>
    <row r="358" spans="1:12">
      <c r="A358">
        <v>3026</v>
      </c>
      <c r="B358" s="2">
        <v>2014</v>
      </c>
      <c r="C358">
        <v>3</v>
      </c>
      <c r="D358" s="3">
        <f>DNSPOntSourceData!E672+DNSPOntSourceData!E642</f>
        <v>10154.867</v>
      </c>
      <c r="E358" s="5">
        <f>DNSPOntSourceData!F672</f>
        <v>1.2030671041042156</v>
      </c>
      <c r="F358" s="3">
        <f>DNSPOntSourceData!G672+DNSPOntSourceData!G642</f>
        <v>167.18900000000002</v>
      </c>
      <c r="G358" s="3">
        <f t="shared" si="27"/>
        <v>203.11799999999999</v>
      </c>
      <c r="H358" s="3">
        <f>DNSPOntSourceData!I672+DNSPOntSourceData!I642</f>
        <v>41906</v>
      </c>
      <c r="I358" s="3">
        <f>DNSPOntSourceData!J672+DNSPOntSourceData!J642</f>
        <v>974</v>
      </c>
      <c r="J358" s="3">
        <f>DNSPOntSourceData!K672+DNSPOntSourceData!K642</f>
        <v>530</v>
      </c>
      <c r="K358" s="12">
        <f t="shared" si="26"/>
        <v>0.54414784394250515</v>
      </c>
      <c r="L358" s="20" t="s">
        <v>65</v>
      </c>
    </row>
    <row r="359" spans="1:12">
      <c r="A359">
        <v>3026</v>
      </c>
      <c r="B359">
        <v>2015</v>
      </c>
      <c r="C359">
        <v>3</v>
      </c>
      <c r="D359" s="3">
        <f>DNSPOntSourceData!E673+DNSPOntSourceData!E643</f>
        <v>9548.5110000000004</v>
      </c>
      <c r="E359" s="5">
        <f>DNSPOntSourceData!F673</f>
        <v>1.2312762402864634</v>
      </c>
      <c r="F359" s="3">
        <f>DNSPOntSourceData!G673+DNSPOntSourceData!G643</f>
        <v>173.41800000000001</v>
      </c>
      <c r="G359" s="3">
        <f t="shared" si="27"/>
        <v>203.11799999999999</v>
      </c>
      <c r="H359" s="3">
        <f>DNSPOntSourceData!I673+DNSPOntSourceData!I643</f>
        <v>42267</v>
      </c>
      <c r="I359" s="3">
        <f>DNSPOntSourceData!J673+DNSPOntSourceData!J643</f>
        <v>984</v>
      </c>
      <c r="J359" s="3">
        <f>DNSPOntSourceData!K673+DNSPOntSourceData!K643</f>
        <v>537</v>
      </c>
      <c r="K359" s="12">
        <f t="shared" si="26"/>
        <v>0.54573170731707321</v>
      </c>
      <c r="L359" s="20" t="s">
        <v>65</v>
      </c>
    </row>
    <row r="360" spans="1:12">
      <c r="A360">
        <v>3026</v>
      </c>
      <c r="B360" s="2">
        <v>2016</v>
      </c>
      <c r="C360">
        <v>3</v>
      </c>
      <c r="D360" s="3">
        <f>DNSPOntSourceData!E674+DNSPOntSourceData!E644</f>
        <v>10201.170260000001</v>
      </c>
      <c r="E360" s="5">
        <f>DNSPOntSourceData!F674</f>
        <v>1.2455044937824149</v>
      </c>
      <c r="F360" s="3">
        <f>DNSPOntSourceData!G674+DNSPOntSourceData!G644</f>
        <v>179.00099999999998</v>
      </c>
      <c r="G360" s="3">
        <f t="shared" si="27"/>
        <v>203.11799999999999</v>
      </c>
      <c r="H360" s="3">
        <f>DNSPOntSourceData!I674+DNSPOntSourceData!I644</f>
        <v>42696</v>
      </c>
      <c r="I360" s="3">
        <f>DNSPOntSourceData!J674+DNSPOntSourceData!J644</f>
        <v>989</v>
      </c>
      <c r="J360" s="3">
        <f>DNSPOntSourceData!K674+DNSPOntSourceData!K644</f>
        <v>541</v>
      </c>
      <c r="K360" s="12">
        <f t="shared" si="26"/>
        <v>0.54701718907987862</v>
      </c>
      <c r="L360" s="20" t="s">
        <v>65</v>
      </c>
    </row>
    <row r="361" spans="1:12">
      <c r="A361">
        <v>3026</v>
      </c>
      <c r="B361">
        <v>2017</v>
      </c>
      <c r="C361">
        <v>3</v>
      </c>
      <c r="D361" s="3">
        <f>DNSPOntSourceData!E675+DNSPOntSourceData!E645</f>
        <v>11749.662210000002</v>
      </c>
      <c r="E361" s="5">
        <f>DNSPOntSourceData!F675</f>
        <v>1.2674505553724562</v>
      </c>
      <c r="F361" s="3">
        <f>DNSPOntSourceData!G675+DNSPOntSourceData!G645</f>
        <v>166.44</v>
      </c>
      <c r="G361" s="3">
        <f t="shared" si="27"/>
        <v>203.11799999999999</v>
      </c>
      <c r="H361" s="3">
        <f>DNSPOntSourceData!I675+DNSPOntSourceData!I645</f>
        <v>42979</v>
      </c>
      <c r="I361" s="3">
        <f>DNSPOntSourceData!J675+DNSPOntSourceData!J645</f>
        <v>985</v>
      </c>
      <c r="J361" s="3">
        <f>DNSPOntSourceData!K675+DNSPOntSourceData!K645</f>
        <v>542</v>
      </c>
      <c r="K361" s="12">
        <f t="shared" si="26"/>
        <v>0.55025380710659899</v>
      </c>
      <c r="L361" s="20" t="s">
        <v>65</v>
      </c>
    </row>
    <row r="362" spans="1:12">
      <c r="A362">
        <v>3026</v>
      </c>
      <c r="B362" s="2">
        <v>2018</v>
      </c>
      <c r="C362">
        <v>3</v>
      </c>
      <c r="D362" s="3">
        <f>DNSPOntSourceData!E676+DNSPOntSourceData!E646</f>
        <v>11281.97681</v>
      </c>
      <c r="E362" s="5">
        <f>DNSPOntSourceData!F676</f>
        <v>1.2994718602728874</v>
      </c>
      <c r="F362" s="3">
        <f>DNSPOntSourceData!G676+DNSPOntSourceData!G646</f>
        <v>182.453</v>
      </c>
      <c r="G362" s="3">
        <f t="shared" si="27"/>
        <v>203.11799999999999</v>
      </c>
      <c r="H362" s="3">
        <f>DNSPOntSourceData!I676+DNSPOntSourceData!I646</f>
        <v>43524</v>
      </c>
      <c r="I362" s="3">
        <f>DNSPOntSourceData!J676+DNSPOntSourceData!J646</f>
        <v>1019</v>
      </c>
      <c r="J362" s="3">
        <f>DNSPOntSourceData!K676+DNSPOntSourceData!K646</f>
        <v>551</v>
      </c>
      <c r="K362" s="12">
        <f t="shared" si="26"/>
        <v>0.54072620215897937</v>
      </c>
      <c r="L362" s="20" t="s">
        <v>65</v>
      </c>
    </row>
    <row r="363" spans="1:12">
      <c r="A363" s="142">
        <v>3026</v>
      </c>
      <c r="B363" s="142">
        <v>2019</v>
      </c>
      <c r="C363" s="142">
        <v>3</v>
      </c>
      <c r="D363" s="3">
        <f>DNSPOntSourceData!E677+DNSPOntSourceData!E647</f>
        <v>12351.094149999999</v>
      </c>
      <c r="E363" s="5">
        <f>DNSPOntSourceData!F677</f>
        <v>1.3352608354138498</v>
      </c>
      <c r="F363" s="3">
        <f>DNSPOntSourceData!G677+DNSPOntSourceData!G647</f>
        <v>166.024</v>
      </c>
      <c r="G363" s="3">
        <f t="shared" ref="G363" si="28">MAX(F363,G362)</f>
        <v>203.11799999999999</v>
      </c>
      <c r="H363" s="3">
        <f>DNSPOntSourceData!I677+DNSPOntSourceData!I647</f>
        <v>43931</v>
      </c>
      <c r="I363" s="3">
        <f>DNSPOntSourceData!J677+DNSPOntSourceData!J647</f>
        <v>1028</v>
      </c>
      <c r="J363" s="3">
        <f>DNSPOntSourceData!K677+DNSPOntSourceData!K647</f>
        <v>559</v>
      </c>
      <c r="K363" s="12">
        <f t="shared" ref="K363" si="29">J363/I363</f>
        <v>0.54377431906614782</v>
      </c>
      <c r="L363" s="20" t="s">
        <v>65</v>
      </c>
    </row>
    <row r="364" spans="1:12">
      <c r="A364">
        <v>3027</v>
      </c>
      <c r="B364">
        <v>2005</v>
      </c>
      <c r="C364">
        <v>3</v>
      </c>
      <c r="D364" s="3">
        <f>DNSPOntSourceData!E873</f>
        <v>6720.7463900000002</v>
      </c>
      <c r="E364" s="5">
        <f>DNSPOntSourceData!F873</f>
        <v>1</v>
      </c>
      <c r="F364" s="3">
        <f>DNSPOntSourceData!G873</f>
        <v>156.33600000000001</v>
      </c>
      <c r="G364" s="3">
        <f>DNSPOntSourceData!H873</f>
        <v>156.33600000000001</v>
      </c>
      <c r="H364" s="3">
        <f>DNSPOntSourceData!I873</f>
        <v>32497</v>
      </c>
      <c r="I364" s="3">
        <f>DNSPOntSourceData!J873</f>
        <v>715</v>
      </c>
      <c r="J364" s="3">
        <f>DNSPOntSourceData!K873</f>
        <v>111.00000000000001</v>
      </c>
      <c r="K364" s="12">
        <f>DNSPOntSourceData!L873</f>
        <v>0.15524475524475526</v>
      </c>
      <c r="L364" s="20" t="s">
        <v>79</v>
      </c>
    </row>
    <row r="365" spans="1:12">
      <c r="A365">
        <v>3027</v>
      </c>
      <c r="B365" s="2">
        <v>2006</v>
      </c>
      <c r="C365">
        <v>3</v>
      </c>
      <c r="D365" s="3">
        <f>DNSPOntSourceData!E874</f>
        <v>6531.643680000001</v>
      </c>
      <c r="E365" s="5">
        <f>DNSPOntSourceData!F874</f>
        <v>1.0181607380073696</v>
      </c>
      <c r="F365" s="3">
        <f>DNSPOntSourceData!G874</f>
        <v>137.316</v>
      </c>
      <c r="G365" s="3">
        <f>DNSPOntSourceData!H874</f>
        <v>156.33600000000001</v>
      </c>
      <c r="H365" s="3">
        <f>DNSPOntSourceData!I874</f>
        <v>32438</v>
      </c>
      <c r="I365" s="3">
        <f>DNSPOntSourceData!J874</f>
        <v>722</v>
      </c>
      <c r="J365" s="3">
        <f>DNSPOntSourceData!K874</f>
        <v>111.99999999999999</v>
      </c>
      <c r="K365" s="12">
        <f>DNSPOntSourceData!L874</f>
        <v>0.15512465373961218</v>
      </c>
      <c r="L365" s="20" t="s">
        <v>79</v>
      </c>
    </row>
    <row r="366" spans="1:12">
      <c r="A366">
        <v>3027</v>
      </c>
      <c r="B366">
        <v>2007</v>
      </c>
      <c r="C366">
        <v>3</v>
      </c>
      <c r="D366" s="3">
        <f>DNSPOntSourceData!E875</f>
        <v>7270.4590099999996</v>
      </c>
      <c r="E366" s="5">
        <f>DNSPOntSourceData!F875</f>
        <v>1.0531931014872313</v>
      </c>
      <c r="F366" s="3">
        <f>DNSPOntSourceData!G875</f>
        <v>139.708</v>
      </c>
      <c r="G366" s="3">
        <f>DNSPOntSourceData!H875</f>
        <v>156.33600000000001</v>
      </c>
      <c r="H366" s="3">
        <f>DNSPOntSourceData!I875</f>
        <v>32512</v>
      </c>
      <c r="I366" s="3">
        <f>DNSPOntSourceData!J875</f>
        <v>725</v>
      </c>
      <c r="J366" s="3">
        <f>DNSPOntSourceData!K875</f>
        <v>114</v>
      </c>
      <c r="K366" s="12">
        <f>DNSPOntSourceData!L875</f>
        <v>0.15724137931034482</v>
      </c>
      <c r="L366" s="20" t="s">
        <v>79</v>
      </c>
    </row>
    <row r="367" spans="1:12">
      <c r="A367">
        <v>3027</v>
      </c>
      <c r="B367" s="2">
        <v>2008</v>
      </c>
      <c r="C367">
        <v>3</v>
      </c>
      <c r="D367" s="3">
        <f>DNSPOntSourceData!E876</f>
        <v>6969.509</v>
      </c>
      <c r="E367" s="5">
        <f>DNSPOntSourceData!F876</f>
        <v>1.078564603993923</v>
      </c>
      <c r="F367" s="3">
        <f>DNSPOntSourceData!G876</f>
        <v>139.124</v>
      </c>
      <c r="G367" s="3">
        <f>DNSPOntSourceData!H876</f>
        <v>156.33600000000001</v>
      </c>
      <c r="H367" s="3">
        <f>DNSPOntSourceData!I876</f>
        <v>32734</v>
      </c>
      <c r="I367" s="3">
        <f>DNSPOntSourceData!J876</f>
        <v>728</v>
      </c>
      <c r="J367" s="3">
        <f>DNSPOntSourceData!K876</f>
        <v>115.99999999999999</v>
      </c>
      <c r="K367" s="12">
        <f>DNSPOntSourceData!L876</f>
        <v>0.15934065934065933</v>
      </c>
      <c r="L367" s="20" t="s">
        <v>79</v>
      </c>
    </row>
    <row r="368" spans="1:12">
      <c r="A368">
        <v>3027</v>
      </c>
      <c r="B368">
        <v>2009</v>
      </c>
      <c r="C368">
        <v>3</v>
      </c>
      <c r="D368" s="3">
        <f>DNSPOntSourceData!E877</f>
        <v>7679.5353600000017</v>
      </c>
      <c r="E368" s="5">
        <f>DNSPOntSourceData!F877</f>
        <v>1.0915070880241431</v>
      </c>
      <c r="F368" s="3">
        <f>DNSPOntSourceData!G877</f>
        <v>147.108</v>
      </c>
      <c r="G368" s="3">
        <f>DNSPOntSourceData!H877</f>
        <v>156.33600000000001</v>
      </c>
      <c r="H368" s="3">
        <f>DNSPOntSourceData!I877</f>
        <v>32808</v>
      </c>
      <c r="I368" s="3">
        <f>DNSPOntSourceData!J877</f>
        <v>732</v>
      </c>
      <c r="J368" s="3">
        <f>DNSPOntSourceData!K877</f>
        <v>116</v>
      </c>
      <c r="K368" s="12">
        <f>DNSPOntSourceData!L877</f>
        <v>0.15846994535519127</v>
      </c>
      <c r="L368" s="20" t="s">
        <v>79</v>
      </c>
    </row>
    <row r="369" spans="1:12">
      <c r="A369">
        <v>3027</v>
      </c>
      <c r="B369" s="2">
        <v>2010</v>
      </c>
      <c r="C369">
        <v>3</v>
      </c>
      <c r="D369" s="3">
        <f>DNSPOntSourceData!E878</f>
        <v>8099.3462799999998</v>
      </c>
      <c r="E369" s="5">
        <f>DNSPOntSourceData!F878</f>
        <v>1.1243125351578573</v>
      </c>
      <c r="F369" s="3">
        <f>DNSPOntSourceData!G878</f>
        <v>141.244</v>
      </c>
      <c r="G369" s="3">
        <f>DNSPOntSourceData!H878</f>
        <v>156.33600000000001</v>
      </c>
      <c r="H369" s="3">
        <f>DNSPOntSourceData!I878</f>
        <v>32870</v>
      </c>
      <c r="I369" s="3">
        <f>DNSPOntSourceData!J878</f>
        <v>733</v>
      </c>
      <c r="J369" s="3">
        <f>DNSPOntSourceData!K878</f>
        <v>116.99999999999999</v>
      </c>
      <c r="K369" s="12">
        <f>DNSPOntSourceData!L878</f>
        <v>0.15961800818553887</v>
      </c>
      <c r="L369" s="20" t="s">
        <v>79</v>
      </c>
    </row>
    <row r="370" spans="1:12">
      <c r="A370">
        <v>3027</v>
      </c>
      <c r="B370">
        <v>2011</v>
      </c>
      <c r="C370">
        <v>3</v>
      </c>
      <c r="D370" s="3">
        <f>DNSPOntSourceData!E879</f>
        <v>8408.5120000000006</v>
      </c>
      <c r="E370" s="5">
        <f>DNSPOntSourceData!F879</f>
        <v>1.1430978626415853</v>
      </c>
      <c r="F370" s="3">
        <f>DNSPOntSourceData!G879</f>
        <v>149.857</v>
      </c>
      <c r="G370" s="3">
        <f>DNSPOntSourceData!H879</f>
        <v>156.33600000000001</v>
      </c>
      <c r="H370" s="3">
        <f>DNSPOntSourceData!I879</f>
        <v>32998</v>
      </c>
      <c r="I370" s="3">
        <f>DNSPOntSourceData!J879</f>
        <v>737</v>
      </c>
      <c r="J370" s="3">
        <f>DNSPOntSourceData!K879</f>
        <v>120</v>
      </c>
      <c r="K370" s="12">
        <f>DNSPOntSourceData!L879</f>
        <v>0.16282225237449119</v>
      </c>
      <c r="L370" s="20" t="s">
        <v>79</v>
      </c>
    </row>
    <row r="371" spans="1:12">
      <c r="A371">
        <v>3027</v>
      </c>
      <c r="B371" s="2">
        <v>2012</v>
      </c>
      <c r="C371">
        <v>3</v>
      </c>
      <c r="D371" s="3">
        <f>DNSPOntSourceData!E880</f>
        <v>9300.3177226000025</v>
      </c>
      <c r="E371" s="5">
        <f>DNSPOntSourceData!F880</f>
        <v>1.160126854517312</v>
      </c>
      <c r="F371" s="3">
        <f>DNSPOntSourceData!G880</f>
        <v>132.09</v>
      </c>
      <c r="G371" s="3">
        <f>DNSPOntSourceData!H880</f>
        <v>156.33600000000001</v>
      </c>
      <c r="H371" s="3">
        <f>DNSPOntSourceData!I880</f>
        <v>33058</v>
      </c>
      <c r="I371" s="3">
        <f>DNSPOntSourceData!J880</f>
        <v>739</v>
      </c>
      <c r="J371" s="3">
        <f>DNSPOntSourceData!K880</f>
        <v>120</v>
      </c>
      <c r="K371" s="12">
        <f>DNSPOntSourceData!L880</f>
        <v>0.16238159675236807</v>
      </c>
      <c r="L371" s="20" t="s">
        <v>79</v>
      </c>
    </row>
    <row r="372" spans="1:12">
      <c r="A372">
        <v>3027</v>
      </c>
      <c r="B372">
        <v>2013</v>
      </c>
      <c r="C372">
        <v>3</v>
      </c>
      <c r="D372" s="3">
        <f>DNSPOntSourceData!E881</f>
        <v>11448.896359999999</v>
      </c>
      <c r="E372" s="5">
        <f>DNSPOntSourceData!F881</f>
        <v>1.178602141578931</v>
      </c>
      <c r="F372" s="3">
        <f>DNSPOntSourceData!G881</f>
        <v>139.36099999999999</v>
      </c>
      <c r="G372" s="3">
        <f>DNSPOntSourceData!H881</f>
        <v>156.33600000000001</v>
      </c>
      <c r="H372" s="3">
        <f>DNSPOntSourceData!I881</f>
        <v>33367</v>
      </c>
      <c r="I372" s="3">
        <f>DNSPOntSourceData!J881</f>
        <v>741</v>
      </c>
      <c r="J372" s="3">
        <f>DNSPOntSourceData!K881</f>
        <v>120.99999999999999</v>
      </c>
      <c r="K372" s="12">
        <f>DNSPOntSourceData!L881</f>
        <v>0.16329284750337381</v>
      </c>
      <c r="L372" s="20" t="s">
        <v>79</v>
      </c>
    </row>
    <row r="373" spans="1:12">
      <c r="A373">
        <v>3027</v>
      </c>
      <c r="B373" s="2">
        <v>2014</v>
      </c>
      <c r="C373">
        <v>3</v>
      </c>
      <c r="D373" s="3">
        <f>DNSPOntSourceData!E882</f>
        <v>10634.034</v>
      </c>
      <c r="E373" s="5">
        <f>DNSPOntSourceData!F882</f>
        <v>1.2030671041042156</v>
      </c>
      <c r="F373" s="3">
        <f>DNSPOntSourceData!G882</f>
        <v>143.172</v>
      </c>
      <c r="G373" s="3">
        <f>DNSPOntSourceData!H882</f>
        <v>156.33600000000001</v>
      </c>
      <c r="H373" s="3">
        <f>DNSPOntSourceData!I882</f>
        <v>33487</v>
      </c>
      <c r="I373" s="3">
        <f>DNSPOntSourceData!J882</f>
        <v>744</v>
      </c>
      <c r="J373" s="3">
        <f>DNSPOntSourceData!K882</f>
        <v>122</v>
      </c>
      <c r="K373" s="12">
        <f>DNSPOntSourceData!L882</f>
        <v>0.16397849462365591</v>
      </c>
      <c r="L373" s="20" t="s">
        <v>79</v>
      </c>
    </row>
    <row r="374" spans="1:12">
      <c r="A374">
        <v>3027</v>
      </c>
      <c r="B374">
        <v>2015</v>
      </c>
      <c r="C374">
        <v>3</v>
      </c>
      <c r="D374" s="3">
        <f>DNSPOntSourceData!E883</f>
        <v>10829.422</v>
      </c>
      <c r="E374" s="5">
        <f>DNSPOntSourceData!F883</f>
        <v>1.2312762402864634</v>
      </c>
      <c r="F374" s="3">
        <f>DNSPOntSourceData!G883</f>
        <v>138.33600000000001</v>
      </c>
      <c r="G374" s="3">
        <f>DNSPOntSourceData!H883</f>
        <v>156.33600000000001</v>
      </c>
      <c r="H374" s="3">
        <f>DNSPOntSourceData!I883</f>
        <v>33386</v>
      </c>
      <c r="I374" s="3">
        <f>DNSPOntSourceData!J883</f>
        <v>744</v>
      </c>
      <c r="J374" s="3">
        <f>DNSPOntSourceData!K883</f>
        <v>122</v>
      </c>
      <c r="K374" s="12">
        <f>DNSPOntSourceData!L883</f>
        <v>0.16397849462365591</v>
      </c>
      <c r="L374" s="20" t="s">
        <v>79</v>
      </c>
    </row>
    <row r="375" spans="1:12">
      <c r="A375">
        <v>3027</v>
      </c>
      <c r="B375" s="2">
        <v>2016</v>
      </c>
      <c r="C375">
        <v>3</v>
      </c>
      <c r="D375" s="3">
        <f>DNSPOntSourceData!E884</f>
        <v>10775.065450000002</v>
      </c>
      <c r="E375" s="5">
        <f>DNSPOntSourceData!F884</f>
        <v>1.2455044937824149</v>
      </c>
      <c r="F375" s="3">
        <f>DNSPOntSourceData!G884</f>
        <v>125.30500000000001</v>
      </c>
      <c r="G375" s="3">
        <f>DNSPOntSourceData!H884</f>
        <v>156.33600000000001</v>
      </c>
      <c r="H375" s="3">
        <f>DNSPOntSourceData!I884</f>
        <v>33487</v>
      </c>
      <c r="I375" s="3">
        <f>DNSPOntSourceData!J884</f>
        <v>743</v>
      </c>
      <c r="J375" s="3">
        <f>DNSPOntSourceData!K884</f>
        <v>122</v>
      </c>
      <c r="K375" s="12">
        <f>DNSPOntSourceData!L884</f>
        <v>0.16419919246298789</v>
      </c>
      <c r="L375" s="20" t="s">
        <v>79</v>
      </c>
    </row>
    <row r="376" spans="1:12">
      <c r="A376">
        <v>3027</v>
      </c>
      <c r="B376">
        <v>2017</v>
      </c>
      <c r="C376">
        <v>3</v>
      </c>
      <c r="D376" s="3">
        <f>DNSPOntSourceData!E885</f>
        <v>10685.84814</v>
      </c>
      <c r="E376" s="5">
        <f>DNSPOntSourceData!F885</f>
        <v>1.2674505553724562</v>
      </c>
      <c r="F376" s="3">
        <f>DNSPOntSourceData!G885</f>
        <v>125.68300000000001</v>
      </c>
      <c r="G376" s="3">
        <f>DNSPOntSourceData!H885</f>
        <v>156.33600000000001</v>
      </c>
      <c r="H376" s="3">
        <f>DNSPOntSourceData!I885</f>
        <v>33579</v>
      </c>
      <c r="I376" s="3">
        <f>DNSPOntSourceData!J885</f>
        <v>740</v>
      </c>
      <c r="J376" s="3">
        <f>DNSPOntSourceData!K885</f>
        <v>123</v>
      </c>
      <c r="K376" s="12">
        <f>DNSPOntSourceData!L885</f>
        <v>0.16621621621621621</v>
      </c>
      <c r="L376" s="20" t="s">
        <v>79</v>
      </c>
    </row>
    <row r="377" spans="1:12">
      <c r="A377">
        <v>3027</v>
      </c>
      <c r="B377" s="2">
        <v>2018</v>
      </c>
      <c r="C377">
        <v>3</v>
      </c>
      <c r="D377" s="3">
        <f>DNSPOntSourceData!E886</f>
        <v>10701.654550000001</v>
      </c>
      <c r="E377" s="5">
        <f>DNSPOntSourceData!F886</f>
        <v>1.2994718602728874</v>
      </c>
      <c r="F377" s="3">
        <f>DNSPOntSourceData!G886</f>
        <v>128.53800000000001</v>
      </c>
      <c r="G377" s="3">
        <f>DNSPOntSourceData!H886</f>
        <v>156.33600000000001</v>
      </c>
      <c r="H377" s="3">
        <f>DNSPOntSourceData!I886</f>
        <v>33613</v>
      </c>
      <c r="I377" s="3">
        <f>DNSPOntSourceData!J886</f>
        <v>740</v>
      </c>
      <c r="J377" s="3">
        <f>DNSPOntSourceData!K886</f>
        <v>122</v>
      </c>
      <c r="K377" s="12">
        <f>DNSPOntSourceData!L886</f>
        <v>0.16486486486486487</v>
      </c>
      <c r="L377" s="20" t="s">
        <v>79</v>
      </c>
    </row>
    <row r="378" spans="1:12">
      <c r="A378" s="142">
        <v>3027</v>
      </c>
      <c r="B378" s="142">
        <v>2019</v>
      </c>
      <c r="C378" s="142">
        <v>3</v>
      </c>
      <c r="D378" s="3">
        <f>DNSPOntSourceData!E887</f>
        <v>10740.394319999998</v>
      </c>
      <c r="E378" s="5">
        <f>DNSPOntSourceData!F887</f>
        <v>1.3352608354138498</v>
      </c>
      <c r="F378" s="3">
        <f>DNSPOntSourceData!G887</f>
        <v>132.81800000000001</v>
      </c>
      <c r="G378" s="3">
        <f>DNSPOntSourceData!H887</f>
        <v>156.33600000000001</v>
      </c>
      <c r="H378" s="3">
        <f>DNSPOntSourceData!I887</f>
        <v>33647</v>
      </c>
      <c r="I378" s="3">
        <f>DNSPOntSourceData!J887</f>
        <v>738</v>
      </c>
      <c r="J378" s="3">
        <f>DNSPOntSourceData!K887</f>
        <v>122</v>
      </c>
      <c r="K378" s="12">
        <f>DNSPOntSourceData!L887</f>
        <v>0.16531165311653118</v>
      </c>
      <c r="L378" s="20" t="s">
        <v>79</v>
      </c>
    </row>
    <row r="379" spans="1:12">
      <c r="A379">
        <v>3028</v>
      </c>
      <c r="B379">
        <v>2005</v>
      </c>
      <c r="C379">
        <v>3</v>
      </c>
      <c r="D379" s="3">
        <f>DNSPOntSourceData!E648</f>
        <v>3997.4092900000001</v>
      </c>
      <c r="E379" s="5">
        <f>DNSPOntSourceData!F648</f>
        <v>1</v>
      </c>
      <c r="F379" s="3">
        <f>DNSPOntSourceData!G648</f>
        <v>120.578</v>
      </c>
      <c r="G379" s="3">
        <f>DNSPOntSourceData!H648</f>
        <v>120.578</v>
      </c>
      <c r="H379" s="3">
        <f>DNSPOntSourceData!I648</f>
        <v>19858</v>
      </c>
      <c r="I379" s="3">
        <f>DNSPOntSourceData!J648</f>
        <v>788</v>
      </c>
      <c r="J379" s="3">
        <f>DNSPOntSourceData!K648</f>
        <v>241</v>
      </c>
      <c r="K379" s="12">
        <f>DNSPOntSourceData!L648</f>
        <v>0.30583756345177665</v>
      </c>
      <c r="L379" s="20" t="s">
        <v>64</v>
      </c>
    </row>
    <row r="380" spans="1:12">
      <c r="A380">
        <v>3028</v>
      </c>
      <c r="B380" s="2">
        <v>2006</v>
      </c>
      <c r="C380">
        <v>3</v>
      </c>
      <c r="D380" s="3">
        <f>DNSPOntSourceData!E649</f>
        <v>4029.1800600000001</v>
      </c>
      <c r="E380" s="5">
        <f>DNSPOntSourceData!F649</f>
        <v>1.0181607380073696</v>
      </c>
      <c r="F380" s="3">
        <f>DNSPOntSourceData!G649</f>
        <v>126.855</v>
      </c>
      <c r="G380" s="3">
        <f>DNSPOntSourceData!H649</f>
        <v>126.855</v>
      </c>
      <c r="H380" s="3">
        <f>DNSPOntSourceData!I649</f>
        <v>20975</v>
      </c>
      <c r="I380" s="3">
        <f>DNSPOntSourceData!J649</f>
        <v>792</v>
      </c>
      <c r="J380" s="3">
        <f>DNSPOntSourceData!K649</f>
        <v>261</v>
      </c>
      <c r="K380" s="12">
        <f>DNSPOntSourceData!L649</f>
        <v>0.32954545454545453</v>
      </c>
      <c r="L380" s="20" t="s">
        <v>64</v>
      </c>
    </row>
    <row r="381" spans="1:12">
      <c r="A381">
        <v>3028</v>
      </c>
      <c r="B381">
        <v>2007</v>
      </c>
      <c r="C381">
        <v>3</v>
      </c>
      <c r="D381" s="3">
        <f>DNSPOntSourceData!E650</f>
        <v>4428.9872300000006</v>
      </c>
      <c r="E381" s="5">
        <f>DNSPOntSourceData!F650</f>
        <v>1.0531931014872313</v>
      </c>
      <c r="F381" s="3">
        <f>DNSPOntSourceData!G650</f>
        <v>130.375</v>
      </c>
      <c r="G381" s="3">
        <f>DNSPOntSourceData!H650</f>
        <v>130.375</v>
      </c>
      <c r="H381" s="3">
        <f>DNSPOntSourceData!I650</f>
        <v>22811</v>
      </c>
      <c r="I381" s="3">
        <f>DNSPOntSourceData!J650</f>
        <v>833</v>
      </c>
      <c r="J381" s="3">
        <f>DNSPOntSourceData!K650</f>
        <v>293</v>
      </c>
      <c r="K381" s="12">
        <f>DNSPOntSourceData!L650</f>
        <v>0.3517406962785114</v>
      </c>
      <c r="L381" s="20" t="s">
        <v>64</v>
      </c>
    </row>
    <row r="382" spans="1:12">
      <c r="A382">
        <v>3028</v>
      </c>
      <c r="B382" s="2">
        <v>2008</v>
      </c>
      <c r="C382">
        <v>3</v>
      </c>
      <c r="D382" s="3">
        <f>DNSPOntSourceData!E651</f>
        <v>4971.4858500000009</v>
      </c>
      <c r="E382" s="5">
        <f>DNSPOntSourceData!F651</f>
        <v>1.078564603993923</v>
      </c>
      <c r="F382" s="3">
        <f>DNSPOntSourceData!G651</f>
        <v>125.846</v>
      </c>
      <c r="G382" s="3">
        <f>DNSPOntSourceData!H651</f>
        <v>130.375</v>
      </c>
      <c r="H382" s="3">
        <f>DNSPOntSourceData!I651</f>
        <v>25373</v>
      </c>
      <c r="I382" s="3">
        <f>DNSPOntSourceData!J651</f>
        <v>866</v>
      </c>
      <c r="J382" s="3">
        <f>DNSPOntSourceData!K651</f>
        <v>320</v>
      </c>
      <c r="K382" s="12">
        <f>DNSPOntSourceData!L651</f>
        <v>0.36951501154734412</v>
      </c>
      <c r="L382" s="20" t="s">
        <v>64</v>
      </c>
    </row>
    <row r="383" spans="1:12">
      <c r="A383">
        <v>3028</v>
      </c>
      <c r="B383">
        <v>2009</v>
      </c>
      <c r="C383">
        <v>3</v>
      </c>
      <c r="D383" s="3">
        <f>DNSPOntSourceData!E652</f>
        <v>5286.4349499999998</v>
      </c>
      <c r="E383" s="5">
        <f>DNSPOntSourceData!F652</f>
        <v>1.0915070880241431</v>
      </c>
      <c r="F383" s="3">
        <f>DNSPOntSourceData!G652</f>
        <v>134.672</v>
      </c>
      <c r="G383" s="3">
        <f>DNSPOntSourceData!H652</f>
        <v>134.672</v>
      </c>
      <c r="H383" s="3">
        <f>DNSPOntSourceData!I652</f>
        <v>27323</v>
      </c>
      <c r="I383" s="3">
        <f>DNSPOntSourceData!J652</f>
        <v>866</v>
      </c>
      <c r="J383" s="3">
        <f>DNSPOntSourceData!K652</f>
        <v>320</v>
      </c>
      <c r="K383" s="12">
        <f>DNSPOntSourceData!L652</f>
        <v>0.36951501154734412</v>
      </c>
      <c r="L383" s="20" t="s">
        <v>64</v>
      </c>
    </row>
    <row r="384" spans="1:12">
      <c r="A384">
        <v>3028</v>
      </c>
      <c r="B384" s="2">
        <v>2010</v>
      </c>
      <c r="C384">
        <v>3</v>
      </c>
      <c r="D384" s="3">
        <f>DNSPOntSourceData!E653</f>
        <v>5445.1430944726535</v>
      </c>
      <c r="E384" s="5">
        <f>DNSPOntSourceData!F653</f>
        <v>1.1243125351578573</v>
      </c>
      <c r="F384" s="3">
        <f>DNSPOntSourceData!G653</f>
        <v>147.30699999999999</v>
      </c>
      <c r="G384" s="3">
        <f>DNSPOntSourceData!H653</f>
        <v>147.30699999999999</v>
      </c>
      <c r="H384" s="3">
        <f>DNSPOntSourceData!I653</f>
        <v>29142</v>
      </c>
      <c r="I384" s="3">
        <f>DNSPOntSourceData!J653</f>
        <v>938</v>
      </c>
      <c r="J384" s="3">
        <f>DNSPOntSourceData!K653</f>
        <v>362</v>
      </c>
      <c r="K384" s="12">
        <f>DNSPOntSourceData!L653</f>
        <v>0.38592750533049042</v>
      </c>
      <c r="L384" s="20" t="s">
        <v>64</v>
      </c>
    </row>
    <row r="385" spans="1:12">
      <c r="A385">
        <v>3028</v>
      </c>
      <c r="B385">
        <v>2011</v>
      </c>
      <c r="C385">
        <v>3</v>
      </c>
      <c r="D385" s="3">
        <f>DNSPOntSourceData!E654</f>
        <v>6368.5330000000004</v>
      </c>
      <c r="E385" s="5">
        <f>DNSPOntSourceData!F654</f>
        <v>1.1430978626415853</v>
      </c>
      <c r="F385" s="3">
        <f>DNSPOntSourceData!G654</f>
        <v>161.63499999999999</v>
      </c>
      <c r="G385" s="3">
        <f>DNSPOntSourceData!H654</f>
        <v>161.63499999999999</v>
      </c>
      <c r="H385" s="3">
        <f>DNSPOntSourceData!I654</f>
        <v>30485</v>
      </c>
      <c r="I385" s="3">
        <f>DNSPOntSourceData!J654</f>
        <v>950</v>
      </c>
      <c r="J385" s="3">
        <f>DNSPOntSourceData!K654</f>
        <v>383</v>
      </c>
      <c r="K385" s="12">
        <f>DNSPOntSourceData!L654</f>
        <v>0.4031578947368421</v>
      </c>
      <c r="L385" s="20" t="s">
        <v>64</v>
      </c>
    </row>
    <row r="386" spans="1:12">
      <c r="A386">
        <v>3028</v>
      </c>
      <c r="B386" s="2">
        <v>2012</v>
      </c>
      <c r="C386">
        <v>3</v>
      </c>
      <c r="D386" s="3">
        <f>DNSPOntSourceData!E655</f>
        <v>6718.6369999999997</v>
      </c>
      <c r="E386" s="5">
        <f>DNSPOntSourceData!F655</f>
        <v>1.160126854517312</v>
      </c>
      <c r="F386" s="3">
        <f>DNSPOntSourceData!G655</f>
        <v>166.57900000000001</v>
      </c>
      <c r="G386" s="3">
        <f>DNSPOntSourceData!H655</f>
        <v>166.57900000000001</v>
      </c>
      <c r="H386" s="3">
        <f>DNSPOntSourceData!I655</f>
        <v>32324</v>
      </c>
      <c r="I386" s="3">
        <f>DNSPOntSourceData!J655</f>
        <v>983</v>
      </c>
      <c r="J386" s="3">
        <f>DNSPOntSourceData!K655</f>
        <v>399</v>
      </c>
      <c r="K386" s="12">
        <f>DNSPOntSourceData!L655</f>
        <v>0.40590030518819942</v>
      </c>
      <c r="L386" s="20" t="s">
        <v>64</v>
      </c>
    </row>
    <row r="387" spans="1:12">
      <c r="A387">
        <v>3028</v>
      </c>
      <c r="B387">
        <v>2013</v>
      </c>
      <c r="C387">
        <v>3</v>
      </c>
      <c r="D387" s="3">
        <f>DNSPOntSourceData!E656</f>
        <v>8382.1659999999993</v>
      </c>
      <c r="E387" s="5">
        <f>DNSPOntSourceData!F656</f>
        <v>1.178602141578931</v>
      </c>
      <c r="F387" s="3">
        <f>DNSPOntSourceData!G656</f>
        <v>173.828</v>
      </c>
      <c r="G387" s="3">
        <f>DNSPOntSourceData!H656</f>
        <v>173.828</v>
      </c>
      <c r="H387" s="3">
        <f>DNSPOntSourceData!I656</f>
        <v>34073</v>
      </c>
      <c r="I387" s="3">
        <f>DNSPOntSourceData!J656</f>
        <v>994</v>
      </c>
      <c r="J387" s="3">
        <f>DNSPOntSourceData!K656</f>
        <v>412</v>
      </c>
      <c r="K387" s="12">
        <f>DNSPOntSourceData!L656</f>
        <v>0.41448692152917505</v>
      </c>
      <c r="L387" s="20" t="s">
        <v>64</v>
      </c>
    </row>
    <row r="388" spans="1:12">
      <c r="A388">
        <v>3028</v>
      </c>
      <c r="B388" s="2">
        <v>2014</v>
      </c>
      <c r="C388">
        <v>3</v>
      </c>
      <c r="D388" s="3">
        <f>DNSPOntSourceData!E657</f>
        <v>8489.86</v>
      </c>
      <c r="E388" s="5">
        <f>DNSPOntSourceData!F657</f>
        <v>1.2030671041042156</v>
      </c>
      <c r="F388" s="3">
        <f>DNSPOntSourceData!G657</f>
        <v>157.63399999999999</v>
      </c>
      <c r="G388" s="3">
        <f>DNSPOntSourceData!H657</f>
        <v>173.828</v>
      </c>
      <c r="H388" s="3">
        <f>DNSPOntSourceData!I657</f>
        <v>35111</v>
      </c>
      <c r="I388" s="3">
        <f>DNSPOntSourceData!J657</f>
        <v>1009</v>
      </c>
      <c r="J388" s="3">
        <f>DNSPOntSourceData!K657</f>
        <v>422</v>
      </c>
      <c r="K388" s="12">
        <f>DNSPOntSourceData!L657</f>
        <v>0.41823587710604559</v>
      </c>
      <c r="L388" s="20" t="s">
        <v>64</v>
      </c>
    </row>
    <row r="389" spans="1:12">
      <c r="A389">
        <v>3028</v>
      </c>
      <c r="B389">
        <v>2015</v>
      </c>
      <c r="C389">
        <v>3</v>
      </c>
      <c r="D389" s="3">
        <f>DNSPOntSourceData!E658</f>
        <v>9832.6730000000007</v>
      </c>
      <c r="E389" s="5">
        <f>DNSPOntSourceData!F658</f>
        <v>1.2312762402864634</v>
      </c>
      <c r="F389" s="3">
        <f>DNSPOntSourceData!G658</f>
        <v>166.33099999999999</v>
      </c>
      <c r="G389" s="3">
        <f>DNSPOntSourceData!H658</f>
        <v>173.828</v>
      </c>
      <c r="H389" s="3">
        <f>DNSPOntSourceData!I658</f>
        <v>35865</v>
      </c>
      <c r="I389" s="3">
        <f>DNSPOntSourceData!J658</f>
        <v>1021</v>
      </c>
      <c r="J389" s="3">
        <f>DNSPOntSourceData!K658</f>
        <v>433</v>
      </c>
      <c r="K389" s="12">
        <f>DNSPOntSourceData!L658</f>
        <v>0.42409402546523017</v>
      </c>
      <c r="L389" s="20" t="s">
        <v>64</v>
      </c>
    </row>
    <row r="390" spans="1:12">
      <c r="A390">
        <v>3028</v>
      </c>
      <c r="B390" s="2">
        <v>2016</v>
      </c>
      <c r="C390">
        <v>3</v>
      </c>
      <c r="D390" s="3">
        <f>DNSPOntSourceData!E659</f>
        <v>9598.0869999999995</v>
      </c>
      <c r="E390" s="5">
        <f>DNSPOntSourceData!F659</f>
        <v>1.2455044937824149</v>
      </c>
      <c r="F390" s="3">
        <f>DNSPOntSourceData!G659</f>
        <v>178.292</v>
      </c>
      <c r="G390" s="3">
        <f>DNSPOntSourceData!H659</f>
        <v>178.292</v>
      </c>
      <c r="H390" s="3">
        <f>DNSPOntSourceData!I659</f>
        <v>36818</v>
      </c>
      <c r="I390" s="94">
        <f>I389*I389/I388</f>
        <v>1033.1427155599604</v>
      </c>
      <c r="J390" s="94">
        <f>J389*J389/J388</f>
        <v>444.28672985781992</v>
      </c>
      <c r="K390" s="95">
        <f>J390/I390</f>
        <v>0.43003422776592659</v>
      </c>
      <c r="L390" s="20" t="s">
        <v>64</v>
      </c>
    </row>
    <row r="391" spans="1:12">
      <c r="A391">
        <v>3028</v>
      </c>
      <c r="B391">
        <v>2017</v>
      </c>
      <c r="C391">
        <v>3</v>
      </c>
      <c r="D391" s="3">
        <f>DNSPOntSourceData!E660</f>
        <v>8862.1859999999997</v>
      </c>
      <c r="E391" s="5">
        <f>DNSPOntSourceData!F660</f>
        <v>1.2674505553724562</v>
      </c>
      <c r="F391" s="3">
        <f>DNSPOntSourceData!G660</f>
        <v>162.86500000000001</v>
      </c>
      <c r="G391" s="3">
        <f>DNSPOntSourceData!H660</f>
        <v>178.292</v>
      </c>
      <c r="H391" s="3">
        <f>DNSPOntSourceData!I660</f>
        <v>37895</v>
      </c>
      <c r="I391" s="94">
        <f>I390*DNSPOntSourceData!J660/DNSPOntSourceData!J659</f>
        <v>1055.7515440364582</v>
      </c>
      <c r="J391" s="94">
        <f>J390*DNSPOntSourceData!K660/DNSPOntSourceData!K659</f>
        <v>457.77970067072994</v>
      </c>
      <c r="K391" s="95">
        <f>J391/I391</f>
        <v>0.43360552324697471</v>
      </c>
      <c r="L391" s="20" t="s">
        <v>64</v>
      </c>
    </row>
    <row r="392" spans="1:12">
      <c r="A392">
        <v>3028</v>
      </c>
      <c r="B392" s="2">
        <v>2018</v>
      </c>
      <c r="C392">
        <v>3</v>
      </c>
      <c r="D392" s="3">
        <f>DNSPOntSourceData!E661</f>
        <v>9389.991</v>
      </c>
      <c r="E392" s="5">
        <f>DNSPOntSourceData!F661</f>
        <v>1.2994718602728874</v>
      </c>
      <c r="F392" s="3">
        <f>DNSPOntSourceData!G661</f>
        <v>180.30500000000001</v>
      </c>
      <c r="G392" s="3">
        <f>DNSPOntSourceData!H661</f>
        <v>180.30500000000001</v>
      </c>
      <c r="H392" s="3">
        <f>DNSPOntSourceData!I661</f>
        <v>39579</v>
      </c>
      <c r="I392" s="94">
        <f>I391*DNSPOntSourceData!J661/DNSPOntSourceData!J660</f>
        <v>1070.2857909142069</v>
      </c>
      <c r="J392" s="94">
        <f>J391*DNSPOntSourceData!K661/DNSPOntSourceData!K660</f>
        <v>469.80071103132252</v>
      </c>
      <c r="K392" s="95">
        <f>J392/I392</f>
        <v>0.43894884433627063</v>
      </c>
      <c r="L392" s="20" t="s">
        <v>64</v>
      </c>
    </row>
    <row r="393" spans="1:12">
      <c r="A393" s="142">
        <v>3028</v>
      </c>
      <c r="B393" s="142">
        <v>2019</v>
      </c>
      <c r="C393" s="142">
        <v>3</v>
      </c>
      <c r="D393" s="3">
        <f>DNSPOntSourceData!E662</f>
        <v>9936.4140000000007</v>
      </c>
      <c r="E393" s="5">
        <f>DNSPOntSourceData!F662</f>
        <v>1.3352608354138498</v>
      </c>
      <c r="F393" s="3">
        <f>DNSPOntSourceData!G662</f>
        <v>169.70400000000001</v>
      </c>
      <c r="G393" s="3">
        <f>DNSPOntSourceData!H662</f>
        <v>180.30500000000001</v>
      </c>
      <c r="H393" s="3">
        <f>DNSPOntSourceData!I662</f>
        <v>40388</v>
      </c>
      <c r="I393" s="94">
        <f>I392*DNSPOntSourceData!J662/DNSPOntSourceData!J661</f>
        <v>1099.3542846697039</v>
      </c>
      <c r="J393" s="94">
        <f>J392*DNSPOntSourceData!K662/DNSPOntSourceData!K661</f>
        <v>479.36845397138603</v>
      </c>
      <c r="K393" s="95">
        <f>J393/I393</f>
        <v>0.43604546837729397</v>
      </c>
      <c r="L393" s="20" t="s">
        <v>64</v>
      </c>
    </row>
    <row r="394" spans="1:12">
      <c r="A394">
        <v>3029</v>
      </c>
      <c r="B394">
        <v>2005</v>
      </c>
      <c r="C394">
        <v>3</v>
      </c>
      <c r="D394" s="3">
        <f>DNSPOntSourceData!E123</f>
        <v>8964.7221099999988</v>
      </c>
      <c r="E394" s="5">
        <f>DNSPOntSourceData!F123</f>
        <v>1</v>
      </c>
      <c r="F394" s="3">
        <f>DNSPOntSourceData!G123</f>
        <v>115.3</v>
      </c>
      <c r="G394" s="3">
        <f>DNSPOntSourceData!H123</f>
        <v>115.3</v>
      </c>
      <c r="H394" s="3">
        <f>DNSPOntSourceData!I123</f>
        <v>27902</v>
      </c>
      <c r="I394" s="3">
        <f>DNSPOntSourceData!J123</f>
        <v>976</v>
      </c>
      <c r="J394" s="3">
        <f>DNSPOntSourceData!K123</f>
        <v>33</v>
      </c>
      <c r="K394" s="12">
        <f>DNSPOntSourceData!L123</f>
        <v>3.3811475409836068E-2</v>
      </c>
      <c r="L394" s="20" t="s">
        <v>32</v>
      </c>
    </row>
    <row r="395" spans="1:12">
      <c r="A395">
        <v>3029</v>
      </c>
      <c r="B395" s="2">
        <v>2006</v>
      </c>
      <c r="C395">
        <v>3</v>
      </c>
      <c r="D395" s="3">
        <f>DNSPOntSourceData!E124</f>
        <v>9847.9484600000014</v>
      </c>
      <c r="E395" s="5">
        <f>DNSPOntSourceData!F124</f>
        <v>1.0181607380073696</v>
      </c>
      <c r="F395" s="3">
        <f>DNSPOntSourceData!G124</f>
        <v>116.94799999999999</v>
      </c>
      <c r="G395" s="3">
        <f>DNSPOntSourceData!H124</f>
        <v>116.94799999999999</v>
      </c>
      <c r="H395" s="3">
        <f>DNSPOntSourceData!I124</f>
        <v>28024</v>
      </c>
      <c r="I395" s="3">
        <f>DNSPOntSourceData!J124</f>
        <v>997</v>
      </c>
      <c r="J395" s="3">
        <f>DNSPOntSourceData!K124</f>
        <v>49</v>
      </c>
      <c r="K395" s="12">
        <f>DNSPOntSourceData!L124</f>
        <v>4.9147442326980942E-2</v>
      </c>
      <c r="L395" s="20" t="s">
        <v>32</v>
      </c>
    </row>
    <row r="396" spans="1:12">
      <c r="A396">
        <v>3029</v>
      </c>
      <c r="B396">
        <v>2007</v>
      </c>
      <c r="C396">
        <v>3</v>
      </c>
      <c r="D396" s="3">
        <f>DNSPOntSourceData!E125</f>
        <v>10429.196250000001</v>
      </c>
      <c r="E396" s="5">
        <f>DNSPOntSourceData!F125</f>
        <v>1.0531931014872313</v>
      </c>
      <c r="F396" s="3">
        <f>DNSPOntSourceData!G125</f>
        <v>109.596</v>
      </c>
      <c r="G396" s="3">
        <f>DNSPOntSourceData!H125</f>
        <v>116.94799999999999</v>
      </c>
      <c r="H396" s="3">
        <f>DNSPOntSourceData!I125</f>
        <v>28205</v>
      </c>
      <c r="I396" s="3">
        <f>DNSPOntSourceData!J125</f>
        <v>1031</v>
      </c>
      <c r="J396" s="3">
        <f>DNSPOntSourceData!K125</f>
        <v>80</v>
      </c>
      <c r="K396" s="12">
        <f>DNSPOntSourceData!L125</f>
        <v>7.7594568380213391E-2</v>
      </c>
      <c r="L396" s="20" t="s">
        <v>32</v>
      </c>
    </row>
    <row r="397" spans="1:12">
      <c r="A397">
        <v>3029</v>
      </c>
      <c r="B397" s="2">
        <v>2008</v>
      </c>
      <c r="C397">
        <v>3</v>
      </c>
      <c r="D397" s="3">
        <f>DNSPOntSourceData!E126</f>
        <v>9089.4626899999985</v>
      </c>
      <c r="E397" s="5">
        <f>DNSPOntSourceData!F126</f>
        <v>1.078564603993923</v>
      </c>
      <c r="F397" s="3">
        <f>DNSPOntSourceData!G126</f>
        <v>107.227</v>
      </c>
      <c r="G397" s="3">
        <f>DNSPOntSourceData!H126</f>
        <v>116.94799999999999</v>
      </c>
      <c r="H397" s="3">
        <f>DNSPOntSourceData!I126</f>
        <v>28388</v>
      </c>
      <c r="I397" s="3">
        <f>DNSPOntSourceData!J126</f>
        <v>1012</v>
      </c>
      <c r="J397" s="3">
        <f>DNSPOntSourceData!K126</f>
        <v>66</v>
      </c>
      <c r="K397" s="12">
        <f>DNSPOntSourceData!L126</f>
        <v>6.5217391304347824E-2</v>
      </c>
      <c r="L397" s="20" t="s">
        <v>32</v>
      </c>
    </row>
    <row r="398" spans="1:12">
      <c r="A398">
        <v>3029</v>
      </c>
      <c r="B398">
        <v>2009</v>
      </c>
      <c r="C398">
        <v>3</v>
      </c>
      <c r="D398" s="3">
        <f>DNSPOntSourceData!E127</f>
        <v>8029.8341999999993</v>
      </c>
      <c r="E398" s="5">
        <f>DNSPOntSourceData!F127</f>
        <v>1.0915070880241431</v>
      </c>
      <c r="F398" s="3">
        <f>DNSPOntSourceData!G127</f>
        <v>107.124</v>
      </c>
      <c r="G398" s="3">
        <f>DNSPOntSourceData!H127</f>
        <v>116.94799999999999</v>
      </c>
      <c r="H398" s="3">
        <f>DNSPOntSourceData!I127</f>
        <v>28291</v>
      </c>
      <c r="I398" s="3">
        <f>DNSPOntSourceData!J127</f>
        <v>1012</v>
      </c>
      <c r="J398" s="3">
        <f>DNSPOntSourceData!K127</f>
        <v>69</v>
      </c>
      <c r="K398" s="12">
        <f>DNSPOntSourceData!L127</f>
        <v>6.8181818181818177E-2</v>
      </c>
      <c r="L398" s="20" t="s">
        <v>32</v>
      </c>
    </row>
    <row r="399" spans="1:12">
      <c r="A399">
        <v>3029</v>
      </c>
      <c r="B399" s="2">
        <v>2010</v>
      </c>
      <c r="C399">
        <v>3</v>
      </c>
      <c r="D399" s="3">
        <f>DNSPOntSourceData!E128</f>
        <v>8766.2753200000006</v>
      </c>
      <c r="E399" s="5">
        <f>DNSPOntSourceData!F128</f>
        <v>1.1243125351578573</v>
      </c>
      <c r="F399" s="3">
        <f>DNSPOntSourceData!G128</f>
        <v>115.7</v>
      </c>
      <c r="G399" s="3">
        <f>DNSPOntSourceData!H128</f>
        <v>116.94799999999999</v>
      </c>
      <c r="H399" s="3">
        <f>DNSPOntSourceData!I128</f>
        <v>28365</v>
      </c>
      <c r="I399" s="3">
        <f>DNSPOntSourceData!J128</f>
        <v>1019</v>
      </c>
      <c r="J399" s="3">
        <f>DNSPOntSourceData!K128</f>
        <v>72</v>
      </c>
      <c r="K399" s="12">
        <f>DNSPOntSourceData!L128</f>
        <v>7.0657507360157024E-2</v>
      </c>
      <c r="L399" s="20" t="s">
        <v>32</v>
      </c>
    </row>
    <row r="400" spans="1:12">
      <c r="A400">
        <v>3029</v>
      </c>
      <c r="B400">
        <v>2011</v>
      </c>
      <c r="C400">
        <v>3</v>
      </c>
      <c r="D400" s="3">
        <f>DNSPOntSourceData!E129</f>
        <v>8827.1528600000001</v>
      </c>
      <c r="E400" s="5">
        <f>DNSPOntSourceData!F129</f>
        <v>1.1430978626415853</v>
      </c>
      <c r="F400" s="3">
        <f>DNSPOntSourceData!G129</f>
        <v>109.934</v>
      </c>
      <c r="G400" s="3">
        <f>DNSPOntSourceData!H129</f>
        <v>116.94799999999999</v>
      </c>
      <c r="H400" s="3">
        <f>DNSPOntSourceData!I129</f>
        <v>28397</v>
      </c>
      <c r="I400" s="3">
        <f>DNSPOntSourceData!J129</f>
        <v>1022</v>
      </c>
      <c r="J400" s="3">
        <f>DNSPOntSourceData!K129</f>
        <v>71</v>
      </c>
      <c r="K400" s="12">
        <f>DNSPOntSourceData!L129</f>
        <v>6.947162426614481E-2</v>
      </c>
      <c r="L400" s="20" t="s">
        <v>32</v>
      </c>
    </row>
    <row r="401" spans="1:12">
      <c r="A401">
        <v>3029</v>
      </c>
      <c r="B401" s="2">
        <v>2012</v>
      </c>
      <c r="C401">
        <v>3</v>
      </c>
      <c r="D401" s="3">
        <f>DNSPOntSourceData!E130</f>
        <v>7763.1922100000002</v>
      </c>
      <c r="E401" s="5">
        <f>DNSPOntSourceData!F130</f>
        <v>1.160126854517312</v>
      </c>
      <c r="F401" s="3">
        <f>DNSPOntSourceData!G130</f>
        <v>109.45099999999999</v>
      </c>
      <c r="G401" s="3">
        <f>DNSPOntSourceData!H130</f>
        <v>116.94799999999999</v>
      </c>
      <c r="H401" s="3">
        <f>DNSPOntSourceData!I130</f>
        <v>28429.036100828482</v>
      </c>
      <c r="I401" s="3">
        <f>DNSPOntSourceData!J130</f>
        <v>1027</v>
      </c>
      <c r="J401" s="3">
        <f>DNSPOntSourceData!K130</f>
        <v>73</v>
      </c>
      <c r="K401" s="12">
        <f>DNSPOntSourceData!L130</f>
        <v>7.108081791626096E-2</v>
      </c>
      <c r="L401" s="20" t="s">
        <v>32</v>
      </c>
    </row>
    <row r="402" spans="1:12">
      <c r="A402">
        <v>3029</v>
      </c>
      <c r="B402">
        <v>2013</v>
      </c>
      <c r="C402">
        <v>3</v>
      </c>
      <c r="D402" s="3">
        <f>DNSPOntSourceData!E131</f>
        <v>8474.6860300000008</v>
      </c>
      <c r="E402" s="5">
        <f>DNSPOntSourceData!F131</f>
        <v>1.178602141578931</v>
      </c>
      <c r="F402" s="3">
        <f>DNSPOntSourceData!G131</f>
        <v>107.389</v>
      </c>
      <c r="G402" s="3">
        <f>DNSPOntSourceData!H131</f>
        <v>116.94799999999999</v>
      </c>
      <c r="H402" s="3">
        <f>DNSPOntSourceData!I131</f>
        <v>28584</v>
      </c>
      <c r="I402" s="3">
        <f>DNSPOntSourceData!J131</f>
        <v>1023</v>
      </c>
      <c r="J402" s="3">
        <f>DNSPOntSourceData!K131</f>
        <v>72</v>
      </c>
      <c r="K402" s="12">
        <f>DNSPOntSourceData!L131</f>
        <v>7.0381231671554259E-2</v>
      </c>
      <c r="L402" s="20" t="s">
        <v>32</v>
      </c>
    </row>
    <row r="403" spans="1:12">
      <c r="A403">
        <v>3029</v>
      </c>
      <c r="B403" s="2">
        <v>2014</v>
      </c>
      <c r="C403">
        <v>3</v>
      </c>
      <c r="D403" s="3">
        <f>DNSPOntSourceData!E132</f>
        <v>9120.4709999999995</v>
      </c>
      <c r="E403" s="5">
        <f>DNSPOntSourceData!F132</f>
        <v>1.2030671041042156</v>
      </c>
      <c r="F403" s="3">
        <f>DNSPOntSourceData!G132</f>
        <v>98.855999999999995</v>
      </c>
      <c r="G403" s="3">
        <f>DNSPOntSourceData!H132</f>
        <v>116.94799999999999</v>
      </c>
      <c r="H403" s="3">
        <f>DNSPOntSourceData!I132</f>
        <v>28627</v>
      </c>
      <c r="I403" s="3">
        <f>DNSPOntSourceData!J132</f>
        <v>1011</v>
      </c>
      <c r="J403" s="3">
        <f>DNSPOntSourceData!K132</f>
        <v>76</v>
      </c>
      <c r="K403" s="12">
        <f>DNSPOntSourceData!L132</f>
        <v>7.5173095944609303E-2</v>
      </c>
      <c r="L403" s="20" t="s">
        <v>32</v>
      </c>
    </row>
    <row r="404" spans="1:12">
      <c r="A404">
        <v>3029</v>
      </c>
      <c r="B404">
        <v>2015</v>
      </c>
      <c r="C404">
        <v>3</v>
      </c>
      <c r="D404" s="3">
        <f>DNSPOntSourceData!E133</f>
        <v>9169.7749999999996</v>
      </c>
      <c r="E404" s="5">
        <f>DNSPOntSourceData!F133</f>
        <v>1.2312762402864634</v>
      </c>
      <c r="F404" s="3">
        <f>DNSPOntSourceData!G133</f>
        <v>94.32</v>
      </c>
      <c r="G404" s="3">
        <f>DNSPOntSourceData!H133</f>
        <v>116.94799999999999</v>
      </c>
      <c r="H404" s="3">
        <f>DNSPOntSourceData!I133</f>
        <v>28713</v>
      </c>
      <c r="I404" s="3">
        <f>DNSPOntSourceData!J133</f>
        <v>1028</v>
      </c>
      <c r="J404" s="3">
        <f>DNSPOntSourceData!K133</f>
        <v>81</v>
      </c>
      <c r="K404" s="12">
        <f>DNSPOntSourceData!L133</f>
        <v>7.8793774319066145E-2</v>
      </c>
      <c r="L404" s="20" t="s">
        <v>32</v>
      </c>
    </row>
    <row r="405" spans="1:12">
      <c r="A405">
        <v>3029</v>
      </c>
      <c r="B405" s="2">
        <v>2016</v>
      </c>
      <c r="C405">
        <v>3</v>
      </c>
      <c r="D405" s="3">
        <f>DNSPOntSourceData!E134</f>
        <v>9308.9364199999982</v>
      </c>
      <c r="E405" s="5">
        <f>DNSPOntSourceData!F134</f>
        <v>1.2455044937824149</v>
      </c>
      <c r="F405" s="3">
        <f>DNSPOntSourceData!G134</f>
        <v>101.753</v>
      </c>
      <c r="G405" s="3">
        <f>DNSPOntSourceData!H134</f>
        <v>116.94799999999999</v>
      </c>
      <c r="H405" s="3">
        <f>DNSPOntSourceData!I134</f>
        <v>28808</v>
      </c>
      <c r="I405" s="3">
        <f>DNSPOntSourceData!J134</f>
        <v>1025</v>
      </c>
      <c r="J405" s="3">
        <f>DNSPOntSourceData!K134</f>
        <v>84</v>
      </c>
      <c r="K405" s="12">
        <f>DNSPOntSourceData!L134</f>
        <v>8.1951219512195125E-2</v>
      </c>
      <c r="L405" s="20" t="s">
        <v>32</v>
      </c>
    </row>
    <row r="406" spans="1:12">
      <c r="A406">
        <v>3029</v>
      </c>
      <c r="B406">
        <v>2017</v>
      </c>
      <c r="C406">
        <v>3</v>
      </c>
      <c r="D406" s="3">
        <f>DNSPOntSourceData!E135</f>
        <v>8980.0249199999998</v>
      </c>
      <c r="E406" s="5">
        <f>DNSPOntSourceData!F135</f>
        <v>1.2674505553724562</v>
      </c>
      <c r="F406" s="3">
        <f>DNSPOntSourceData!G135</f>
        <v>88.875</v>
      </c>
      <c r="G406" s="3">
        <f>DNSPOntSourceData!H135</f>
        <v>116.94799999999999</v>
      </c>
      <c r="H406" s="3">
        <f>DNSPOntSourceData!I135</f>
        <v>29057</v>
      </c>
      <c r="I406" s="3">
        <f>DNSPOntSourceData!J135</f>
        <v>1027</v>
      </c>
      <c r="J406" s="3">
        <f>DNSPOntSourceData!K135</f>
        <v>85</v>
      </c>
      <c r="K406" s="12">
        <f>DNSPOntSourceData!L135</f>
        <v>8.2765335929892894E-2</v>
      </c>
      <c r="L406" s="20" t="s">
        <v>32</v>
      </c>
    </row>
    <row r="407" spans="1:12">
      <c r="A407">
        <v>3029</v>
      </c>
      <c r="B407" s="2">
        <v>2018</v>
      </c>
      <c r="C407">
        <v>3</v>
      </c>
      <c r="D407" s="3">
        <f>DNSPOntSourceData!E136</f>
        <v>10228.80791</v>
      </c>
      <c r="E407" s="5">
        <f>DNSPOntSourceData!F136</f>
        <v>1.2994718602728874</v>
      </c>
      <c r="F407" s="3">
        <f>DNSPOntSourceData!G136</f>
        <v>98.015000000000001</v>
      </c>
      <c r="G407" s="3">
        <f>DNSPOntSourceData!H136</f>
        <v>116.94799999999999</v>
      </c>
      <c r="H407" s="3">
        <f>DNSPOntSourceData!I136</f>
        <v>29246</v>
      </c>
      <c r="I407" s="3">
        <f>DNSPOntSourceData!J136</f>
        <v>1038</v>
      </c>
      <c r="J407" s="3">
        <f>DNSPOntSourceData!K136</f>
        <v>92</v>
      </c>
      <c r="K407" s="12">
        <f>DNSPOntSourceData!L136</f>
        <v>8.8631984585741813E-2</v>
      </c>
      <c r="L407" s="20" t="s">
        <v>32</v>
      </c>
    </row>
    <row r="408" spans="1:12">
      <c r="A408" s="142">
        <v>3029</v>
      </c>
      <c r="B408" s="142">
        <v>2019</v>
      </c>
      <c r="C408" s="142">
        <v>3</v>
      </c>
      <c r="D408" s="3">
        <f>DNSPOntSourceData!E137</f>
        <v>10005.215690000001</v>
      </c>
      <c r="E408" s="5">
        <f>DNSPOntSourceData!F137</f>
        <v>1.3352608354138498</v>
      </c>
      <c r="F408" s="3">
        <f>DNSPOntSourceData!G137</f>
        <v>92.986999999999995</v>
      </c>
      <c r="G408" s="3">
        <f>DNSPOntSourceData!H137</f>
        <v>116.94799999999999</v>
      </c>
      <c r="H408" s="3">
        <f>DNSPOntSourceData!I137</f>
        <v>29456</v>
      </c>
      <c r="I408" s="3">
        <f>DNSPOntSourceData!J137</f>
        <v>1038</v>
      </c>
      <c r="J408" s="3">
        <f>DNSPOntSourceData!K137</f>
        <v>101</v>
      </c>
      <c r="K408" s="12">
        <f>DNSPOntSourceData!L137</f>
        <v>9.7302504816955682E-2</v>
      </c>
      <c r="L408" s="20" t="s">
        <v>32</v>
      </c>
    </row>
    <row r="409" spans="1:12">
      <c r="A409">
        <v>3030</v>
      </c>
      <c r="B409">
        <v>2005</v>
      </c>
      <c r="C409">
        <v>3</v>
      </c>
      <c r="D409" s="3">
        <f>DNSPOntSourceData!E303</f>
        <v>6312.4875199999997</v>
      </c>
      <c r="E409" s="5">
        <f>DNSPOntSourceData!F303</f>
        <v>1</v>
      </c>
      <c r="F409" s="3">
        <f>DNSPOntSourceData!G303</f>
        <v>138.84200000000001</v>
      </c>
      <c r="G409" s="3">
        <f>DNSPOntSourceData!H303</f>
        <v>138.84200000000001</v>
      </c>
      <c r="H409" s="3">
        <f>DNSPOntSourceData!I303</f>
        <v>27437</v>
      </c>
      <c r="I409" s="3">
        <f>DNSPOntSourceData!J303</f>
        <v>458</v>
      </c>
      <c r="J409" s="3">
        <f>DNSPOntSourceData!K303</f>
        <v>225</v>
      </c>
      <c r="K409" s="12">
        <f>DNSPOntSourceData!L303</f>
        <v>0.49126637554585151</v>
      </c>
      <c r="L409" s="20" t="s">
        <v>41</v>
      </c>
    </row>
    <row r="410" spans="1:12">
      <c r="A410">
        <v>3030</v>
      </c>
      <c r="B410" s="2">
        <v>2006</v>
      </c>
      <c r="C410">
        <v>3</v>
      </c>
      <c r="D410" s="3">
        <f>DNSPOntSourceData!E304</f>
        <v>5913.5433100000009</v>
      </c>
      <c r="E410" s="5">
        <f>DNSPOntSourceData!F304</f>
        <v>1.0181607380073696</v>
      </c>
      <c r="F410" s="3">
        <f>DNSPOntSourceData!G304</f>
        <v>142.30000000000001</v>
      </c>
      <c r="G410" s="3">
        <f>DNSPOntSourceData!H304</f>
        <v>142.30000000000001</v>
      </c>
      <c r="H410" s="3">
        <f>DNSPOntSourceData!I304</f>
        <v>27636</v>
      </c>
      <c r="I410" s="3">
        <f>DNSPOntSourceData!J304</f>
        <v>462</v>
      </c>
      <c r="J410" s="3">
        <f>DNSPOntSourceData!K304</f>
        <v>229</v>
      </c>
      <c r="K410" s="12">
        <f>DNSPOntSourceData!L304</f>
        <v>0.49567099567099565</v>
      </c>
      <c r="L410" s="20" t="s">
        <v>41</v>
      </c>
    </row>
    <row r="411" spans="1:12">
      <c r="A411">
        <v>3030</v>
      </c>
      <c r="B411">
        <v>2007</v>
      </c>
      <c r="C411">
        <v>3</v>
      </c>
      <c r="D411" s="3">
        <f>DNSPOntSourceData!E305</f>
        <v>5567.9847500000005</v>
      </c>
      <c r="E411" s="5">
        <f>DNSPOntSourceData!F305</f>
        <v>1.0531931014872313</v>
      </c>
      <c r="F411" s="3">
        <f>DNSPOntSourceData!G305</f>
        <v>142.30000000000001</v>
      </c>
      <c r="G411" s="3">
        <f>DNSPOntSourceData!H305</f>
        <v>142.30000000000001</v>
      </c>
      <c r="H411" s="3">
        <f>DNSPOntSourceData!I305</f>
        <v>27789</v>
      </c>
      <c r="I411" s="3">
        <f>DNSPOntSourceData!J305</f>
        <v>469</v>
      </c>
      <c r="J411" s="3">
        <f>DNSPOntSourceData!K305</f>
        <v>236</v>
      </c>
      <c r="K411" s="12">
        <f>DNSPOntSourceData!L305</f>
        <v>0.50319829424307039</v>
      </c>
      <c r="L411" s="20" t="s">
        <v>41</v>
      </c>
    </row>
    <row r="412" spans="1:12">
      <c r="A412">
        <v>3030</v>
      </c>
      <c r="B412" s="2">
        <v>2008</v>
      </c>
      <c r="C412">
        <v>3</v>
      </c>
      <c r="D412" s="3">
        <f>DNSPOntSourceData!E306</f>
        <v>5190.3169799999996</v>
      </c>
      <c r="E412" s="5">
        <f>DNSPOntSourceData!F306</f>
        <v>1.078564603993923</v>
      </c>
      <c r="F412" s="3">
        <f>DNSPOntSourceData!G306</f>
        <v>137.328</v>
      </c>
      <c r="G412" s="3">
        <f>DNSPOntSourceData!H306</f>
        <v>142.30000000000001</v>
      </c>
      <c r="H412" s="3">
        <f>DNSPOntSourceData!I306</f>
        <v>27929</v>
      </c>
      <c r="I412" s="3">
        <f>DNSPOntSourceData!J306</f>
        <v>467</v>
      </c>
      <c r="J412" s="3">
        <f>DNSPOntSourceData!K306</f>
        <v>240</v>
      </c>
      <c r="K412" s="12">
        <f>DNSPOntSourceData!L306</f>
        <v>0.51391862955032119</v>
      </c>
      <c r="L412" s="20" t="s">
        <v>41</v>
      </c>
    </row>
    <row r="413" spans="1:12">
      <c r="A413">
        <v>3030</v>
      </c>
      <c r="B413">
        <v>2009</v>
      </c>
      <c r="C413">
        <v>3</v>
      </c>
      <c r="D413" s="3">
        <f>DNSPOntSourceData!E307</f>
        <v>5059.6882100000003</v>
      </c>
      <c r="E413" s="5">
        <f>DNSPOntSourceData!F307</f>
        <v>1.0915070880241431</v>
      </c>
      <c r="F413" s="3">
        <f>DNSPOntSourceData!G307</f>
        <v>122.372</v>
      </c>
      <c r="G413" s="3">
        <f>DNSPOntSourceData!H307</f>
        <v>142.30000000000001</v>
      </c>
      <c r="H413" s="3">
        <f>DNSPOntSourceData!I307</f>
        <v>28054</v>
      </c>
      <c r="I413" s="3">
        <f>DNSPOntSourceData!J307</f>
        <v>458</v>
      </c>
      <c r="J413" s="3">
        <f>DNSPOntSourceData!K307</f>
        <v>239.00000000000003</v>
      </c>
      <c r="K413" s="12">
        <f>DNSPOntSourceData!L307</f>
        <v>0.52183406113537123</v>
      </c>
      <c r="L413" s="20" t="s">
        <v>41</v>
      </c>
    </row>
    <row r="414" spans="1:12">
      <c r="A414">
        <v>3030</v>
      </c>
      <c r="B414" s="2">
        <v>2010</v>
      </c>
      <c r="C414">
        <v>3</v>
      </c>
      <c r="D414" s="3">
        <f>DNSPOntSourceData!E308</f>
        <v>5372.8161799999998</v>
      </c>
      <c r="E414" s="5">
        <f>DNSPOntSourceData!F308</f>
        <v>1.1243125351578573</v>
      </c>
      <c r="F414" s="3">
        <f>DNSPOntSourceData!G308</f>
        <v>143.41999999999999</v>
      </c>
      <c r="G414" s="3">
        <f>DNSPOntSourceData!H308</f>
        <v>143.41999999999999</v>
      </c>
      <c r="H414" s="3">
        <f>DNSPOntSourceData!I308</f>
        <v>28183</v>
      </c>
      <c r="I414" s="3">
        <f>DNSPOntSourceData!J308</f>
        <v>476</v>
      </c>
      <c r="J414" s="3">
        <f>DNSPOntSourceData!K308</f>
        <v>259</v>
      </c>
      <c r="K414" s="12">
        <f>DNSPOntSourceData!L308</f>
        <v>0.54411764705882348</v>
      </c>
      <c r="L414" s="20" t="s">
        <v>41</v>
      </c>
    </row>
    <row r="415" spans="1:12">
      <c r="A415">
        <v>3030</v>
      </c>
      <c r="B415">
        <v>2011</v>
      </c>
      <c r="C415">
        <v>3</v>
      </c>
      <c r="D415" s="3">
        <f>DNSPOntSourceData!E309</f>
        <v>5443.5600460022561</v>
      </c>
      <c r="E415" s="5">
        <f>DNSPOntSourceData!F309</f>
        <v>1.1430978626415853</v>
      </c>
      <c r="F415" s="3">
        <f>DNSPOntSourceData!G309</f>
        <v>125.47799999999999</v>
      </c>
      <c r="G415" s="3">
        <f>DNSPOntSourceData!H309</f>
        <v>143.41999999999999</v>
      </c>
      <c r="H415" s="3">
        <f>DNSPOntSourceData!I309</f>
        <v>28094</v>
      </c>
      <c r="I415" s="3">
        <f>DNSPOntSourceData!J309</f>
        <v>465</v>
      </c>
      <c r="J415" s="3">
        <f>DNSPOntSourceData!K309</f>
        <v>254</v>
      </c>
      <c r="K415" s="12">
        <f>DNSPOntSourceData!L309</f>
        <v>0.54623655913978497</v>
      </c>
      <c r="L415" s="20" t="s">
        <v>41</v>
      </c>
    </row>
    <row r="416" spans="1:12">
      <c r="A416">
        <v>3030</v>
      </c>
      <c r="B416" s="2">
        <v>2012</v>
      </c>
      <c r="C416">
        <v>3</v>
      </c>
      <c r="D416" s="3">
        <f>DNSPOntSourceData!E310</f>
        <v>6034.0945385246941</v>
      </c>
      <c r="E416" s="5">
        <f>DNSPOntSourceData!F310</f>
        <v>1.160126854517312</v>
      </c>
      <c r="F416" s="3">
        <f>DNSPOntSourceData!G310</f>
        <v>122.227</v>
      </c>
      <c r="G416" s="3">
        <f>DNSPOntSourceData!H310</f>
        <v>143.41999999999999</v>
      </c>
      <c r="H416" s="3">
        <f>DNSPOntSourceData!I310</f>
        <v>28130</v>
      </c>
      <c r="I416" s="3">
        <f>DNSPOntSourceData!J310</f>
        <v>448</v>
      </c>
      <c r="J416" s="3">
        <f>DNSPOntSourceData!K310</f>
        <v>248</v>
      </c>
      <c r="K416" s="12">
        <f>DNSPOntSourceData!L310</f>
        <v>0.5535714285714286</v>
      </c>
      <c r="L416" s="20" t="s">
        <v>41</v>
      </c>
    </row>
    <row r="417" spans="1:12">
      <c r="A417">
        <v>3030</v>
      </c>
      <c r="B417">
        <v>2013</v>
      </c>
      <c r="C417">
        <v>3</v>
      </c>
      <c r="D417" s="3">
        <f>DNSPOntSourceData!E311</f>
        <v>5885.9952000000012</v>
      </c>
      <c r="E417" s="5">
        <f>DNSPOntSourceData!F311</f>
        <v>1.178602141578931</v>
      </c>
      <c r="F417" s="3">
        <f>DNSPOntSourceData!G311</f>
        <v>133.124</v>
      </c>
      <c r="G417" s="3">
        <f>DNSPOntSourceData!H311</f>
        <v>143.41999999999999</v>
      </c>
      <c r="H417" s="3">
        <f>DNSPOntSourceData!I311</f>
        <v>28400</v>
      </c>
      <c r="I417" s="3">
        <f>DNSPOntSourceData!J311</f>
        <v>467</v>
      </c>
      <c r="J417" s="3">
        <f>DNSPOntSourceData!K311</f>
        <v>272</v>
      </c>
      <c r="K417" s="12">
        <f>DNSPOntSourceData!L311</f>
        <v>0.58244111349036398</v>
      </c>
      <c r="L417" s="20" t="s">
        <v>41</v>
      </c>
    </row>
    <row r="418" spans="1:12">
      <c r="A418">
        <v>3030</v>
      </c>
      <c r="B418" s="2">
        <v>2014</v>
      </c>
      <c r="C418">
        <v>3</v>
      </c>
      <c r="D418" s="3">
        <f>DNSPOntSourceData!E312</f>
        <v>6639.1080000000002</v>
      </c>
      <c r="E418" s="5">
        <f>DNSPOntSourceData!F312</f>
        <v>1.2030671041042156</v>
      </c>
      <c r="F418" s="3">
        <f>DNSPOntSourceData!G312</f>
        <v>122.20099999999999</v>
      </c>
      <c r="G418" s="3">
        <f>DNSPOntSourceData!H312</f>
        <v>143.41999999999999</v>
      </c>
      <c r="H418" s="3">
        <f>DNSPOntSourceData!I312</f>
        <v>28640</v>
      </c>
      <c r="I418" s="3">
        <f>DNSPOntSourceData!J312</f>
        <v>461</v>
      </c>
      <c r="J418" s="3">
        <f>DNSPOntSourceData!K312</f>
        <v>269</v>
      </c>
      <c r="K418" s="12">
        <f>DNSPOntSourceData!L312</f>
        <v>0.58351409978308022</v>
      </c>
      <c r="L418" s="20" t="s">
        <v>41</v>
      </c>
    </row>
    <row r="419" spans="1:12">
      <c r="A419">
        <v>3030</v>
      </c>
      <c r="B419">
        <v>2015</v>
      </c>
      <c r="C419">
        <v>3</v>
      </c>
      <c r="D419" s="3">
        <f>DNSPOntSourceData!E313</f>
        <v>6658.0060000000003</v>
      </c>
      <c r="E419" s="5">
        <f>DNSPOntSourceData!F313</f>
        <v>1.2312762402864634</v>
      </c>
      <c r="F419" s="3">
        <f>DNSPOntSourceData!G313</f>
        <v>109.044</v>
      </c>
      <c r="G419" s="3">
        <f>DNSPOntSourceData!H313</f>
        <v>143.41999999999999</v>
      </c>
      <c r="H419" s="3">
        <f>DNSPOntSourceData!I313</f>
        <v>28892</v>
      </c>
      <c r="I419" s="3">
        <f>DNSPOntSourceData!J313</f>
        <v>448</v>
      </c>
      <c r="J419" s="3">
        <f>DNSPOntSourceData!K313</f>
        <v>260</v>
      </c>
      <c r="K419" s="12">
        <f>DNSPOntSourceData!L313</f>
        <v>0.5803571428571429</v>
      </c>
      <c r="L419" s="20" t="s">
        <v>41</v>
      </c>
    </row>
    <row r="420" spans="1:12">
      <c r="A420">
        <v>3030</v>
      </c>
      <c r="B420" s="2">
        <v>2016</v>
      </c>
      <c r="C420">
        <v>3</v>
      </c>
      <c r="D420" s="3">
        <f>DNSPOntSourceData!E314</f>
        <v>6535.0755533999982</v>
      </c>
      <c r="E420" s="5">
        <f>DNSPOntSourceData!F314</f>
        <v>1.2455044937824149</v>
      </c>
      <c r="F420" s="3">
        <f>DNSPOntSourceData!G314</f>
        <v>119.44799999999999</v>
      </c>
      <c r="G420" s="3">
        <f>DNSPOntSourceData!H314</f>
        <v>143.41999999999999</v>
      </c>
      <c r="H420" s="3">
        <f>DNSPOntSourceData!I314</f>
        <v>29327</v>
      </c>
      <c r="I420" s="3">
        <f>DNSPOntSourceData!J314</f>
        <v>449</v>
      </c>
      <c r="J420" s="3">
        <f>DNSPOntSourceData!K314</f>
        <v>263</v>
      </c>
      <c r="K420" s="12">
        <f>DNSPOntSourceData!L314</f>
        <v>0.58574610244988867</v>
      </c>
      <c r="L420" s="20" t="s">
        <v>41</v>
      </c>
    </row>
    <row r="421" spans="1:12">
      <c r="A421">
        <v>3030</v>
      </c>
      <c r="B421">
        <v>2017</v>
      </c>
      <c r="C421">
        <v>3</v>
      </c>
      <c r="D421" s="3">
        <f>DNSPOntSourceData!E315</f>
        <v>6904.0379000000003</v>
      </c>
      <c r="E421" s="5">
        <f>DNSPOntSourceData!F315</f>
        <v>1.2674505553724562</v>
      </c>
      <c r="F421" s="3">
        <f>DNSPOntSourceData!G315</f>
        <v>109.252</v>
      </c>
      <c r="G421" s="3">
        <f>DNSPOntSourceData!H315</f>
        <v>143.41999999999999</v>
      </c>
      <c r="H421" s="3">
        <f>DNSPOntSourceData!I315</f>
        <v>29756</v>
      </c>
      <c r="I421" s="3">
        <f>DNSPOntSourceData!J315</f>
        <v>455</v>
      </c>
      <c r="J421" s="3">
        <f>DNSPOntSourceData!K315</f>
        <v>265</v>
      </c>
      <c r="K421" s="12">
        <f>DNSPOntSourceData!L315</f>
        <v>0.58241758241758246</v>
      </c>
      <c r="L421" s="20" t="s">
        <v>41</v>
      </c>
    </row>
    <row r="422" spans="1:12">
      <c r="A422">
        <v>3030</v>
      </c>
      <c r="B422" s="2">
        <v>2018</v>
      </c>
      <c r="C422">
        <v>3</v>
      </c>
      <c r="D422" s="3">
        <f>DNSPOntSourceData!E316</f>
        <v>7545.3894199999986</v>
      </c>
      <c r="E422" s="5">
        <f>DNSPOntSourceData!F316</f>
        <v>1.2994718602728874</v>
      </c>
      <c r="F422" s="3">
        <f>DNSPOntSourceData!G316</f>
        <v>126.059</v>
      </c>
      <c r="G422" s="3">
        <f>DNSPOntSourceData!H316</f>
        <v>143.41999999999999</v>
      </c>
      <c r="H422" s="3">
        <f>DNSPOntSourceData!I316</f>
        <v>30016</v>
      </c>
      <c r="I422" s="3">
        <f>DNSPOntSourceData!J316</f>
        <v>457</v>
      </c>
      <c r="J422" s="3">
        <f>DNSPOntSourceData!K316</f>
        <v>269</v>
      </c>
      <c r="K422" s="12">
        <f>DNSPOntSourceData!L316</f>
        <v>0.5886214442013129</v>
      </c>
      <c r="L422" s="20" t="s">
        <v>41</v>
      </c>
    </row>
    <row r="423" spans="1:12">
      <c r="A423" s="142">
        <v>3030</v>
      </c>
      <c r="B423" s="142">
        <v>2019</v>
      </c>
      <c r="C423" s="142">
        <v>3</v>
      </c>
      <c r="D423" s="3">
        <f>DNSPOntSourceData!E317</f>
        <v>7356.4129499999999</v>
      </c>
      <c r="E423" s="5">
        <f>DNSPOntSourceData!F317</f>
        <v>1.3352608354138498</v>
      </c>
      <c r="F423" s="3">
        <f>DNSPOntSourceData!G317</f>
        <v>120.116</v>
      </c>
      <c r="G423" s="3">
        <f>DNSPOntSourceData!H317</f>
        <v>143.41999999999999</v>
      </c>
      <c r="H423" s="3">
        <f>DNSPOntSourceData!I317</f>
        <v>30397</v>
      </c>
      <c r="I423" s="3">
        <f>DNSPOntSourceData!J317</f>
        <v>456</v>
      </c>
      <c r="J423" s="3">
        <f>DNSPOntSourceData!K317</f>
        <v>273</v>
      </c>
      <c r="K423" s="12">
        <f>DNSPOntSourceData!L317</f>
        <v>0.59868421052631582</v>
      </c>
      <c r="L423" s="20" t="s">
        <v>41</v>
      </c>
    </row>
    <row r="424" spans="1:12">
      <c r="A424">
        <v>3031</v>
      </c>
      <c r="B424">
        <v>2005</v>
      </c>
      <c r="C424">
        <v>3</v>
      </c>
      <c r="D424" s="3">
        <f>DNSPOntSourceData!E558</f>
        <v>5008.9539999999997</v>
      </c>
      <c r="E424" s="5">
        <f>DNSPOntSourceData!F558</f>
        <v>1</v>
      </c>
      <c r="F424" s="3">
        <f>DNSPOntSourceData!G558</f>
        <v>143.124</v>
      </c>
      <c r="G424" s="3">
        <f>DNSPOntSourceData!H558</f>
        <v>143.124</v>
      </c>
      <c r="H424" s="3">
        <f>DNSPOntSourceData!I558</f>
        <v>26265</v>
      </c>
      <c r="I424" s="3">
        <f>DNSPOntSourceData!J558</f>
        <v>348</v>
      </c>
      <c r="J424" s="3">
        <f>DNSPOntSourceData!K558</f>
        <v>106</v>
      </c>
      <c r="K424" s="12">
        <f>DNSPOntSourceData!L558</f>
        <v>0.3045977011494253</v>
      </c>
      <c r="L424" s="20" t="s">
        <v>58</v>
      </c>
    </row>
    <row r="425" spans="1:12">
      <c r="A425">
        <v>3031</v>
      </c>
      <c r="B425" s="2">
        <v>2006</v>
      </c>
      <c r="C425">
        <v>3</v>
      </c>
      <c r="D425" s="3">
        <f>DNSPOntSourceData!E559</f>
        <v>4321.5940000000001</v>
      </c>
      <c r="E425" s="5">
        <f>DNSPOntSourceData!F559</f>
        <v>1.0181607380073696</v>
      </c>
      <c r="F425" s="3">
        <f>DNSPOntSourceData!G559</f>
        <v>125.8</v>
      </c>
      <c r="G425" s="3">
        <f>DNSPOntSourceData!H559</f>
        <v>143.124</v>
      </c>
      <c r="H425" s="3">
        <f>DNSPOntSourceData!I559</f>
        <v>26525</v>
      </c>
      <c r="I425" s="3">
        <f>DNSPOntSourceData!J559</f>
        <v>348</v>
      </c>
      <c r="J425" s="3">
        <f>DNSPOntSourceData!K559</f>
        <v>106</v>
      </c>
      <c r="K425" s="12">
        <f>DNSPOntSourceData!L559</f>
        <v>0.3045977011494253</v>
      </c>
      <c r="L425" s="20" t="s">
        <v>58</v>
      </c>
    </row>
    <row r="426" spans="1:12">
      <c r="A426">
        <v>3031</v>
      </c>
      <c r="B426">
        <v>2007</v>
      </c>
      <c r="C426">
        <v>3</v>
      </c>
      <c r="D426" s="3">
        <f>DNSPOntSourceData!E560</f>
        <v>4432.6481900000008</v>
      </c>
      <c r="E426" s="5">
        <f>DNSPOntSourceData!F560</f>
        <v>1.0531931014872313</v>
      </c>
      <c r="F426" s="3">
        <f>DNSPOntSourceData!G560</f>
        <v>132.34299999999999</v>
      </c>
      <c r="G426" s="3">
        <f>DNSPOntSourceData!H560</f>
        <v>143.124</v>
      </c>
      <c r="H426" s="3">
        <f>DNSPOntSourceData!I560</f>
        <v>26632</v>
      </c>
      <c r="I426" s="3">
        <f>DNSPOntSourceData!J560</f>
        <v>348</v>
      </c>
      <c r="J426" s="3">
        <f>DNSPOntSourceData!K560</f>
        <v>106</v>
      </c>
      <c r="K426" s="12">
        <f>DNSPOntSourceData!L560</f>
        <v>0.3045977011494253</v>
      </c>
      <c r="L426" s="20" t="s">
        <v>58</v>
      </c>
    </row>
    <row r="427" spans="1:12">
      <c r="A427">
        <v>3031</v>
      </c>
      <c r="B427" s="2">
        <v>2008</v>
      </c>
      <c r="C427">
        <v>3</v>
      </c>
      <c r="D427" s="3">
        <f>DNSPOntSourceData!E561</f>
        <v>4990.5206600000001</v>
      </c>
      <c r="E427" s="5">
        <f>DNSPOntSourceData!F561</f>
        <v>1.078564603993923</v>
      </c>
      <c r="F427" s="3">
        <f>DNSPOntSourceData!G561</f>
        <v>126.17400000000001</v>
      </c>
      <c r="G427" s="3">
        <f>DNSPOntSourceData!H561</f>
        <v>143.124</v>
      </c>
      <c r="H427" s="3">
        <f>DNSPOntSourceData!I561</f>
        <v>26940</v>
      </c>
      <c r="I427" s="3">
        <f>DNSPOntSourceData!J561</f>
        <v>386</v>
      </c>
      <c r="J427" s="3">
        <f>DNSPOntSourceData!K561</f>
        <v>134</v>
      </c>
      <c r="K427" s="12">
        <f>DNSPOntSourceData!L561</f>
        <v>0.34715025906735753</v>
      </c>
      <c r="L427" s="20" t="s">
        <v>58</v>
      </c>
    </row>
    <row r="428" spans="1:12">
      <c r="A428">
        <v>3031</v>
      </c>
      <c r="B428">
        <v>2009</v>
      </c>
      <c r="C428">
        <v>3</v>
      </c>
      <c r="D428" s="3">
        <f>DNSPOntSourceData!E562</f>
        <v>5311.35</v>
      </c>
      <c r="E428" s="5">
        <f>DNSPOntSourceData!F562</f>
        <v>1.0915070880241431</v>
      </c>
      <c r="F428" s="3">
        <f>DNSPOntSourceData!G562</f>
        <v>134.41200000000001</v>
      </c>
      <c r="G428" s="3">
        <f>DNSPOntSourceData!H562</f>
        <v>143.124</v>
      </c>
      <c r="H428" s="3">
        <f>DNSPOntSourceData!I562</f>
        <v>26832</v>
      </c>
      <c r="I428" s="3">
        <f>DNSPOntSourceData!J562</f>
        <v>357</v>
      </c>
      <c r="J428" s="3">
        <f>DNSPOntSourceData!K562</f>
        <v>124</v>
      </c>
      <c r="K428" s="12">
        <f>DNSPOntSourceData!L562</f>
        <v>0.34733893557422968</v>
      </c>
      <c r="L428" s="20" t="s">
        <v>58</v>
      </c>
    </row>
    <row r="429" spans="1:12">
      <c r="A429">
        <v>3031</v>
      </c>
      <c r="B429" s="2">
        <v>2010</v>
      </c>
      <c r="C429">
        <v>3</v>
      </c>
      <c r="D429" s="3">
        <f>DNSPOntSourceData!E563</f>
        <v>5645.4269999999997</v>
      </c>
      <c r="E429" s="5">
        <f>DNSPOntSourceData!F563</f>
        <v>1.1243125351578573</v>
      </c>
      <c r="F429" s="3">
        <f>DNSPOntSourceData!G563</f>
        <v>125.098</v>
      </c>
      <c r="G429" s="3">
        <f>DNSPOntSourceData!H563</f>
        <v>143.124</v>
      </c>
      <c r="H429" s="3">
        <f>DNSPOntSourceData!I563</f>
        <v>26944</v>
      </c>
      <c r="I429" s="3">
        <f>DNSPOntSourceData!J563</f>
        <v>361</v>
      </c>
      <c r="J429" s="3">
        <f>DNSPOntSourceData!K563</f>
        <v>128</v>
      </c>
      <c r="K429" s="12">
        <f>DNSPOntSourceData!L563</f>
        <v>0.35457063711911357</v>
      </c>
      <c r="L429" s="20" t="s">
        <v>58</v>
      </c>
    </row>
    <row r="430" spans="1:12">
      <c r="A430">
        <v>3031</v>
      </c>
      <c r="B430">
        <v>2011</v>
      </c>
      <c r="C430">
        <v>3</v>
      </c>
      <c r="D430" s="3">
        <f>DNSPOntSourceData!E564</f>
        <v>5768.5810000000001</v>
      </c>
      <c r="E430" s="5">
        <f>DNSPOntSourceData!F564</f>
        <v>1.1430978626415853</v>
      </c>
      <c r="F430" s="3">
        <f>DNSPOntSourceData!G564</f>
        <v>136.59700000000001</v>
      </c>
      <c r="G430" s="3">
        <f>DNSPOntSourceData!H564</f>
        <v>143.124</v>
      </c>
      <c r="H430" s="3">
        <f>DNSPOntSourceData!I564</f>
        <v>26844</v>
      </c>
      <c r="I430" s="3">
        <f>DNSPOntSourceData!J564</f>
        <v>362</v>
      </c>
      <c r="J430" s="3">
        <f>DNSPOntSourceData!K564</f>
        <v>129</v>
      </c>
      <c r="K430" s="12">
        <f>DNSPOntSourceData!L564</f>
        <v>0.35635359116022097</v>
      </c>
      <c r="L430" s="20" t="s">
        <v>58</v>
      </c>
    </row>
    <row r="431" spans="1:12">
      <c r="A431">
        <v>3031</v>
      </c>
      <c r="B431" s="2">
        <v>2012</v>
      </c>
      <c r="C431">
        <v>3</v>
      </c>
      <c r="D431" s="3">
        <f>DNSPOntSourceData!E565</f>
        <v>5873.2030000000004</v>
      </c>
      <c r="E431" s="5">
        <f>DNSPOntSourceData!F565</f>
        <v>1.160126854517312</v>
      </c>
      <c r="F431" s="3">
        <f>DNSPOntSourceData!G565</f>
        <v>122.717</v>
      </c>
      <c r="G431" s="3">
        <f>DNSPOntSourceData!H565</f>
        <v>143.124</v>
      </c>
      <c r="H431" s="3">
        <f>DNSPOntSourceData!I565</f>
        <v>26775</v>
      </c>
      <c r="I431" s="3">
        <f>DNSPOntSourceData!J565</f>
        <v>361</v>
      </c>
      <c r="J431" s="3">
        <f>DNSPOntSourceData!K565</f>
        <v>129</v>
      </c>
      <c r="K431" s="12">
        <f>DNSPOntSourceData!L565</f>
        <v>0.35734072022160662</v>
      </c>
      <c r="L431" s="20" t="s">
        <v>58</v>
      </c>
    </row>
    <row r="432" spans="1:12">
      <c r="A432">
        <v>3031</v>
      </c>
      <c r="B432">
        <v>2013</v>
      </c>
      <c r="C432">
        <v>3</v>
      </c>
      <c r="D432" s="3">
        <f>DNSPOntSourceData!E566</f>
        <v>6643.2690000000002</v>
      </c>
      <c r="E432" s="5">
        <f>DNSPOntSourceData!F566</f>
        <v>1.178602141578931</v>
      </c>
      <c r="F432" s="3">
        <f>DNSPOntSourceData!G566</f>
        <v>133.035</v>
      </c>
      <c r="G432" s="3">
        <f>DNSPOntSourceData!H566</f>
        <v>143.124</v>
      </c>
      <c r="H432" s="3">
        <f>DNSPOntSourceData!I566</f>
        <v>27098</v>
      </c>
      <c r="I432" s="3">
        <f>DNSPOntSourceData!J566</f>
        <v>362</v>
      </c>
      <c r="J432" s="3">
        <f>DNSPOntSourceData!K566</f>
        <v>129</v>
      </c>
      <c r="K432" s="12">
        <f>DNSPOntSourceData!L566</f>
        <v>0.35635359116022097</v>
      </c>
      <c r="L432" s="20" t="s">
        <v>58</v>
      </c>
    </row>
    <row r="433" spans="1:12">
      <c r="A433">
        <v>3031</v>
      </c>
      <c r="B433" s="2">
        <v>2014</v>
      </c>
      <c r="C433">
        <v>3</v>
      </c>
      <c r="D433" s="3">
        <f>DNSPOntSourceData!E567</f>
        <v>6133.8320000000003</v>
      </c>
      <c r="E433" s="5">
        <f>DNSPOntSourceData!F567</f>
        <v>1.2030671041042156</v>
      </c>
      <c r="F433" s="3">
        <f>DNSPOntSourceData!G567</f>
        <v>134.47300000000001</v>
      </c>
      <c r="G433" s="3">
        <f>DNSPOntSourceData!H567</f>
        <v>143.124</v>
      </c>
      <c r="H433" s="3">
        <f>DNSPOntSourceData!I567</f>
        <v>27356</v>
      </c>
      <c r="I433" s="3">
        <f>DNSPOntSourceData!J567</f>
        <v>357</v>
      </c>
      <c r="J433" s="3">
        <f>DNSPOntSourceData!K567</f>
        <v>127</v>
      </c>
      <c r="K433" s="12">
        <f>DNSPOntSourceData!L567</f>
        <v>0.35574229691876752</v>
      </c>
      <c r="L433" s="20" t="s">
        <v>58</v>
      </c>
    </row>
    <row r="434" spans="1:12">
      <c r="A434">
        <v>3031</v>
      </c>
      <c r="B434">
        <v>2015</v>
      </c>
      <c r="C434">
        <v>3</v>
      </c>
      <c r="D434" s="3">
        <f>DNSPOntSourceData!E568</f>
        <v>6534.223</v>
      </c>
      <c r="E434" s="5">
        <f>DNSPOntSourceData!F568</f>
        <v>1.2312762402864634</v>
      </c>
      <c r="F434" s="3">
        <f>DNSPOntSourceData!G568</f>
        <v>130.791</v>
      </c>
      <c r="G434" s="3">
        <f>DNSPOntSourceData!H568</f>
        <v>143.124</v>
      </c>
      <c r="H434" s="3">
        <f>DNSPOntSourceData!I568</f>
        <v>27467</v>
      </c>
      <c r="I434" s="3">
        <f>DNSPOntSourceData!J568</f>
        <v>356</v>
      </c>
      <c r="J434" s="3">
        <f>DNSPOntSourceData!K568</f>
        <v>125.00000000000001</v>
      </c>
      <c r="K434" s="12">
        <f>DNSPOntSourceData!L568</f>
        <v>0.351123595505618</v>
      </c>
      <c r="L434" s="20" t="s">
        <v>58</v>
      </c>
    </row>
    <row r="435" spans="1:12">
      <c r="A435">
        <v>3031</v>
      </c>
      <c r="B435" s="2">
        <v>2016</v>
      </c>
      <c r="C435">
        <v>3</v>
      </c>
      <c r="D435" s="3">
        <f>DNSPOntSourceData!E569</f>
        <v>6596.7889999999998</v>
      </c>
      <c r="E435" s="5">
        <f>DNSPOntSourceData!F569</f>
        <v>1.2455044937824149</v>
      </c>
      <c r="F435" s="3">
        <f>DNSPOntSourceData!G569</f>
        <v>122.976</v>
      </c>
      <c r="G435" s="3">
        <f>DNSPOntSourceData!H569</f>
        <v>143.124</v>
      </c>
      <c r="H435" s="3">
        <f>DNSPOntSourceData!I569</f>
        <v>27541</v>
      </c>
      <c r="I435" s="3">
        <f>DNSPOntSourceData!J569</f>
        <v>336</v>
      </c>
      <c r="J435" s="3">
        <f>DNSPOntSourceData!K569</f>
        <v>110</v>
      </c>
      <c r="K435" s="12">
        <f>DNSPOntSourceData!L569</f>
        <v>0.32738095238095238</v>
      </c>
      <c r="L435" s="20" t="s">
        <v>58</v>
      </c>
    </row>
    <row r="436" spans="1:12">
      <c r="A436">
        <v>3031</v>
      </c>
      <c r="B436">
        <v>2017</v>
      </c>
      <c r="C436">
        <v>3</v>
      </c>
      <c r="D436" s="3">
        <f>DNSPOntSourceData!E570</f>
        <v>6668.21</v>
      </c>
      <c r="E436" s="5">
        <f>DNSPOntSourceData!F570</f>
        <v>1.2674505553724562</v>
      </c>
      <c r="F436" s="3">
        <f>DNSPOntSourceData!G570</f>
        <v>117.931</v>
      </c>
      <c r="G436" s="3">
        <f>DNSPOntSourceData!H570</f>
        <v>143.124</v>
      </c>
      <c r="H436" s="3">
        <f>DNSPOntSourceData!I570</f>
        <v>27582</v>
      </c>
      <c r="I436" s="3">
        <f>DNSPOntSourceData!J570</f>
        <v>334</v>
      </c>
      <c r="J436" s="3">
        <f>DNSPOntSourceData!K570</f>
        <v>108</v>
      </c>
      <c r="K436" s="12">
        <f>DNSPOntSourceData!L570</f>
        <v>0.32335329341317365</v>
      </c>
      <c r="L436" s="20" t="s">
        <v>58</v>
      </c>
    </row>
    <row r="437" spans="1:12">
      <c r="A437">
        <v>3031</v>
      </c>
      <c r="B437" s="2">
        <v>2018</v>
      </c>
      <c r="C437">
        <v>3</v>
      </c>
      <c r="D437" s="3">
        <f>DNSPOntSourceData!E571</f>
        <v>7381.1549999999997</v>
      </c>
      <c r="E437" s="5">
        <f>DNSPOntSourceData!F571</f>
        <v>1.2994718602728874</v>
      </c>
      <c r="F437" s="3">
        <f>DNSPOntSourceData!G571</f>
        <v>126.565</v>
      </c>
      <c r="G437" s="3">
        <f>DNSPOntSourceData!H571</f>
        <v>143.124</v>
      </c>
      <c r="H437" s="3">
        <f>DNSPOntSourceData!I571</f>
        <v>27658</v>
      </c>
      <c r="I437" s="3">
        <f>DNSPOntSourceData!J571</f>
        <v>334</v>
      </c>
      <c r="J437" s="3">
        <f>DNSPOntSourceData!K571</f>
        <v>108</v>
      </c>
      <c r="K437" s="12">
        <f>DNSPOntSourceData!L571</f>
        <v>0.32335329341317365</v>
      </c>
      <c r="L437" s="20" t="s">
        <v>58</v>
      </c>
    </row>
    <row r="438" spans="1:12">
      <c r="A438" s="142">
        <v>3031</v>
      </c>
      <c r="B438" s="142">
        <v>2019</v>
      </c>
      <c r="C438" s="142">
        <v>3</v>
      </c>
      <c r="D438" s="3">
        <f>DNSPOntSourceData!E572</f>
        <v>6960.4893200000006</v>
      </c>
      <c r="E438" s="5">
        <f>DNSPOntSourceData!F572</f>
        <v>1.3352608354138498</v>
      </c>
      <c r="F438" s="3">
        <f>DNSPOntSourceData!G572</f>
        <v>126.161</v>
      </c>
      <c r="G438" s="3">
        <f>DNSPOntSourceData!H572</f>
        <v>143.124</v>
      </c>
      <c r="H438" s="3">
        <f>DNSPOntSourceData!I572</f>
        <v>27778</v>
      </c>
      <c r="I438" s="3">
        <f>DNSPOntSourceData!J572</f>
        <v>335</v>
      </c>
      <c r="J438" s="3">
        <f>DNSPOntSourceData!K572</f>
        <v>108</v>
      </c>
      <c r="K438" s="12">
        <f>DNSPOntSourceData!L572</f>
        <v>0.32238805970149254</v>
      </c>
      <c r="L438" s="20" t="s">
        <v>58</v>
      </c>
    </row>
    <row r="439" spans="1:12">
      <c r="A439">
        <v>3032</v>
      </c>
      <c r="B439">
        <v>2005</v>
      </c>
      <c r="C439">
        <v>3</v>
      </c>
      <c r="D439" s="3">
        <f>DNSPOntSourceData!E723</f>
        <v>4461.8019999999997</v>
      </c>
      <c r="E439" s="5">
        <f>DNSPOntSourceData!F723</f>
        <v>1</v>
      </c>
      <c r="F439" s="3">
        <f>DNSPOntSourceData!G723</f>
        <v>119</v>
      </c>
      <c r="G439" s="3">
        <f>DNSPOntSourceData!H723</f>
        <v>119</v>
      </c>
      <c r="H439" s="3">
        <f>DNSPOntSourceData!I723</f>
        <v>23405</v>
      </c>
      <c r="I439" s="3">
        <f>DNSPOntSourceData!J723</f>
        <v>558</v>
      </c>
      <c r="J439" s="3">
        <f>DNSPOntSourceData!K723</f>
        <v>90</v>
      </c>
      <c r="K439" s="12">
        <f>DNSPOntSourceData!L723</f>
        <v>0.16129032258064516</v>
      </c>
      <c r="L439" s="20" t="s">
        <v>69</v>
      </c>
    </row>
    <row r="440" spans="1:12">
      <c r="A440">
        <v>3032</v>
      </c>
      <c r="B440" s="2">
        <v>2006</v>
      </c>
      <c r="C440">
        <v>3</v>
      </c>
      <c r="D440" s="3">
        <f>DNSPOntSourceData!E724</f>
        <v>5475.7005600000011</v>
      </c>
      <c r="E440" s="5">
        <f>DNSPOntSourceData!F724</f>
        <v>1.0181607380073696</v>
      </c>
      <c r="F440" s="3">
        <f>DNSPOntSourceData!G724</f>
        <v>107.416</v>
      </c>
      <c r="G440" s="3">
        <f>DNSPOntSourceData!H724</f>
        <v>119</v>
      </c>
      <c r="H440" s="3">
        <f>DNSPOntSourceData!I724</f>
        <v>23493</v>
      </c>
      <c r="I440" s="3">
        <f>DNSPOntSourceData!J724</f>
        <v>600</v>
      </c>
      <c r="J440" s="3">
        <f>DNSPOntSourceData!K724</f>
        <v>91</v>
      </c>
      <c r="K440" s="12">
        <f>DNSPOntSourceData!L724</f>
        <v>0.15166666666666667</v>
      </c>
      <c r="L440" s="20" t="s">
        <v>69</v>
      </c>
    </row>
    <row r="441" spans="1:12">
      <c r="A441">
        <v>3032</v>
      </c>
      <c r="B441">
        <v>2007</v>
      </c>
      <c r="C441">
        <v>3</v>
      </c>
      <c r="D441" s="3">
        <f>DNSPOntSourceData!E725</f>
        <v>4889.3805499999999</v>
      </c>
      <c r="E441" s="5">
        <f>DNSPOntSourceData!F725</f>
        <v>1.0531931014872313</v>
      </c>
      <c r="F441" s="3">
        <f>DNSPOntSourceData!G725</f>
        <v>113.51900000000001</v>
      </c>
      <c r="G441" s="3">
        <f>DNSPOntSourceData!H725</f>
        <v>119</v>
      </c>
      <c r="H441" s="3">
        <f>DNSPOntSourceData!I725</f>
        <v>23642</v>
      </c>
      <c r="I441" s="3">
        <f>DNSPOntSourceData!J725</f>
        <v>608</v>
      </c>
      <c r="J441" s="3">
        <f>DNSPOntSourceData!K725</f>
        <v>95</v>
      </c>
      <c r="K441" s="12">
        <f>DNSPOntSourceData!L725</f>
        <v>0.15625</v>
      </c>
      <c r="L441" s="20" t="s">
        <v>69</v>
      </c>
    </row>
    <row r="442" spans="1:12">
      <c r="A442">
        <v>3032</v>
      </c>
      <c r="B442" s="2">
        <v>2008</v>
      </c>
      <c r="C442">
        <v>3</v>
      </c>
      <c r="D442" s="3">
        <f>DNSPOntSourceData!E726</f>
        <v>4844.8700400000007</v>
      </c>
      <c r="E442" s="5">
        <f>DNSPOntSourceData!F726</f>
        <v>1.078564603993923</v>
      </c>
      <c r="F442" s="3">
        <f>DNSPOntSourceData!G726</f>
        <v>108.73099999999999</v>
      </c>
      <c r="G442" s="3">
        <f>DNSPOntSourceData!H726</f>
        <v>119</v>
      </c>
      <c r="H442" s="3">
        <f>DNSPOntSourceData!I726</f>
        <v>23669</v>
      </c>
      <c r="I442" s="3">
        <f>DNSPOntSourceData!J726</f>
        <v>612</v>
      </c>
      <c r="J442" s="3">
        <f>DNSPOntSourceData!K726</f>
        <v>96</v>
      </c>
      <c r="K442" s="12">
        <f>DNSPOntSourceData!L726</f>
        <v>0.15686274509803921</v>
      </c>
      <c r="L442" s="20" t="s">
        <v>69</v>
      </c>
    </row>
    <row r="443" spans="1:12">
      <c r="A443">
        <v>3032</v>
      </c>
      <c r="B443">
        <v>2009</v>
      </c>
      <c r="C443">
        <v>3</v>
      </c>
      <c r="D443" s="3">
        <f>DNSPOntSourceData!E727</f>
        <v>4616.4634900000001</v>
      </c>
      <c r="E443" s="5">
        <f>DNSPOntSourceData!F727</f>
        <v>1.0915070880241431</v>
      </c>
      <c r="F443" s="3">
        <f>DNSPOntSourceData!G727</f>
        <v>119.797</v>
      </c>
      <c r="G443" s="3">
        <f>DNSPOntSourceData!H727</f>
        <v>119.797</v>
      </c>
      <c r="H443" s="3">
        <f>DNSPOntSourceData!I727</f>
        <v>23755</v>
      </c>
      <c r="I443" s="3">
        <f>DNSPOntSourceData!J727</f>
        <v>616</v>
      </c>
      <c r="J443" s="3">
        <f>DNSPOntSourceData!K727</f>
        <v>99.000000000000014</v>
      </c>
      <c r="K443" s="12">
        <f>DNSPOntSourceData!L727</f>
        <v>0.16071428571428573</v>
      </c>
      <c r="L443" s="20" t="s">
        <v>69</v>
      </c>
    </row>
    <row r="444" spans="1:12">
      <c r="A444">
        <v>3032</v>
      </c>
      <c r="B444" s="2">
        <v>2010</v>
      </c>
      <c r="C444">
        <v>3</v>
      </c>
      <c r="D444" s="3">
        <f>DNSPOntSourceData!E728</f>
        <v>4809.9990699999989</v>
      </c>
      <c r="E444" s="5">
        <f>DNSPOntSourceData!F728</f>
        <v>1.1243125351578573</v>
      </c>
      <c r="F444" s="3">
        <f>DNSPOntSourceData!G728</f>
        <v>109.866</v>
      </c>
      <c r="G444" s="3">
        <f>DNSPOntSourceData!H728</f>
        <v>119.797</v>
      </c>
      <c r="H444" s="3">
        <f>DNSPOntSourceData!I728</f>
        <v>23754</v>
      </c>
      <c r="I444" s="3">
        <f>DNSPOntSourceData!J728</f>
        <v>611</v>
      </c>
      <c r="J444" s="3">
        <f>DNSPOntSourceData!K728</f>
        <v>97</v>
      </c>
      <c r="K444" s="12">
        <f>DNSPOntSourceData!L728</f>
        <v>0.15875613747954173</v>
      </c>
      <c r="L444" s="20" t="s">
        <v>69</v>
      </c>
    </row>
    <row r="445" spans="1:12">
      <c r="A445">
        <v>3032</v>
      </c>
      <c r="B445">
        <v>2011</v>
      </c>
      <c r="C445">
        <v>3</v>
      </c>
      <c r="D445" s="3">
        <f>DNSPOntSourceData!E729</f>
        <v>4996.95309</v>
      </c>
      <c r="E445" s="5">
        <f>DNSPOntSourceData!F729</f>
        <v>1.1430978626415853</v>
      </c>
      <c r="F445" s="3">
        <f>DNSPOntSourceData!G729</f>
        <v>113.732</v>
      </c>
      <c r="G445" s="3">
        <f>DNSPOntSourceData!H729</f>
        <v>119.797</v>
      </c>
      <c r="H445" s="3">
        <f>DNSPOntSourceData!I729</f>
        <v>23850</v>
      </c>
      <c r="I445" s="3">
        <f>DNSPOntSourceData!J729</f>
        <v>618</v>
      </c>
      <c r="J445" s="3">
        <f>DNSPOntSourceData!K729</f>
        <v>108</v>
      </c>
      <c r="K445" s="12">
        <f>DNSPOntSourceData!L729</f>
        <v>0.17475728155339806</v>
      </c>
      <c r="L445" s="20" t="s">
        <v>69</v>
      </c>
    </row>
    <row r="446" spans="1:12">
      <c r="A446">
        <v>3032</v>
      </c>
      <c r="B446" s="2">
        <v>2012</v>
      </c>
      <c r="C446">
        <v>3</v>
      </c>
      <c r="D446" s="3">
        <f>DNSPOntSourceData!E730</f>
        <v>5223.3131300000005</v>
      </c>
      <c r="E446" s="5">
        <f>DNSPOntSourceData!F730</f>
        <v>1.160126854517312</v>
      </c>
      <c r="F446" s="3">
        <f>DNSPOntSourceData!G730</f>
        <v>105.211</v>
      </c>
      <c r="G446" s="3">
        <f>DNSPOntSourceData!H730</f>
        <v>119.797</v>
      </c>
      <c r="H446" s="3">
        <f>DNSPOntSourceData!I730</f>
        <v>23972</v>
      </c>
      <c r="I446" s="3">
        <f>DNSPOntSourceData!J730</f>
        <v>621</v>
      </c>
      <c r="J446" s="3">
        <f>DNSPOntSourceData!K730</f>
        <v>110</v>
      </c>
      <c r="K446" s="12">
        <f>DNSPOntSourceData!L730</f>
        <v>0.17713365539452497</v>
      </c>
      <c r="L446" s="20" t="s">
        <v>69</v>
      </c>
    </row>
    <row r="447" spans="1:12">
      <c r="A447">
        <v>3032</v>
      </c>
      <c r="B447">
        <v>2013</v>
      </c>
      <c r="C447">
        <v>3</v>
      </c>
      <c r="D447" s="3">
        <f>DNSPOntSourceData!E731</f>
        <v>5533.8929699999999</v>
      </c>
      <c r="E447" s="5">
        <f>DNSPOntSourceData!F731</f>
        <v>1.178602141578931</v>
      </c>
      <c r="F447" s="3">
        <f>DNSPOntSourceData!G731</f>
        <v>110.029</v>
      </c>
      <c r="G447" s="3">
        <f>DNSPOntSourceData!H731</f>
        <v>119.797</v>
      </c>
      <c r="H447" s="3">
        <f>DNSPOntSourceData!I731</f>
        <v>23973</v>
      </c>
      <c r="I447" s="3">
        <f>DNSPOntSourceData!J731</f>
        <v>583</v>
      </c>
      <c r="J447" s="3">
        <f>DNSPOntSourceData!K731</f>
        <v>73</v>
      </c>
      <c r="K447" s="12">
        <f>DNSPOntSourceData!L731</f>
        <v>0.12521440823327615</v>
      </c>
      <c r="L447" s="20" t="s">
        <v>69</v>
      </c>
    </row>
    <row r="448" spans="1:12">
      <c r="A448">
        <v>3032</v>
      </c>
      <c r="B448" s="2">
        <v>2014</v>
      </c>
      <c r="C448">
        <v>3</v>
      </c>
      <c r="D448" s="3">
        <f>DNSPOntSourceData!E732</f>
        <v>6149.1679999999997</v>
      </c>
      <c r="E448" s="5">
        <f>DNSPOntSourceData!F732</f>
        <v>1.2030671041042156</v>
      </c>
      <c r="F448" s="3">
        <f>DNSPOntSourceData!G732</f>
        <v>108.86199999999999</v>
      </c>
      <c r="G448" s="3">
        <f>DNSPOntSourceData!H732</f>
        <v>119.797</v>
      </c>
      <c r="H448" s="3">
        <f>DNSPOntSourceData!I732</f>
        <v>23975</v>
      </c>
      <c r="I448" s="3">
        <f>DNSPOntSourceData!J732</f>
        <v>566</v>
      </c>
      <c r="J448" s="3">
        <f>DNSPOntSourceData!K732</f>
        <v>74.000000000000014</v>
      </c>
      <c r="K448" s="12">
        <f>DNSPOntSourceData!L732</f>
        <v>0.13074204946996468</v>
      </c>
      <c r="L448" s="20" t="s">
        <v>69</v>
      </c>
    </row>
    <row r="449" spans="1:12">
      <c r="A449">
        <v>3032</v>
      </c>
      <c r="B449">
        <v>2015</v>
      </c>
      <c r="C449">
        <v>3</v>
      </c>
      <c r="D449" s="3">
        <f>DNSPOntSourceData!E733</f>
        <v>6012.4669999999996</v>
      </c>
      <c r="E449" s="5">
        <f>DNSPOntSourceData!F733</f>
        <v>1.2312762402864634</v>
      </c>
      <c r="F449" s="3">
        <f>DNSPOntSourceData!G733</f>
        <v>106.74299999999999</v>
      </c>
      <c r="G449" s="3">
        <f>DNSPOntSourceData!H733</f>
        <v>119.797</v>
      </c>
      <c r="H449" s="3">
        <f>DNSPOntSourceData!I733</f>
        <v>23996</v>
      </c>
      <c r="I449" s="3">
        <f>DNSPOntSourceData!J733</f>
        <v>572</v>
      </c>
      <c r="J449" s="3">
        <f>DNSPOntSourceData!K733</f>
        <v>76</v>
      </c>
      <c r="K449" s="12">
        <f>DNSPOntSourceData!L733</f>
        <v>0.13286713286713286</v>
      </c>
      <c r="L449" s="20" t="s">
        <v>69</v>
      </c>
    </row>
    <row r="450" spans="1:12">
      <c r="A450">
        <v>3032</v>
      </c>
      <c r="B450" s="2">
        <v>2016</v>
      </c>
      <c r="C450">
        <v>3</v>
      </c>
      <c r="D450" s="3">
        <f>DNSPOntSourceData!E734</f>
        <v>6303.2926299999999</v>
      </c>
      <c r="E450" s="5">
        <f>DNSPOntSourceData!F734</f>
        <v>1.2455044937824149</v>
      </c>
      <c r="F450" s="3">
        <f>DNSPOntSourceData!G734</f>
        <v>93.763999999999996</v>
      </c>
      <c r="G450" s="3">
        <f>DNSPOntSourceData!H734</f>
        <v>119.797</v>
      </c>
      <c r="H450" s="3">
        <f>DNSPOntSourceData!I734</f>
        <v>24070</v>
      </c>
      <c r="I450" s="3">
        <f>DNSPOntSourceData!J734</f>
        <v>573</v>
      </c>
      <c r="J450" s="3">
        <f>DNSPOntSourceData!K734</f>
        <v>78</v>
      </c>
      <c r="K450" s="12">
        <f>DNSPOntSourceData!L734</f>
        <v>0.13612565445026178</v>
      </c>
      <c r="L450" s="20" t="s">
        <v>69</v>
      </c>
    </row>
    <row r="451" spans="1:12">
      <c r="A451">
        <v>3032</v>
      </c>
      <c r="B451">
        <v>2017</v>
      </c>
      <c r="C451">
        <v>3</v>
      </c>
      <c r="D451" s="3">
        <f>DNSPOntSourceData!E735</f>
        <v>6227.37986</v>
      </c>
      <c r="E451" s="5">
        <f>DNSPOntSourceData!F735</f>
        <v>1.2674505553724562</v>
      </c>
      <c r="F451" s="3">
        <f>DNSPOntSourceData!G735</f>
        <v>93.113</v>
      </c>
      <c r="G451" s="3">
        <f>DNSPOntSourceData!H735</f>
        <v>119.797</v>
      </c>
      <c r="H451" s="3">
        <f>DNSPOntSourceData!I735</f>
        <v>24117</v>
      </c>
      <c r="I451" s="3">
        <f>DNSPOntSourceData!J735</f>
        <v>574</v>
      </c>
      <c r="J451" s="3">
        <f>DNSPOntSourceData!K735</f>
        <v>79</v>
      </c>
      <c r="K451" s="12">
        <f>DNSPOntSourceData!L735</f>
        <v>0.13763066202090593</v>
      </c>
      <c r="L451" s="20" t="s">
        <v>69</v>
      </c>
    </row>
    <row r="452" spans="1:12">
      <c r="A452">
        <v>3032</v>
      </c>
      <c r="B452" s="2">
        <v>2018</v>
      </c>
      <c r="C452">
        <v>3</v>
      </c>
      <c r="D452" s="3">
        <f>DNSPOntSourceData!E736</f>
        <v>6070.8984799999998</v>
      </c>
      <c r="E452" s="5">
        <f>DNSPOntSourceData!F736</f>
        <v>1.2994718602728874</v>
      </c>
      <c r="F452" s="3">
        <f>DNSPOntSourceData!G736</f>
        <v>97.822000000000003</v>
      </c>
      <c r="G452" s="3">
        <f>DNSPOntSourceData!H736</f>
        <v>119.797</v>
      </c>
      <c r="H452" s="3">
        <f>DNSPOntSourceData!I736</f>
        <v>24172</v>
      </c>
      <c r="I452" s="3">
        <f>DNSPOntSourceData!J736</f>
        <v>575</v>
      </c>
      <c r="J452" s="3">
        <f>DNSPOntSourceData!K736</f>
        <v>80</v>
      </c>
      <c r="K452" s="12">
        <f>DNSPOntSourceData!L736</f>
        <v>0.1391304347826087</v>
      </c>
      <c r="L452" s="20" t="s">
        <v>69</v>
      </c>
    </row>
    <row r="453" spans="1:12">
      <c r="A453" s="142">
        <v>3032</v>
      </c>
      <c r="B453" s="142">
        <v>2019</v>
      </c>
      <c r="C453" s="142">
        <v>3</v>
      </c>
      <c r="D453" s="3">
        <f>DNSPOntSourceData!E737</f>
        <v>6567.5340700000006</v>
      </c>
      <c r="E453" s="5">
        <f>DNSPOntSourceData!F737</f>
        <v>1.3352608354138498</v>
      </c>
      <c r="F453" s="3">
        <f>DNSPOntSourceData!G737</f>
        <v>99.885999999999996</v>
      </c>
      <c r="G453" s="3">
        <f>DNSPOntSourceData!H737</f>
        <v>119.797</v>
      </c>
      <c r="H453" s="3">
        <f>DNSPOntSourceData!I737</f>
        <v>24199</v>
      </c>
      <c r="I453" s="3">
        <f>DNSPOntSourceData!J737</f>
        <v>573</v>
      </c>
      <c r="J453" s="3">
        <f>DNSPOntSourceData!K737</f>
        <v>80</v>
      </c>
      <c r="K453" s="12">
        <f>DNSPOntSourceData!L737</f>
        <v>0.13961605584642234</v>
      </c>
      <c r="L453" s="20" t="s">
        <v>69</v>
      </c>
    </row>
    <row r="454" spans="1:12">
      <c r="A454">
        <v>3033</v>
      </c>
      <c r="B454">
        <v>2005</v>
      </c>
      <c r="C454">
        <v>3</v>
      </c>
      <c r="D454" s="3">
        <f>DNSPOntSourceData!E1083</f>
        <v>4096.6220000000003</v>
      </c>
      <c r="E454" s="5">
        <f>DNSPOntSourceData!F1083</f>
        <v>1</v>
      </c>
      <c r="F454" s="3">
        <f>DNSPOntSourceData!G1083</f>
        <v>83.355000000000004</v>
      </c>
      <c r="G454" s="3">
        <f>DNSPOntSourceData!H1083</f>
        <v>83.355000000000004</v>
      </c>
      <c r="H454" s="3">
        <f>DNSPOntSourceData!I1083</f>
        <v>20699</v>
      </c>
      <c r="I454" s="3">
        <f>DNSPOntSourceData!J1083</f>
        <v>432</v>
      </c>
      <c r="J454" s="3">
        <f>DNSPOntSourceData!K1083</f>
        <v>118</v>
      </c>
      <c r="K454" s="12">
        <f>DNSPOntSourceData!L1083</f>
        <v>0.27314814814814814</v>
      </c>
      <c r="L454" s="20" t="s">
        <v>93</v>
      </c>
    </row>
    <row r="455" spans="1:12">
      <c r="A455">
        <v>3033</v>
      </c>
      <c r="B455" s="2">
        <v>2006</v>
      </c>
      <c r="C455">
        <v>3</v>
      </c>
      <c r="D455" s="3">
        <f>DNSPOntSourceData!E1084</f>
        <v>4292.1524500000005</v>
      </c>
      <c r="E455" s="5">
        <f>DNSPOntSourceData!F1084</f>
        <v>1.0181607380073696</v>
      </c>
      <c r="F455" s="3">
        <f>DNSPOntSourceData!G1084</f>
        <v>86.856999999999999</v>
      </c>
      <c r="G455" s="3">
        <f>DNSPOntSourceData!H1084</f>
        <v>86.856999999999999</v>
      </c>
      <c r="H455" s="3">
        <f>DNSPOntSourceData!I1084</f>
        <v>20983</v>
      </c>
      <c r="I455" s="3">
        <f>DNSPOntSourceData!J1084</f>
        <v>436</v>
      </c>
      <c r="J455" s="3">
        <f>DNSPOntSourceData!K1084</f>
        <v>126</v>
      </c>
      <c r="K455" s="12">
        <f>DNSPOntSourceData!L1084</f>
        <v>0.28899082568807338</v>
      </c>
      <c r="L455" s="20" t="s">
        <v>93</v>
      </c>
    </row>
    <row r="456" spans="1:12">
      <c r="A456">
        <v>3033</v>
      </c>
      <c r="B456">
        <v>2007</v>
      </c>
      <c r="C456">
        <v>3</v>
      </c>
      <c r="D456" s="3">
        <f>DNSPOntSourceData!E1085</f>
        <v>4058.0846800000004</v>
      </c>
      <c r="E456" s="5">
        <f>DNSPOntSourceData!F1085</f>
        <v>1.0531931014872313</v>
      </c>
      <c r="F456" s="3">
        <f>DNSPOntSourceData!G1085</f>
        <v>90.204999999999998</v>
      </c>
      <c r="G456" s="3">
        <f>DNSPOntSourceData!H1085</f>
        <v>90.204999999999998</v>
      </c>
      <c r="H456" s="3">
        <f>DNSPOntSourceData!I1085</f>
        <v>21297</v>
      </c>
      <c r="I456" s="3">
        <f>DNSPOntSourceData!J1085</f>
        <v>435</v>
      </c>
      <c r="J456" s="3">
        <f>DNSPOntSourceData!K1085</f>
        <v>126.00000000000001</v>
      </c>
      <c r="K456" s="12">
        <f>DNSPOntSourceData!L1085</f>
        <v>0.28965517241379313</v>
      </c>
      <c r="L456" s="20" t="s">
        <v>93</v>
      </c>
    </row>
    <row r="457" spans="1:12">
      <c r="A457">
        <v>3033</v>
      </c>
      <c r="B457" s="2">
        <v>2008</v>
      </c>
      <c r="C457">
        <v>3</v>
      </c>
      <c r="D457" s="3">
        <f>DNSPOntSourceData!E1086</f>
        <v>5023.7056399999992</v>
      </c>
      <c r="E457" s="5">
        <f>DNSPOntSourceData!F1086</f>
        <v>1.078564603993923</v>
      </c>
      <c r="F457" s="3">
        <f>DNSPOntSourceData!G1086</f>
        <v>84.988</v>
      </c>
      <c r="G457" s="3">
        <f>DNSPOntSourceData!H1086</f>
        <v>90.204999999999998</v>
      </c>
      <c r="H457" s="3">
        <f>DNSPOntSourceData!I1086</f>
        <v>21592</v>
      </c>
      <c r="I457" s="3">
        <f>DNSPOntSourceData!J1086</f>
        <v>440</v>
      </c>
      <c r="J457" s="3">
        <f>DNSPOntSourceData!K1086</f>
        <v>131</v>
      </c>
      <c r="K457" s="12">
        <f>DNSPOntSourceData!L1086</f>
        <v>0.29772727272727273</v>
      </c>
      <c r="L457" s="20" t="s">
        <v>93</v>
      </c>
    </row>
    <row r="458" spans="1:12">
      <c r="A458">
        <v>3033</v>
      </c>
      <c r="B458">
        <v>2009</v>
      </c>
      <c r="C458">
        <v>3</v>
      </c>
      <c r="D458" s="3">
        <f>DNSPOntSourceData!E1087</f>
        <v>4285.6200499999995</v>
      </c>
      <c r="E458" s="5">
        <f>DNSPOntSourceData!F1087</f>
        <v>1.0915070880241431</v>
      </c>
      <c r="F458" s="3">
        <f>DNSPOntSourceData!G1087</f>
        <v>80.150999999999996</v>
      </c>
      <c r="G458" s="3">
        <f>DNSPOntSourceData!H1087</f>
        <v>90.204999999999998</v>
      </c>
      <c r="H458" s="3">
        <f>DNSPOntSourceData!I1087</f>
        <v>21744</v>
      </c>
      <c r="I458" s="3">
        <f>DNSPOntSourceData!J1087</f>
        <v>436</v>
      </c>
      <c r="J458" s="3">
        <f>DNSPOntSourceData!K1087</f>
        <v>126</v>
      </c>
      <c r="K458" s="12">
        <f>DNSPOntSourceData!L1087</f>
        <v>0.28899082568807338</v>
      </c>
      <c r="L458" s="20" t="s">
        <v>93</v>
      </c>
    </row>
    <row r="459" spans="1:12">
      <c r="A459">
        <v>3033</v>
      </c>
      <c r="B459" s="2">
        <v>2010</v>
      </c>
      <c r="C459">
        <v>3</v>
      </c>
      <c r="D459" s="3">
        <f>DNSPOntSourceData!E1088</f>
        <v>4282.99568</v>
      </c>
      <c r="E459" s="5">
        <f>DNSPOntSourceData!F1088</f>
        <v>1.1243125351578573</v>
      </c>
      <c r="F459" s="3">
        <f>DNSPOntSourceData!G1088</f>
        <v>89.468000000000004</v>
      </c>
      <c r="G459" s="3">
        <f>DNSPOntSourceData!H1088</f>
        <v>90.204999999999998</v>
      </c>
      <c r="H459" s="3">
        <f>DNSPOntSourceData!I1088</f>
        <v>22007</v>
      </c>
      <c r="I459" s="3">
        <f>DNSPOntSourceData!J1088</f>
        <v>515</v>
      </c>
      <c r="J459" s="3">
        <f>DNSPOntSourceData!K1088</f>
        <v>144</v>
      </c>
      <c r="K459" s="12">
        <f>DNSPOntSourceData!L1088</f>
        <v>0.2796116504854369</v>
      </c>
      <c r="L459" s="20" t="s">
        <v>93</v>
      </c>
    </row>
    <row r="460" spans="1:12">
      <c r="A460">
        <v>3033</v>
      </c>
      <c r="B460">
        <v>2011</v>
      </c>
      <c r="C460">
        <v>3</v>
      </c>
      <c r="D460" s="3">
        <f>DNSPOntSourceData!E1089</f>
        <v>4623.9818700000005</v>
      </c>
      <c r="E460" s="5">
        <f>DNSPOntSourceData!F1089</f>
        <v>1.1430978626415853</v>
      </c>
      <c r="F460" s="3">
        <f>DNSPOntSourceData!G1089</f>
        <v>86.667000000000002</v>
      </c>
      <c r="G460" s="3">
        <f>DNSPOntSourceData!H1089</f>
        <v>90.204999999999998</v>
      </c>
      <c r="H460" s="3">
        <f>DNSPOntSourceData!I1089</f>
        <v>22257</v>
      </c>
      <c r="I460" s="3">
        <f>DNSPOntSourceData!J1089</f>
        <v>515</v>
      </c>
      <c r="J460" s="3">
        <f>DNSPOntSourceData!K1089</f>
        <v>144</v>
      </c>
      <c r="K460" s="12">
        <f>DNSPOntSourceData!L1089</f>
        <v>0.2796116504854369</v>
      </c>
      <c r="L460" s="20" t="s">
        <v>93</v>
      </c>
    </row>
    <row r="461" spans="1:12">
      <c r="A461">
        <v>3033</v>
      </c>
      <c r="B461" s="2">
        <v>2012</v>
      </c>
      <c r="C461">
        <v>3</v>
      </c>
      <c r="D461" s="3">
        <f>DNSPOntSourceData!E1090</f>
        <v>4568.6043899999995</v>
      </c>
      <c r="E461" s="5">
        <f>DNSPOntSourceData!F1090</f>
        <v>1.160126854517312</v>
      </c>
      <c r="F461" s="3">
        <f>DNSPOntSourceData!G1090</f>
        <v>83.915999999999997</v>
      </c>
      <c r="G461" s="3">
        <f>DNSPOntSourceData!H1090</f>
        <v>90.204999999999998</v>
      </c>
      <c r="H461" s="3">
        <f>DNSPOntSourceData!I1090</f>
        <v>22593</v>
      </c>
      <c r="I461" s="3">
        <f>DNSPOntSourceData!J1090</f>
        <v>515</v>
      </c>
      <c r="J461" s="3">
        <f>DNSPOntSourceData!K1090</f>
        <v>144</v>
      </c>
      <c r="K461" s="12">
        <f>DNSPOntSourceData!L1090</f>
        <v>0.2796116504854369</v>
      </c>
      <c r="L461" s="20" t="s">
        <v>93</v>
      </c>
    </row>
    <row r="462" spans="1:12">
      <c r="A462">
        <v>3033</v>
      </c>
      <c r="B462">
        <v>2013</v>
      </c>
      <c r="C462">
        <v>3</v>
      </c>
      <c r="D462" s="3">
        <f>DNSPOntSourceData!E1091</f>
        <v>5723.0539400000007</v>
      </c>
      <c r="E462" s="5">
        <f>DNSPOntSourceData!F1091</f>
        <v>1.178602141578931</v>
      </c>
      <c r="F462" s="3">
        <f>DNSPOntSourceData!G1091</f>
        <v>84.001000000000005</v>
      </c>
      <c r="G462" s="3">
        <f>DNSPOntSourceData!H1091</f>
        <v>90.204999999999998</v>
      </c>
      <c r="H462" s="3">
        <f>DNSPOntSourceData!I1091</f>
        <v>22725</v>
      </c>
      <c r="I462" s="3">
        <f>DNSPOntSourceData!J1091</f>
        <v>516</v>
      </c>
      <c r="J462" s="3">
        <f>DNSPOntSourceData!K1091</f>
        <v>144</v>
      </c>
      <c r="K462" s="12">
        <f>DNSPOntSourceData!L1091</f>
        <v>0.27906976744186046</v>
      </c>
      <c r="L462" s="20" t="s">
        <v>93</v>
      </c>
    </row>
    <row r="463" spans="1:12">
      <c r="A463">
        <v>3033</v>
      </c>
      <c r="B463" s="2">
        <v>2014</v>
      </c>
      <c r="C463">
        <v>3</v>
      </c>
      <c r="D463" s="3">
        <f>DNSPOntSourceData!E1092</f>
        <v>5149.4780000000001</v>
      </c>
      <c r="E463" s="5">
        <f>DNSPOntSourceData!F1092</f>
        <v>1.2030671041042156</v>
      </c>
      <c r="F463" s="3">
        <f>DNSPOntSourceData!G1092</f>
        <v>86.152000000000001</v>
      </c>
      <c r="G463" s="3">
        <f>DNSPOntSourceData!H1092</f>
        <v>90.204999999999998</v>
      </c>
      <c r="H463" s="3">
        <f>DNSPOntSourceData!I1092</f>
        <v>22822</v>
      </c>
      <c r="I463" s="3">
        <f>DNSPOntSourceData!J1092</f>
        <v>517</v>
      </c>
      <c r="J463" s="3">
        <f>DNSPOntSourceData!K1092</f>
        <v>145</v>
      </c>
      <c r="K463" s="12">
        <f>DNSPOntSourceData!L1092</f>
        <v>0.28046421663442939</v>
      </c>
      <c r="L463" s="20" t="s">
        <v>93</v>
      </c>
    </row>
    <row r="464" spans="1:12">
      <c r="A464">
        <v>3033</v>
      </c>
      <c r="B464">
        <v>2015</v>
      </c>
      <c r="C464">
        <v>3</v>
      </c>
      <c r="D464" s="3">
        <f>DNSPOntSourceData!E1093</f>
        <v>5196.6679999999997</v>
      </c>
      <c r="E464" s="5">
        <f>DNSPOntSourceData!F1093</f>
        <v>1.2312762402864634</v>
      </c>
      <c r="F464" s="3">
        <f>DNSPOntSourceData!G1093</f>
        <v>93.376000000000005</v>
      </c>
      <c r="G464" s="3">
        <f>DNSPOntSourceData!H1093</f>
        <v>93.376000000000005</v>
      </c>
      <c r="H464" s="3">
        <f>DNSPOntSourceData!I1093</f>
        <v>22954</v>
      </c>
      <c r="I464" s="3">
        <f>DNSPOntSourceData!J1093</f>
        <v>522</v>
      </c>
      <c r="J464" s="3">
        <f>DNSPOntSourceData!K1093</f>
        <v>146</v>
      </c>
      <c r="K464" s="12">
        <f>DNSPOntSourceData!L1093</f>
        <v>0.27969348659003829</v>
      </c>
      <c r="L464" s="20" t="s">
        <v>93</v>
      </c>
    </row>
    <row r="465" spans="1:12">
      <c r="A465">
        <v>3033</v>
      </c>
      <c r="B465" s="2">
        <v>2016</v>
      </c>
      <c r="C465">
        <v>3</v>
      </c>
      <c r="D465" s="3">
        <f>DNSPOntSourceData!E1094</f>
        <v>5716.4947099999999</v>
      </c>
      <c r="E465" s="5">
        <f>DNSPOntSourceData!F1094</f>
        <v>1.2455044937824149</v>
      </c>
      <c r="F465" s="3">
        <f>DNSPOntSourceData!G1094</f>
        <v>71.203000000000003</v>
      </c>
      <c r="G465" s="3">
        <f>DNSPOntSourceData!H1094</f>
        <v>93.376000000000005</v>
      </c>
      <c r="H465" s="3">
        <f>DNSPOntSourceData!I1094</f>
        <v>23168</v>
      </c>
      <c r="I465" s="3">
        <f>DNSPOntSourceData!J1094</f>
        <v>530</v>
      </c>
      <c r="J465" s="3">
        <f>DNSPOntSourceData!K1094</f>
        <v>152</v>
      </c>
      <c r="K465" s="12">
        <f>DNSPOntSourceData!L1094</f>
        <v>0.28679245283018867</v>
      </c>
      <c r="L465" s="20" t="s">
        <v>93</v>
      </c>
    </row>
    <row r="466" spans="1:12">
      <c r="A466">
        <v>3033</v>
      </c>
      <c r="B466">
        <v>2017</v>
      </c>
      <c r="C466">
        <v>3</v>
      </c>
      <c r="D466" s="3">
        <f>DNSPOntSourceData!E1095</f>
        <v>6113.55501</v>
      </c>
      <c r="E466" s="5">
        <f>DNSPOntSourceData!F1095</f>
        <v>1.2674505553724562</v>
      </c>
      <c r="F466" s="3">
        <f>DNSPOntSourceData!G1095</f>
        <v>74.293000000000006</v>
      </c>
      <c r="G466" s="3">
        <f>DNSPOntSourceData!H1095</f>
        <v>93.376000000000005</v>
      </c>
      <c r="H466" s="3">
        <f>DNSPOntSourceData!I1095</f>
        <v>23373</v>
      </c>
      <c r="I466" s="3">
        <f>DNSPOntSourceData!J1095</f>
        <v>541</v>
      </c>
      <c r="J466" s="3">
        <f>DNSPOntSourceData!K1095</f>
        <v>157</v>
      </c>
      <c r="K466" s="12">
        <f>DNSPOntSourceData!L1095</f>
        <v>0.29020332717190389</v>
      </c>
      <c r="L466" s="20" t="s">
        <v>93</v>
      </c>
    </row>
    <row r="467" spans="1:12">
      <c r="A467">
        <v>3033</v>
      </c>
      <c r="B467" s="2">
        <v>2018</v>
      </c>
      <c r="C467">
        <v>3</v>
      </c>
      <c r="D467" s="3">
        <f>DNSPOntSourceData!E1096</f>
        <v>5431.2981599999985</v>
      </c>
      <c r="E467" s="5">
        <f>DNSPOntSourceData!F1096</f>
        <v>1.2994718602728874</v>
      </c>
      <c r="F467" s="3">
        <f>DNSPOntSourceData!G1096</f>
        <v>77.361999999999995</v>
      </c>
      <c r="G467" s="3">
        <f>DNSPOntSourceData!H1096</f>
        <v>93.376000000000005</v>
      </c>
      <c r="H467" s="3">
        <f>DNSPOntSourceData!I1096</f>
        <v>23547</v>
      </c>
      <c r="I467" s="3">
        <f>DNSPOntSourceData!J1096</f>
        <v>545</v>
      </c>
      <c r="J467" s="3">
        <f>DNSPOntSourceData!K1096</f>
        <v>159</v>
      </c>
      <c r="K467" s="12">
        <f>DNSPOntSourceData!L1096</f>
        <v>0.29174311926605506</v>
      </c>
      <c r="L467" s="20" t="s">
        <v>93</v>
      </c>
    </row>
    <row r="468" spans="1:12">
      <c r="A468" s="142">
        <v>3033</v>
      </c>
      <c r="B468" s="142">
        <v>2019</v>
      </c>
      <c r="C468" s="142">
        <v>3</v>
      </c>
      <c r="D468" s="3">
        <f>DNSPOntSourceData!E1097</f>
        <v>5927.8083200000001</v>
      </c>
      <c r="E468" s="5">
        <f>DNSPOntSourceData!F1097</f>
        <v>1.3352608354138498</v>
      </c>
      <c r="F468" s="3">
        <f>DNSPOntSourceData!G1097</f>
        <v>80.823999999999998</v>
      </c>
      <c r="G468" s="3">
        <f>DNSPOntSourceData!H1097</f>
        <v>93.376000000000005</v>
      </c>
      <c r="H468" s="3">
        <f>DNSPOntSourceData!I1097</f>
        <v>23774</v>
      </c>
      <c r="I468" s="3">
        <f>DNSPOntSourceData!J1097</f>
        <v>560</v>
      </c>
      <c r="J468" s="3">
        <f>DNSPOntSourceData!K1097</f>
        <v>167</v>
      </c>
      <c r="K468" s="12">
        <f>DNSPOntSourceData!L1097</f>
        <v>0.29821428571428571</v>
      </c>
      <c r="L468" s="20" t="s">
        <v>93</v>
      </c>
    </row>
    <row r="469" spans="1:12">
      <c r="A469">
        <v>3034</v>
      </c>
      <c r="B469">
        <v>2005</v>
      </c>
      <c r="C469">
        <v>3</v>
      </c>
      <c r="D469" s="3">
        <f>DNSPOntSourceData!E1038</f>
        <v>3695.8850000000002</v>
      </c>
      <c r="E469" s="5">
        <f>DNSPOntSourceData!F1038</f>
        <v>1</v>
      </c>
      <c r="F469" s="3">
        <f>DNSPOntSourceData!G1038</f>
        <v>104.312</v>
      </c>
      <c r="G469" s="3">
        <f>DNSPOntSourceData!H1038</f>
        <v>104.312</v>
      </c>
      <c r="H469" s="3">
        <f>DNSPOntSourceData!I1038</f>
        <v>21430</v>
      </c>
      <c r="I469" s="3">
        <f>DNSPOntSourceData!J1038</f>
        <v>430</v>
      </c>
      <c r="J469" s="3">
        <f>DNSPOntSourceData!K1038</f>
        <v>104</v>
      </c>
      <c r="K469" s="12">
        <f>DNSPOntSourceData!L1038</f>
        <v>0.24186046511627907</v>
      </c>
      <c r="L469" s="20" t="s">
        <v>90</v>
      </c>
    </row>
    <row r="470" spans="1:12">
      <c r="A470">
        <v>3034</v>
      </c>
      <c r="B470" s="2">
        <v>2006</v>
      </c>
      <c r="C470">
        <v>3</v>
      </c>
      <c r="D470" s="3">
        <f>DNSPOntSourceData!E1039</f>
        <v>3855.9960000000001</v>
      </c>
      <c r="E470" s="5">
        <f>DNSPOntSourceData!F1039</f>
        <v>1.0181607380073696</v>
      </c>
      <c r="F470" s="3">
        <f>DNSPOntSourceData!G1039</f>
        <v>104.372</v>
      </c>
      <c r="G470" s="3">
        <f>DNSPOntSourceData!H1039</f>
        <v>104.372</v>
      </c>
      <c r="H470" s="3">
        <f>DNSPOntSourceData!I1039</f>
        <v>21295</v>
      </c>
      <c r="I470" s="3">
        <f>DNSPOntSourceData!J1039</f>
        <v>431</v>
      </c>
      <c r="J470" s="3">
        <f>DNSPOntSourceData!K1039</f>
        <v>104</v>
      </c>
      <c r="K470" s="12">
        <f>DNSPOntSourceData!L1039</f>
        <v>0.24129930394431554</v>
      </c>
      <c r="L470" s="20" t="s">
        <v>90</v>
      </c>
    </row>
    <row r="471" spans="1:12">
      <c r="A471">
        <v>3034</v>
      </c>
      <c r="B471">
        <v>2007</v>
      </c>
      <c r="C471">
        <v>3</v>
      </c>
      <c r="D471" s="3">
        <f>DNSPOntSourceData!E1040</f>
        <v>4362.2937400000001</v>
      </c>
      <c r="E471" s="5">
        <f>DNSPOntSourceData!F1040</f>
        <v>1.0531931014872313</v>
      </c>
      <c r="F471" s="3">
        <f>DNSPOntSourceData!G1040</f>
        <v>104.372</v>
      </c>
      <c r="G471" s="3">
        <f>DNSPOntSourceData!H1040</f>
        <v>104.372</v>
      </c>
      <c r="H471" s="3">
        <f>DNSPOntSourceData!I1040</f>
        <v>21389</v>
      </c>
      <c r="I471" s="3">
        <f>DNSPOntSourceData!J1040</f>
        <v>438</v>
      </c>
      <c r="J471" s="3">
        <f>DNSPOntSourceData!K1040</f>
        <v>109</v>
      </c>
      <c r="K471" s="12">
        <f>DNSPOntSourceData!L1040</f>
        <v>0.24885844748858446</v>
      </c>
      <c r="L471" s="20" t="s">
        <v>90</v>
      </c>
    </row>
    <row r="472" spans="1:12">
      <c r="A472">
        <v>3034</v>
      </c>
      <c r="B472" s="2">
        <v>2008</v>
      </c>
      <c r="C472">
        <v>3</v>
      </c>
      <c r="D472" s="3">
        <f>DNSPOntSourceData!E1041</f>
        <v>4486.5548200000003</v>
      </c>
      <c r="E472" s="5">
        <f>DNSPOntSourceData!F1041</f>
        <v>1.078564603993923</v>
      </c>
      <c r="F472" s="3">
        <f>DNSPOntSourceData!G1041</f>
        <v>94.801000000000002</v>
      </c>
      <c r="G472" s="3">
        <f>DNSPOntSourceData!H1041</f>
        <v>104.372</v>
      </c>
      <c r="H472" s="3">
        <f>DNSPOntSourceData!I1041</f>
        <v>21706</v>
      </c>
      <c r="I472" s="3">
        <f>DNSPOntSourceData!J1041</f>
        <v>443</v>
      </c>
      <c r="J472" s="3">
        <f>DNSPOntSourceData!K1041</f>
        <v>112.99999999999999</v>
      </c>
      <c r="K472" s="12">
        <f>DNSPOntSourceData!L1041</f>
        <v>0.25507900677200901</v>
      </c>
      <c r="L472" s="20" t="s">
        <v>90</v>
      </c>
    </row>
    <row r="473" spans="1:12">
      <c r="A473">
        <v>3034</v>
      </c>
      <c r="B473">
        <v>2009</v>
      </c>
      <c r="C473">
        <v>3</v>
      </c>
      <c r="D473" s="3">
        <f>DNSPOntSourceData!E1042</f>
        <v>4808.05</v>
      </c>
      <c r="E473" s="5">
        <f>DNSPOntSourceData!F1042</f>
        <v>1.0915070880241431</v>
      </c>
      <c r="F473" s="3">
        <f>DNSPOntSourceData!G1042</f>
        <v>85.983000000000004</v>
      </c>
      <c r="G473" s="3">
        <f>DNSPOntSourceData!H1042</f>
        <v>104.372</v>
      </c>
      <c r="H473" s="3">
        <f>DNSPOntSourceData!I1042</f>
        <v>21702</v>
      </c>
      <c r="I473" s="3">
        <f>DNSPOntSourceData!J1042</f>
        <v>443</v>
      </c>
      <c r="J473" s="3">
        <f>DNSPOntSourceData!K1042</f>
        <v>112.99999999999999</v>
      </c>
      <c r="K473" s="12">
        <f>DNSPOntSourceData!L1042</f>
        <v>0.25507900677200901</v>
      </c>
      <c r="L473" s="20" t="s">
        <v>90</v>
      </c>
    </row>
    <row r="474" spans="1:12">
      <c r="A474">
        <v>3034</v>
      </c>
      <c r="B474" s="2">
        <v>2010</v>
      </c>
      <c r="C474">
        <v>3</v>
      </c>
      <c r="D474" s="3">
        <f>DNSPOntSourceData!E1043</f>
        <v>4588.2470000000003</v>
      </c>
      <c r="E474" s="5">
        <f>DNSPOntSourceData!F1043</f>
        <v>1.1243125351578573</v>
      </c>
      <c r="F474" s="3">
        <f>DNSPOntSourceData!G1043</f>
        <v>96.028000000000006</v>
      </c>
      <c r="G474" s="3">
        <f>DNSPOntSourceData!H1043</f>
        <v>104.372</v>
      </c>
      <c r="H474" s="3">
        <f>DNSPOntSourceData!I1043</f>
        <v>21411</v>
      </c>
      <c r="I474" s="3">
        <f>DNSPOntSourceData!J1043</f>
        <v>441</v>
      </c>
      <c r="J474" s="3">
        <f>DNSPOntSourceData!K1043</f>
        <v>112</v>
      </c>
      <c r="K474" s="12">
        <f>DNSPOntSourceData!L1043</f>
        <v>0.25396825396825395</v>
      </c>
      <c r="L474" s="20" t="s">
        <v>90</v>
      </c>
    </row>
    <row r="475" spans="1:12">
      <c r="A475">
        <v>3034</v>
      </c>
      <c r="B475">
        <v>2011</v>
      </c>
      <c r="C475">
        <v>3</v>
      </c>
      <c r="D475" s="3">
        <f>DNSPOntSourceData!E1044</f>
        <v>5112.1424500000003</v>
      </c>
      <c r="E475" s="5">
        <f>DNSPOntSourceData!F1044</f>
        <v>1.1430978626415853</v>
      </c>
      <c r="F475" s="3">
        <f>DNSPOntSourceData!G1044</f>
        <v>98.477999999999994</v>
      </c>
      <c r="G475" s="3">
        <f>DNSPOntSourceData!H1044</f>
        <v>104.372</v>
      </c>
      <c r="H475" s="3">
        <f>DNSPOntSourceData!I1044</f>
        <v>21768</v>
      </c>
      <c r="I475" s="94">
        <f>AVERAGE(I474,I476)</f>
        <v>451</v>
      </c>
      <c r="J475" s="94">
        <f>AVERAGE(J474,J476)</f>
        <v>117.5</v>
      </c>
      <c r="K475" s="95">
        <f>J475/I475</f>
        <v>0.26053215077605324</v>
      </c>
      <c r="L475" s="20" t="s">
        <v>90</v>
      </c>
    </row>
    <row r="476" spans="1:12">
      <c r="A476">
        <v>3034</v>
      </c>
      <c r="B476" s="2">
        <v>2012</v>
      </c>
      <c r="C476">
        <v>3</v>
      </c>
      <c r="D476" s="3">
        <f>DNSPOntSourceData!E1045</f>
        <v>5879.7897389</v>
      </c>
      <c r="E476" s="5">
        <f>DNSPOntSourceData!F1045</f>
        <v>1.160126854517312</v>
      </c>
      <c r="F476" s="3">
        <f>DNSPOntSourceData!G1045</f>
        <v>89</v>
      </c>
      <c r="G476" s="3">
        <f>DNSPOntSourceData!H1045</f>
        <v>104.372</v>
      </c>
      <c r="H476" s="3">
        <f>DNSPOntSourceData!I1045</f>
        <v>22053</v>
      </c>
      <c r="I476" s="3">
        <f>DNSPOntSourceData!J1045</f>
        <v>461</v>
      </c>
      <c r="J476" s="3">
        <f>DNSPOntSourceData!K1045</f>
        <v>122.99999999999999</v>
      </c>
      <c r="K476" s="12">
        <f>DNSPOntSourceData!L1045</f>
        <v>0.26681127982646419</v>
      </c>
      <c r="L476" s="20" t="s">
        <v>90</v>
      </c>
    </row>
    <row r="477" spans="1:12">
      <c r="A477">
        <v>3034</v>
      </c>
      <c r="B477">
        <v>2013</v>
      </c>
      <c r="C477">
        <v>3</v>
      </c>
      <c r="D477" s="3">
        <f>DNSPOntSourceData!E1046</f>
        <v>5889.642170000001</v>
      </c>
      <c r="E477" s="5">
        <f>DNSPOntSourceData!F1046</f>
        <v>1.178602141578931</v>
      </c>
      <c r="F477" s="3">
        <f>DNSPOntSourceData!G1046</f>
        <v>93.582999999999998</v>
      </c>
      <c r="G477" s="3">
        <f>DNSPOntSourceData!H1046</f>
        <v>104.372</v>
      </c>
      <c r="H477" s="3">
        <f>DNSPOntSourceData!I1046</f>
        <v>22330</v>
      </c>
      <c r="I477" s="3">
        <f>DNSPOntSourceData!J1046</f>
        <v>448</v>
      </c>
      <c r="J477" s="3">
        <f>DNSPOntSourceData!K1046</f>
        <v>117</v>
      </c>
      <c r="K477" s="12">
        <f>DNSPOntSourceData!L1046</f>
        <v>0.2611607142857143</v>
      </c>
      <c r="L477" s="20" t="s">
        <v>90</v>
      </c>
    </row>
    <row r="478" spans="1:12">
      <c r="A478">
        <v>3034</v>
      </c>
      <c r="B478" s="2">
        <v>2014</v>
      </c>
      <c r="C478">
        <v>3</v>
      </c>
      <c r="D478" s="3">
        <f>DNSPOntSourceData!E1047</f>
        <v>6003.7610000000004</v>
      </c>
      <c r="E478" s="5">
        <f>DNSPOntSourceData!F1047</f>
        <v>1.2030671041042156</v>
      </c>
      <c r="F478" s="3">
        <f>DNSPOntSourceData!G1047</f>
        <v>76.387</v>
      </c>
      <c r="G478" s="3">
        <f>DNSPOntSourceData!H1047</f>
        <v>104.372</v>
      </c>
      <c r="H478" s="3">
        <f>DNSPOntSourceData!I1047</f>
        <v>22470</v>
      </c>
      <c r="I478" s="3">
        <f>DNSPOntSourceData!J1047</f>
        <v>466</v>
      </c>
      <c r="J478" s="3">
        <f>DNSPOntSourceData!K1047</f>
        <v>133</v>
      </c>
      <c r="K478" s="12">
        <f>DNSPOntSourceData!L1047</f>
        <v>0.28540772532188841</v>
      </c>
      <c r="L478" s="20" t="s">
        <v>90</v>
      </c>
    </row>
    <row r="479" spans="1:12">
      <c r="A479">
        <v>3034</v>
      </c>
      <c r="B479">
        <v>2015</v>
      </c>
      <c r="C479">
        <v>3</v>
      </c>
      <c r="D479" s="3">
        <f>DNSPOntSourceData!E1048</f>
        <v>6172.8339999999998</v>
      </c>
      <c r="E479" s="5">
        <f>DNSPOntSourceData!F1048</f>
        <v>1.2312762402864634</v>
      </c>
      <c r="F479" s="3">
        <f>DNSPOntSourceData!G1048</f>
        <v>73.421999999999997</v>
      </c>
      <c r="G479" s="3">
        <f>DNSPOntSourceData!H1048</f>
        <v>104.372</v>
      </c>
      <c r="H479" s="3">
        <f>DNSPOntSourceData!I1048</f>
        <v>22666</v>
      </c>
      <c r="I479" s="3">
        <f>DNSPOntSourceData!J1048</f>
        <v>480</v>
      </c>
      <c r="J479" s="3">
        <f>DNSPOntSourceData!K1048</f>
        <v>142</v>
      </c>
      <c r="K479" s="12">
        <f>DNSPOntSourceData!L1048</f>
        <v>0.29583333333333334</v>
      </c>
      <c r="L479" s="20" t="s">
        <v>90</v>
      </c>
    </row>
    <row r="480" spans="1:12">
      <c r="A480">
        <v>3034</v>
      </c>
      <c r="B480" s="2">
        <v>2016</v>
      </c>
      <c r="C480">
        <v>3</v>
      </c>
      <c r="D480" s="3">
        <f>DNSPOntSourceData!E1049</f>
        <v>6568.5993899999994</v>
      </c>
      <c r="E480" s="5">
        <f>DNSPOntSourceData!F1049</f>
        <v>1.2455044937824149</v>
      </c>
      <c r="F480" s="3">
        <f>DNSPOntSourceData!G1049</f>
        <v>77.48</v>
      </c>
      <c r="G480" s="3">
        <f>DNSPOntSourceData!H1049</f>
        <v>104.372</v>
      </c>
      <c r="H480" s="3">
        <f>DNSPOntSourceData!I1049</f>
        <v>22853</v>
      </c>
      <c r="I480" s="3">
        <f>DNSPOntSourceData!J1049</f>
        <v>480</v>
      </c>
      <c r="J480" s="3">
        <f>DNSPOntSourceData!K1049</f>
        <v>142</v>
      </c>
      <c r="K480" s="12">
        <f>DNSPOntSourceData!L1049</f>
        <v>0.29583333333333334</v>
      </c>
      <c r="L480" s="20" t="s">
        <v>90</v>
      </c>
    </row>
    <row r="481" spans="1:12">
      <c r="A481">
        <v>3034</v>
      </c>
      <c r="B481">
        <v>2017</v>
      </c>
      <c r="C481">
        <v>3</v>
      </c>
      <c r="D481" s="3">
        <f>DNSPOntSourceData!E1050</f>
        <v>6597.2320999999993</v>
      </c>
      <c r="E481" s="5">
        <f>DNSPOntSourceData!F1050</f>
        <v>1.2674505553724562</v>
      </c>
      <c r="F481" s="3">
        <f>DNSPOntSourceData!G1050</f>
        <v>73.021000000000001</v>
      </c>
      <c r="G481" s="3">
        <f>DNSPOntSourceData!H1050</f>
        <v>104.372</v>
      </c>
      <c r="H481" s="3">
        <f>DNSPOntSourceData!I1050</f>
        <v>23048</v>
      </c>
      <c r="I481" s="3">
        <f>DNSPOntSourceData!J1050</f>
        <v>479</v>
      </c>
      <c r="J481" s="3">
        <f>DNSPOntSourceData!K1050</f>
        <v>142</v>
      </c>
      <c r="K481" s="12">
        <f>DNSPOntSourceData!L1050</f>
        <v>0.29645093945720252</v>
      </c>
      <c r="L481" s="20" t="s">
        <v>90</v>
      </c>
    </row>
    <row r="482" spans="1:12">
      <c r="A482">
        <v>3034</v>
      </c>
      <c r="B482" s="2">
        <v>2018</v>
      </c>
      <c r="C482">
        <v>3</v>
      </c>
      <c r="D482" s="3">
        <f>DNSPOntSourceData!E1051</f>
        <v>6608.0439899999992</v>
      </c>
      <c r="E482" s="5">
        <f>DNSPOntSourceData!F1051</f>
        <v>1.2994718602728874</v>
      </c>
      <c r="F482" s="3">
        <f>DNSPOntSourceData!G1051</f>
        <v>79.116</v>
      </c>
      <c r="G482" s="3">
        <f>DNSPOntSourceData!H1051</f>
        <v>104.372</v>
      </c>
      <c r="H482" s="3">
        <f>DNSPOntSourceData!I1051</f>
        <v>23366</v>
      </c>
      <c r="I482" s="3">
        <f>DNSPOntSourceData!J1051</f>
        <v>481</v>
      </c>
      <c r="J482" s="3">
        <f>DNSPOntSourceData!K1051</f>
        <v>147</v>
      </c>
      <c r="K482" s="12">
        <f>DNSPOntSourceData!L1051</f>
        <v>0.30561330561330563</v>
      </c>
      <c r="L482" s="20" t="s">
        <v>90</v>
      </c>
    </row>
    <row r="483" spans="1:12">
      <c r="A483" s="142">
        <v>3034</v>
      </c>
      <c r="B483" s="142">
        <v>2019</v>
      </c>
      <c r="C483" s="142">
        <v>3</v>
      </c>
      <c r="D483" s="3">
        <f>DNSPOntSourceData!E1052</f>
        <v>6757.9180299999989</v>
      </c>
      <c r="E483" s="5">
        <f>DNSPOntSourceData!F1052</f>
        <v>1.3352608354138498</v>
      </c>
      <c r="F483" s="3">
        <f>DNSPOntSourceData!G1052</f>
        <v>73.287999999999997</v>
      </c>
      <c r="G483" s="3">
        <f>DNSPOntSourceData!H1052</f>
        <v>104.372</v>
      </c>
      <c r="H483" s="3">
        <f>DNSPOntSourceData!I1052</f>
        <v>23664</v>
      </c>
      <c r="I483" s="3">
        <f>DNSPOntSourceData!J1052</f>
        <v>490</v>
      </c>
      <c r="J483" s="3">
        <f>DNSPOntSourceData!K1052</f>
        <v>155</v>
      </c>
      <c r="K483" s="12">
        <f>DNSPOntSourceData!L1052</f>
        <v>0.31632653061224492</v>
      </c>
      <c r="L483" s="20" t="s">
        <v>90</v>
      </c>
    </row>
    <row r="484" spans="1:12">
      <c r="A484">
        <v>3036</v>
      </c>
      <c r="B484">
        <v>2005</v>
      </c>
      <c r="C484">
        <v>3</v>
      </c>
      <c r="D484" s="3">
        <f>DNSPOntSourceData!E408</f>
        <v>3711.596</v>
      </c>
      <c r="E484" s="5">
        <f>DNSPOntSourceData!F408</f>
        <v>1</v>
      </c>
      <c r="F484" s="3">
        <f>DNSPOntSourceData!G408</f>
        <v>108.866</v>
      </c>
      <c r="G484" s="3">
        <f>DNSPOntSourceData!H408</f>
        <v>108.866</v>
      </c>
      <c r="H484" s="3">
        <f>DNSPOntSourceData!I408</f>
        <v>19873</v>
      </c>
      <c r="I484" s="3">
        <f>DNSPOntSourceData!J408</f>
        <v>1320</v>
      </c>
      <c r="J484" s="3">
        <f>DNSPOntSourceData!K408</f>
        <v>444.99999999999994</v>
      </c>
      <c r="K484" s="12">
        <f>DNSPOntSourceData!L408</f>
        <v>0.3371212121212121</v>
      </c>
      <c r="L484" s="20" t="s">
        <v>48</v>
      </c>
    </row>
    <row r="485" spans="1:12">
      <c r="A485">
        <v>3036</v>
      </c>
      <c r="B485" s="2">
        <v>2006</v>
      </c>
      <c r="C485">
        <v>3</v>
      </c>
      <c r="D485" s="3">
        <f>DNSPOntSourceData!E409</f>
        <v>4352.9579999999996</v>
      </c>
      <c r="E485" s="5">
        <f>DNSPOntSourceData!F409</f>
        <v>1.0181607380073696</v>
      </c>
      <c r="F485" s="3">
        <f>DNSPOntSourceData!G409</f>
        <v>108.866</v>
      </c>
      <c r="G485" s="3">
        <f>DNSPOntSourceData!H409</f>
        <v>108.866</v>
      </c>
      <c r="H485" s="3">
        <f>DNSPOntSourceData!I409</f>
        <v>19007</v>
      </c>
      <c r="I485" s="3">
        <f>DNSPOntSourceData!J409</f>
        <v>1332</v>
      </c>
      <c r="J485" s="3">
        <f>DNSPOntSourceData!K409</f>
        <v>456</v>
      </c>
      <c r="K485" s="12">
        <f>DNSPOntSourceData!L409</f>
        <v>0.34234234234234234</v>
      </c>
      <c r="L485" s="20" t="s">
        <v>48</v>
      </c>
    </row>
    <row r="486" spans="1:12">
      <c r="A486">
        <v>3036</v>
      </c>
      <c r="B486">
        <v>2007</v>
      </c>
      <c r="C486">
        <v>3</v>
      </c>
      <c r="D486" s="3">
        <f>DNSPOntSourceData!E410</f>
        <v>4201.2790000000005</v>
      </c>
      <c r="E486" s="5">
        <f>DNSPOntSourceData!F410</f>
        <v>1.0531931014872313</v>
      </c>
      <c r="F486" s="3">
        <f>DNSPOntSourceData!G410</f>
        <v>122.494</v>
      </c>
      <c r="G486" s="3">
        <f>DNSPOntSourceData!H410</f>
        <v>122.494</v>
      </c>
      <c r="H486" s="3">
        <f>DNSPOntSourceData!I410</f>
        <v>20078</v>
      </c>
      <c r="I486" s="3">
        <f>DNSPOntSourceData!J410</f>
        <v>1344</v>
      </c>
      <c r="J486" s="3">
        <f>DNSPOntSourceData!K410</f>
        <v>463</v>
      </c>
      <c r="K486" s="12">
        <f>DNSPOntSourceData!L410</f>
        <v>0.34449404761904762</v>
      </c>
      <c r="L486" s="20" t="s">
        <v>48</v>
      </c>
    </row>
    <row r="487" spans="1:12">
      <c r="A487">
        <v>3036</v>
      </c>
      <c r="B487" s="2">
        <v>2008</v>
      </c>
      <c r="C487">
        <v>3</v>
      </c>
      <c r="D487" s="3">
        <f>DNSPOntSourceData!E411</f>
        <v>4979.6989999999996</v>
      </c>
      <c r="E487" s="5">
        <f>DNSPOntSourceData!F411</f>
        <v>1.078564603993923</v>
      </c>
      <c r="F487" s="3">
        <f>DNSPOntSourceData!G411</f>
        <v>99.539000000000001</v>
      </c>
      <c r="G487" s="3">
        <f>DNSPOntSourceData!H411</f>
        <v>122.494</v>
      </c>
      <c r="H487" s="3">
        <f>DNSPOntSourceData!I411</f>
        <v>20818</v>
      </c>
      <c r="I487" s="3">
        <f>DNSPOntSourceData!J411</f>
        <v>1363</v>
      </c>
      <c r="J487" s="3">
        <f>DNSPOntSourceData!K411</f>
        <v>481</v>
      </c>
      <c r="K487" s="12">
        <f>DNSPOntSourceData!L411</f>
        <v>0.35289801907556861</v>
      </c>
      <c r="L487" s="20" t="s">
        <v>48</v>
      </c>
    </row>
    <row r="488" spans="1:12">
      <c r="A488">
        <v>3036</v>
      </c>
      <c r="B488">
        <v>2009</v>
      </c>
      <c r="C488">
        <v>3</v>
      </c>
      <c r="D488" s="3">
        <f>DNSPOntSourceData!E412</f>
        <v>4353.1940000000004</v>
      </c>
      <c r="E488" s="5">
        <f>DNSPOntSourceData!F412</f>
        <v>1.0915070880241431</v>
      </c>
      <c r="F488" s="3">
        <f>DNSPOntSourceData!G412</f>
        <v>97.838999999999999</v>
      </c>
      <c r="G488" s="3">
        <f>DNSPOntSourceData!H412</f>
        <v>122.494</v>
      </c>
      <c r="H488" s="3">
        <f>DNSPOntSourceData!I412</f>
        <v>21044</v>
      </c>
      <c r="I488" s="3">
        <f>DNSPOntSourceData!J412</f>
        <v>1363</v>
      </c>
      <c r="J488" s="3">
        <f>DNSPOntSourceData!K412</f>
        <v>481</v>
      </c>
      <c r="K488" s="12">
        <f>DNSPOntSourceData!L412</f>
        <v>0.35289801907556861</v>
      </c>
      <c r="L488" s="20" t="s">
        <v>48</v>
      </c>
    </row>
    <row r="489" spans="1:12">
      <c r="A489">
        <v>3036</v>
      </c>
      <c r="B489" s="2">
        <v>2010</v>
      </c>
      <c r="C489">
        <v>3</v>
      </c>
      <c r="D489" s="3">
        <f>DNSPOntSourceData!E413</f>
        <v>4289.3869999999997</v>
      </c>
      <c r="E489" s="5">
        <f>DNSPOntSourceData!F413</f>
        <v>1.1243125351578573</v>
      </c>
      <c r="F489" s="3">
        <f>DNSPOntSourceData!G413</f>
        <v>107.148</v>
      </c>
      <c r="G489" s="3">
        <f>DNSPOntSourceData!H413</f>
        <v>122.494</v>
      </c>
      <c r="H489" s="3">
        <f>DNSPOntSourceData!I413</f>
        <v>20790</v>
      </c>
      <c r="I489" s="3">
        <f>DNSPOntSourceData!J413</f>
        <v>1404</v>
      </c>
      <c r="J489" s="3">
        <f>DNSPOntSourceData!K413</f>
        <v>545</v>
      </c>
      <c r="K489" s="12">
        <f>DNSPOntSourceData!L413</f>
        <v>0.38817663817663817</v>
      </c>
      <c r="L489" s="20" t="s">
        <v>48</v>
      </c>
    </row>
    <row r="490" spans="1:12">
      <c r="A490">
        <v>3036</v>
      </c>
      <c r="B490">
        <v>2011</v>
      </c>
      <c r="C490">
        <v>3</v>
      </c>
      <c r="D490" s="3">
        <f>DNSPOntSourceData!E414</f>
        <v>4766.6729999999998</v>
      </c>
      <c r="E490" s="5">
        <f>DNSPOntSourceData!F414</f>
        <v>1.1430978626415853</v>
      </c>
      <c r="F490" s="3">
        <f>DNSPOntSourceData!G414</f>
        <v>110.39100000000001</v>
      </c>
      <c r="G490" s="3">
        <f>DNSPOntSourceData!H414</f>
        <v>122.494</v>
      </c>
      <c r="H490" s="3">
        <f>DNSPOntSourceData!I414</f>
        <v>21232</v>
      </c>
      <c r="I490" s="3">
        <f>DNSPOntSourceData!J414</f>
        <v>1464</v>
      </c>
      <c r="J490" s="3">
        <f>DNSPOntSourceData!K414</f>
        <v>576</v>
      </c>
      <c r="K490" s="12">
        <f>DNSPOntSourceData!L414</f>
        <v>0.39344262295081966</v>
      </c>
      <c r="L490" s="20" t="s">
        <v>48</v>
      </c>
    </row>
    <row r="491" spans="1:12">
      <c r="A491">
        <v>3036</v>
      </c>
      <c r="B491" s="2">
        <v>2012</v>
      </c>
      <c r="C491">
        <v>3</v>
      </c>
      <c r="D491" s="3">
        <f>DNSPOntSourceData!E415</f>
        <v>5536.3169132676758</v>
      </c>
      <c r="E491" s="5">
        <f>DNSPOntSourceData!F415</f>
        <v>1.160126854517312</v>
      </c>
      <c r="F491" s="3">
        <f>DNSPOntSourceData!G415</f>
        <v>110.08</v>
      </c>
      <c r="G491" s="3">
        <f>DNSPOntSourceData!H415</f>
        <v>122.494</v>
      </c>
      <c r="H491" s="3">
        <f>DNSPOntSourceData!I415</f>
        <v>20893</v>
      </c>
      <c r="I491" s="3">
        <f>DNSPOntSourceData!J415</f>
        <v>1497</v>
      </c>
      <c r="J491" s="3">
        <f>DNSPOntSourceData!K415</f>
        <v>605</v>
      </c>
      <c r="K491" s="12">
        <f>DNSPOntSourceData!L415</f>
        <v>0.40414161656646624</v>
      </c>
      <c r="L491" s="20" t="s">
        <v>48</v>
      </c>
    </row>
    <row r="492" spans="1:12">
      <c r="A492">
        <v>3036</v>
      </c>
      <c r="B492">
        <v>2013</v>
      </c>
      <c r="C492">
        <v>3</v>
      </c>
      <c r="D492" s="3">
        <f>DNSPOntSourceData!E416</f>
        <v>4821.3360000000002</v>
      </c>
      <c r="E492" s="5">
        <f>DNSPOntSourceData!F416</f>
        <v>1.178602141578931</v>
      </c>
      <c r="F492" s="3">
        <f>DNSPOntSourceData!G416</f>
        <v>111.279</v>
      </c>
      <c r="G492" s="3">
        <f>DNSPOntSourceData!H416</f>
        <v>122.494</v>
      </c>
      <c r="H492" s="3">
        <f>DNSPOntSourceData!I416</f>
        <v>21499</v>
      </c>
      <c r="I492" s="3">
        <f>DNSPOntSourceData!J416</f>
        <v>1527</v>
      </c>
      <c r="J492" s="3">
        <f>DNSPOntSourceData!K416</f>
        <v>636</v>
      </c>
      <c r="K492" s="12">
        <f>DNSPOntSourceData!L416</f>
        <v>0.41650294695481338</v>
      </c>
      <c r="L492" s="20" t="s">
        <v>48</v>
      </c>
    </row>
    <row r="493" spans="1:12">
      <c r="A493">
        <v>3036</v>
      </c>
      <c r="B493" s="2">
        <v>2014</v>
      </c>
      <c r="C493">
        <v>3</v>
      </c>
      <c r="D493" s="3">
        <f>DNSPOntSourceData!E417</f>
        <v>5201.6229999999996</v>
      </c>
      <c r="E493" s="5">
        <f>DNSPOntSourceData!F417</f>
        <v>1.2030671041042156</v>
      </c>
      <c r="F493" s="3">
        <f>DNSPOntSourceData!G417</f>
        <v>98.677000000000007</v>
      </c>
      <c r="G493" s="3">
        <f>DNSPOntSourceData!H417</f>
        <v>122.494</v>
      </c>
      <c r="H493" s="3">
        <f>DNSPOntSourceData!I417</f>
        <v>21534</v>
      </c>
      <c r="I493" s="3">
        <f>DNSPOntSourceData!J417</f>
        <v>1527</v>
      </c>
      <c r="J493" s="3">
        <f>DNSPOntSourceData!K417</f>
        <v>631</v>
      </c>
      <c r="K493" s="12">
        <f>DNSPOntSourceData!L417</f>
        <v>0.41322855271774722</v>
      </c>
      <c r="L493" s="20" t="s">
        <v>48</v>
      </c>
    </row>
    <row r="494" spans="1:12">
      <c r="A494">
        <v>3036</v>
      </c>
      <c r="B494">
        <v>2015</v>
      </c>
      <c r="C494">
        <v>3</v>
      </c>
      <c r="D494" s="3">
        <f>DNSPOntSourceData!E418</f>
        <v>5780.049</v>
      </c>
      <c r="E494" s="5">
        <f>DNSPOntSourceData!F418</f>
        <v>1.2312762402864634</v>
      </c>
      <c r="F494" s="3">
        <f>DNSPOntSourceData!G418</f>
        <v>101.316</v>
      </c>
      <c r="G494" s="3">
        <f>DNSPOntSourceData!H418</f>
        <v>122.494</v>
      </c>
      <c r="H494" s="3">
        <f>DNSPOntSourceData!I418</f>
        <v>21929</v>
      </c>
      <c r="I494" s="3">
        <f>DNSPOntSourceData!J418</f>
        <v>1556</v>
      </c>
      <c r="J494" s="3">
        <f>DNSPOntSourceData!K418</f>
        <v>654</v>
      </c>
      <c r="K494" s="12">
        <f>DNSPOntSourceData!L418</f>
        <v>0.42030848329048842</v>
      </c>
      <c r="L494" s="20" t="s">
        <v>48</v>
      </c>
    </row>
    <row r="495" spans="1:12">
      <c r="A495">
        <v>3036</v>
      </c>
      <c r="B495" s="2">
        <v>2016</v>
      </c>
      <c r="C495">
        <v>3</v>
      </c>
      <c r="D495" s="3">
        <f>DNSPOntSourceData!E419</f>
        <v>6128.2452800000001</v>
      </c>
      <c r="E495" s="5">
        <f>DNSPOntSourceData!F419</f>
        <v>1.2455044937824149</v>
      </c>
      <c r="F495" s="3">
        <f>DNSPOntSourceData!G419</f>
        <v>107.53100000000001</v>
      </c>
      <c r="G495" s="3">
        <f>DNSPOntSourceData!H419</f>
        <v>122.494</v>
      </c>
      <c r="H495" s="3">
        <f>DNSPOntSourceData!I419</f>
        <v>22112</v>
      </c>
      <c r="I495" s="3">
        <f>DNSPOntSourceData!J419</f>
        <v>1613</v>
      </c>
      <c r="J495" s="3">
        <f>DNSPOntSourceData!K419</f>
        <v>701</v>
      </c>
      <c r="K495" s="12">
        <f>DNSPOntSourceData!L419</f>
        <v>0.43459392436453814</v>
      </c>
      <c r="L495" s="20" t="s">
        <v>48</v>
      </c>
    </row>
    <row r="496" spans="1:12">
      <c r="A496">
        <v>3036</v>
      </c>
      <c r="B496">
        <v>2017</v>
      </c>
      <c r="C496">
        <v>3</v>
      </c>
      <c r="D496" s="3">
        <f>DNSPOntSourceData!E420</f>
        <v>5991.4696100000001</v>
      </c>
      <c r="E496" s="5">
        <f>DNSPOntSourceData!F420</f>
        <v>1.2674505553724562</v>
      </c>
      <c r="F496" s="3">
        <f>DNSPOntSourceData!G420</f>
        <v>95.399000000000001</v>
      </c>
      <c r="G496" s="3">
        <f>DNSPOntSourceData!H420</f>
        <v>122.494</v>
      </c>
      <c r="H496" s="3">
        <f>DNSPOntSourceData!I420</f>
        <v>22195</v>
      </c>
      <c r="I496" s="3">
        <f>DNSPOntSourceData!J420</f>
        <v>1645</v>
      </c>
      <c r="J496" s="3">
        <f>DNSPOntSourceData!K420</f>
        <v>724</v>
      </c>
      <c r="K496" s="12">
        <f>DNSPOntSourceData!L420</f>
        <v>0.44012158054711248</v>
      </c>
      <c r="L496" s="20" t="s">
        <v>48</v>
      </c>
    </row>
    <row r="497" spans="1:12">
      <c r="A497">
        <v>3036</v>
      </c>
      <c r="B497" s="2">
        <v>2018</v>
      </c>
      <c r="C497">
        <v>3</v>
      </c>
      <c r="D497" s="3">
        <f>DNSPOntSourceData!E421</f>
        <v>6069.6831300000013</v>
      </c>
      <c r="E497" s="5">
        <f>DNSPOntSourceData!F421</f>
        <v>1.2994718602728874</v>
      </c>
      <c r="F497" s="3">
        <f>DNSPOntSourceData!G421</f>
        <v>104.73</v>
      </c>
      <c r="G497" s="3">
        <f>DNSPOntSourceData!H421</f>
        <v>122.494</v>
      </c>
      <c r="H497" s="3">
        <f>DNSPOntSourceData!I421</f>
        <v>22442</v>
      </c>
      <c r="I497" s="3">
        <f>DNSPOntSourceData!J421</f>
        <v>1641</v>
      </c>
      <c r="J497" s="3">
        <f>DNSPOntSourceData!K421</f>
        <v>729</v>
      </c>
      <c r="K497" s="12">
        <f>DNSPOntSourceData!L421</f>
        <v>0.44424131627056673</v>
      </c>
      <c r="L497" s="20" t="s">
        <v>48</v>
      </c>
    </row>
    <row r="498" spans="1:12">
      <c r="A498" s="142">
        <v>3036</v>
      </c>
      <c r="B498" s="142">
        <v>2019</v>
      </c>
      <c r="C498" s="142">
        <v>3</v>
      </c>
      <c r="D498" s="3">
        <f>DNSPOntSourceData!E422</f>
        <v>6215.6970300000012</v>
      </c>
      <c r="E498" s="5">
        <f>DNSPOntSourceData!F422</f>
        <v>1.3352608354138498</v>
      </c>
      <c r="F498" s="3">
        <f>DNSPOntSourceData!G422</f>
        <v>99.438999999999993</v>
      </c>
      <c r="G498" s="3">
        <f>DNSPOntSourceData!H422</f>
        <v>122.494</v>
      </c>
      <c r="H498" s="3">
        <f>DNSPOntSourceData!I422</f>
        <v>22528</v>
      </c>
      <c r="I498" s="3">
        <f>DNSPOntSourceData!J422</f>
        <v>1686</v>
      </c>
      <c r="J498" s="3">
        <f>DNSPOntSourceData!K422</f>
        <v>754</v>
      </c>
      <c r="K498" s="12">
        <f>DNSPOntSourceData!L422</f>
        <v>0.4472123368920522</v>
      </c>
      <c r="L498" s="20" t="s">
        <v>48</v>
      </c>
    </row>
    <row r="499" spans="1:12">
      <c r="A499">
        <v>3037</v>
      </c>
      <c r="B499">
        <v>2005</v>
      </c>
      <c r="C499">
        <v>3</v>
      </c>
      <c r="D499" s="3">
        <f>DNSPOntSourceData!E318</f>
        <v>3037.7173399999997</v>
      </c>
      <c r="E499" s="5">
        <f>DNSPOntSourceData!F318</f>
        <v>1</v>
      </c>
      <c r="F499" s="3">
        <f>DNSPOntSourceData!G318</f>
        <v>101.863</v>
      </c>
      <c r="G499" s="3">
        <f>DNSPOntSourceData!H318</f>
        <v>101.863</v>
      </c>
      <c r="H499" s="3">
        <f>DNSPOntSourceData!I318</f>
        <v>18860</v>
      </c>
      <c r="I499" s="3">
        <f>DNSPOntSourceData!J318</f>
        <v>275</v>
      </c>
      <c r="J499" s="3">
        <f>DNSPOntSourceData!K318</f>
        <v>90</v>
      </c>
      <c r="K499" s="12">
        <f>DNSPOntSourceData!L318</f>
        <v>0.32727272727272727</v>
      </c>
      <c r="L499" s="20" t="s">
        <v>42</v>
      </c>
    </row>
    <row r="500" spans="1:12">
      <c r="A500">
        <v>3037</v>
      </c>
      <c r="B500" s="2">
        <v>2006</v>
      </c>
      <c r="C500">
        <v>3</v>
      </c>
      <c r="D500" s="3">
        <f>DNSPOntSourceData!E319</f>
        <v>3204.6691700000001</v>
      </c>
      <c r="E500" s="5">
        <f>DNSPOntSourceData!F319</f>
        <v>1.0181607380073696</v>
      </c>
      <c r="F500" s="3">
        <f>DNSPOntSourceData!G319</f>
        <v>111.673</v>
      </c>
      <c r="G500" s="3">
        <f>DNSPOntSourceData!H319</f>
        <v>111.673</v>
      </c>
      <c r="H500" s="3">
        <f>DNSPOntSourceData!I319</f>
        <v>19025</v>
      </c>
      <c r="I500" s="3">
        <f>DNSPOntSourceData!J319</f>
        <v>274</v>
      </c>
      <c r="J500" s="3">
        <f>DNSPOntSourceData!K319</f>
        <v>90</v>
      </c>
      <c r="K500" s="12">
        <f>DNSPOntSourceData!L319</f>
        <v>0.32846715328467152</v>
      </c>
      <c r="L500" s="20" t="s">
        <v>42</v>
      </c>
    </row>
    <row r="501" spans="1:12">
      <c r="A501">
        <v>3037</v>
      </c>
      <c r="B501">
        <v>2007</v>
      </c>
      <c r="C501">
        <v>3</v>
      </c>
      <c r="D501" s="3">
        <f>DNSPOntSourceData!E320</f>
        <v>3327.7473300000001</v>
      </c>
      <c r="E501" s="5">
        <f>DNSPOntSourceData!F320</f>
        <v>1.0531931014872313</v>
      </c>
      <c r="F501" s="3">
        <f>DNSPOntSourceData!G320</f>
        <v>107.69</v>
      </c>
      <c r="G501" s="3">
        <f>DNSPOntSourceData!H320</f>
        <v>111.673</v>
      </c>
      <c r="H501" s="3">
        <f>DNSPOntSourceData!I320</f>
        <v>19262</v>
      </c>
      <c r="I501" s="3">
        <f>DNSPOntSourceData!J320</f>
        <v>274</v>
      </c>
      <c r="J501" s="3">
        <f>DNSPOntSourceData!K320</f>
        <v>90</v>
      </c>
      <c r="K501" s="12">
        <f>DNSPOntSourceData!L320</f>
        <v>0.32846715328467152</v>
      </c>
      <c r="L501" s="20" t="s">
        <v>42</v>
      </c>
    </row>
    <row r="502" spans="1:12">
      <c r="A502">
        <v>3037</v>
      </c>
      <c r="B502" s="2">
        <v>2008</v>
      </c>
      <c r="C502">
        <v>3</v>
      </c>
      <c r="D502" s="3">
        <f>DNSPOntSourceData!E321</f>
        <v>3575.1713199999999</v>
      </c>
      <c r="E502" s="5">
        <f>DNSPOntSourceData!F321</f>
        <v>1.078564603993923</v>
      </c>
      <c r="F502" s="3">
        <f>DNSPOntSourceData!G321</f>
        <v>105.205</v>
      </c>
      <c r="G502" s="3">
        <f>DNSPOntSourceData!H321</f>
        <v>111.673</v>
      </c>
      <c r="H502" s="3">
        <f>DNSPOntSourceData!I321</f>
        <v>19394</v>
      </c>
      <c r="I502" s="3">
        <f>DNSPOntSourceData!J321</f>
        <v>274</v>
      </c>
      <c r="J502" s="3">
        <f>DNSPOntSourceData!K321</f>
        <v>90</v>
      </c>
      <c r="K502" s="12">
        <f>DNSPOntSourceData!L321</f>
        <v>0.32846715328467152</v>
      </c>
      <c r="L502" s="20" t="s">
        <v>42</v>
      </c>
    </row>
    <row r="503" spans="1:12">
      <c r="A503">
        <v>3037</v>
      </c>
      <c r="B503">
        <v>2009</v>
      </c>
      <c r="C503">
        <v>3</v>
      </c>
      <c r="D503" s="3">
        <f>DNSPOntSourceData!E322</f>
        <v>3609.0988600000001</v>
      </c>
      <c r="E503" s="5">
        <f>DNSPOntSourceData!F322</f>
        <v>1.0915070880241431</v>
      </c>
      <c r="F503" s="3">
        <f>DNSPOntSourceData!G322</f>
        <v>99.72</v>
      </c>
      <c r="G503" s="3">
        <f>DNSPOntSourceData!H322</f>
        <v>111.673</v>
      </c>
      <c r="H503" s="3">
        <f>DNSPOntSourceData!I322</f>
        <v>19531</v>
      </c>
      <c r="I503" s="3">
        <f>DNSPOntSourceData!J322</f>
        <v>276</v>
      </c>
      <c r="J503" s="3">
        <f>DNSPOntSourceData!K322</f>
        <v>92</v>
      </c>
      <c r="K503" s="12">
        <f>DNSPOntSourceData!L322</f>
        <v>0.33333333333333331</v>
      </c>
      <c r="L503" s="20" t="s">
        <v>42</v>
      </c>
    </row>
    <row r="504" spans="1:12">
      <c r="A504">
        <v>3037</v>
      </c>
      <c r="B504" s="2">
        <v>2010</v>
      </c>
      <c r="C504">
        <v>3</v>
      </c>
      <c r="D504" s="3">
        <f>DNSPOntSourceData!E323</f>
        <v>3818.2637799999993</v>
      </c>
      <c r="E504" s="5">
        <f>DNSPOntSourceData!F323</f>
        <v>1.1243125351578573</v>
      </c>
      <c r="F504" s="3">
        <f>DNSPOntSourceData!G323</f>
        <v>103.1</v>
      </c>
      <c r="G504" s="3">
        <f>DNSPOntSourceData!H323</f>
        <v>111.673</v>
      </c>
      <c r="H504" s="3">
        <f>DNSPOntSourceData!I323</f>
        <v>19579</v>
      </c>
      <c r="I504" s="3">
        <f>DNSPOntSourceData!J323</f>
        <v>277</v>
      </c>
      <c r="J504" s="3">
        <f>DNSPOntSourceData!K323</f>
        <v>92</v>
      </c>
      <c r="K504" s="12">
        <f>DNSPOntSourceData!L323</f>
        <v>0.33212996389891697</v>
      </c>
      <c r="L504" s="20" t="s">
        <v>42</v>
      </c>
    </row>
    <row r="505" spans="1:12">
      <c r="A505">
        <v>3037</v>
      </c>
      <c r="B505">
        <v>2011</v>
      </c>
      <c r="C505">
        <v>3</v>
      </c>
      <c r="D505" s="3">
        <f>DNSPOntSourceData!E324</f>
        <v>3938.5922799999998</v>
      </c>
      <c r="E505" s="5">
        <f>DNSPOntSourceData!F324</f>
        <v>1.1430978626415853</v>
      </c>
      <c r="F505" s="3">
        <f>DNSPOntSourceData!G324</f>
        <v>107.41500000000001</v>
      </c>
      <c r="G505" s="3">
        <f>DNSPOntSourceData!H324</f>
        <v>111.673</v>
      </c>
      <c r="H505" s="3">
        <f>DNSPOntSourceData!I324</f>
        <v>19885</v>
      </c>
      <c r="I505" s="3">
        <f>DNSPOntSourceData!J324</f>
        <v>277</v>
      </c>
      <c r="J505" s="3">
        <f>DNSPOntSourceData!K324</f>
        <v>92</v>
      </c>
      <c r="K505" s="12">
        <f>DNSPOntSourceData!L324</f>
        <v>0.33212996389891697</v>
      </c>
      <c r="L505" s="20" t="s">
        <v>42</v>
      </c>
    </row>
    <row r="506" spans="1:12">
      <c r="A506">
        <v>3037</v>
      </c>
      <c r="B506" s="2">
        <v>2012</v>
      </c>
      <c r="C506">
        <v>3</v>
      </c>
      <c r="D506" s="3">
        <f>DNSPOntSourceData!E325</f>
        <v>4528.9112516520017</v>
      </c>
      <c r="E506" s="5">
        <f>DNSPOntSourceData!F325</f>
        <v>1.160126854517312</v>
      </c>
      <c r="F506" s="3">
        <f>DNSPOntSourceData!G325</f>
        <v>104.736</v>
      </c>
      <c r="G506" s="3">
        <f>DNSPOntSourceData!H325</f>
        <v>111.673</v>
      </c>
      <c r="H506" s="3">
        <f>DNSPOntSourceData!I325</f>
        <v>20057</v>
      </c>
      <c r="I506" s="3">
        <f>DNSPOntSourceData!J325</f>
        <v>277</v>
      </c>
      <c r="J506" s="3">
        <f>DNSPOntSourceData!K325</f>
        <v>92</v>
      </c>
      <c r="K506" s="12">
        <f>DNSPOntSourceData!L325</f>
        <v>0.33212996389891697</v>
      </c>
      <c r="L506" s="20" t="s">
        <v>42</v>
      </c>
    </row>
    <row r="507" spans="1:12">
      <c r="A507">
        <v>3037</v>
      </c>
      <c r="B507">
        <v>2013</v>
      </c>
      <c r="C507">
        <v>3</v>
      </c>
      <c r="D507" s="3">
        <f>DNSPOntSourceData!E326</f>
        <v>4923.3870500000012</v>
      </c>
      <c r="E507" s="5">
        <f>DNSPOntSourceData!F326</f>
        <v>1.178602141578931</v>
      </c>
      <c r="F507" s="3">
        <f>DNSPOntSourceData!G326</f>
        <v>105.361</v>
      </c>
      <c r="G507" s="3">
        <f>DNSPOntSourceData!H326</f>
        <v>111.673</v>
      </c>
      <c r="H507" s="3">
        <f>DNSPOntSourceData!I326</f>
        <v>20187</v>
      </c>
      <c r="I507" s="3">
        <f>DNSPOntSourceData!J326</f>
        <v>256</v>
      </c>
      <c r="J507" s="3">
        <f>DNSPOntSourceData!K326</f>
        <v>94</v>
      </c>
      <c r="K507" s="12">
        <f>DNSPOntSourceData!L326</f>
        <v>0.3671875</v>
      </c>
      <c r="L507" s="20" t="s">
        <v>42</v>
      </c>
    </row>
    <row r="508" spans="1:12">
      <c r="A508">
        <v>3037</v>
      </c>
      <c r="B508" s="2">
        <v>2014</v>
      </c>
      <c r="C508">
        <v>3</v>
      </c>
      <c r="D508" s="3">
        <f>DNSPOntSourceData!E327</f>
        <v>5001.5860000000002</v>
      </c>
      <c r="E508" s="5">
        <f>DNSPOntSourceData!F327</f>
        <v>1.2030671041042156</v>
      </c>
      <c r="F508" s="3">
        <f>DNSPOntSourceData!G327</f>
        <v>100.08</v>
      </c>
      <c r="G508" s="3">
        <f>DNSPOntSourceData!H327</f>
        <v>111.673</v>
      </c>
      <c r="H508" s="3">
        <f>DNSPOntSourceData!I327</f>
        <v>20362</v>
      </c>
      <c r="I508" s="3">
        <f>DNSPOntSourceData!J327</f>
        <v>258</v>
      </c>
      <c r="J508" s="3">
        <f>DNSPOntSourceData!K327</f>
        <v>93</v>
      </c>
      <c r="K508" s="12">
        <f>DNSPOntSourceData!L327</f>
        <v>0.36046511627906974</v>
      </c>
      <c r="L508" s="20" t="s">
        <v>42</v>
      </c>
    </row>
    <row r="509" spans="1:12">
      <c r="A509">
        <v>3037</v>
      </c>
      <c r="B509">
        <v>2015</v>
      </c>
      <c r="C509">
        <v>3</v>
      </c>
      <c r="D509" s="3">
        <f>DNSPOntSourceData!E328</f>
        <v>5095.6540000000005</v>
      </c>
      <c r="E509" s="5">
        <f>DNSPOntSourceData!F328</f>
        <v>1.2312762402864634</v>
      </c>
      <c r="F509" s="3">
        <f>DNSPOntSourceData!G328</f>
        <v>104.538</v>
      </c>
      <c r="G509" s="3">
        <f>DNSPOntSourceData!H328</f>
        <v>111.673</v>
      </c>
      <c r="H509" s="3">
        <f>DNSPOntSourceData!I328</f>
        <v>20556</v>
      </c>
      <c r="I509" s="3">
        <f>DNSPOntSourceData!J328</f>
        <v>260</v>
      </c>
      <c r="J509" s="3">
        <f>DNSPOntSourceData!K328</f>
        <v>95</v>
      </c>
      <c r="K509" s="12">
        <f>DNSPOntSourceData!L328</f>
        <v>0.36538461538461536</v>
      </c>
      <c r="L509" s="20" t="s">
        <v>42</v>
      </c>
    </row>
    <row r="510" spans="1:12">
      <c r="A510">
        <v>3037</v>
      </c>
      <c r="B510" s="2">
        <v>2016</v>
      </c>
      <c r="C510">
        <v>3</v>
      </c>
      <c r="D510" s="3">
        <f>DNSPOntSourceData!E329</f>
        <v>5538.9137599999995</v>
      </c>
      <c r="E510" s="5">
        <f>DNSPOntSourceData!F329</f>
        <v>1.2455044937824149</v>
      </c>
      <c r="F510" s="3">
        <f>DNSPOntSourceData!G329</f>
        <v>107.476</v>
      </c>
      <c r="G510" s="3">
        <f>DNSPOntSourceData!H329</f>
        <v>111.673</v>
      </c>
      <c r="H510" s="3">
        <f>DNSPOntSourceData!I329</f>
        <v>20825</v>
      </c>
      <c r="I510" s="3">
        <f>DNSPOntSourceData!J329</f>
        <v>260</v>
      </c>
      <c r="J510" s="3">
        <f>DNSPOntSourceData!K329</f>
        <v>95</v>
      </c>
      <c r="K510" s="12">
        <f>DNSPOntSourceData!L329</f>
        <v>0.36538461538461536</v>
      </c>
      <c r="L510" s="20" t="s">
        <v>42</v>
      </c>
    </row>
    <row r="511" spans="1:12">
      <c r="A511">
        <v>3037</v>
      </c>
      <c r="B511">
        <v>2017</v>
      </c>
      <c r="C511">
        <v>3</v>
      </c>
      <c r="D511" s="3">
        <f>DNSPOntSourceData!E330</f>
        <v>5423.9436699999997</v>
      </c>
      <c r="E511" s="5">
        <f>DNSPOntSourceData!F330</f>
        <v>1.2674505553724562</v>
      </c>
      <c r="F511" s="3">
        <f>DNSPOntSourceData!G330</f>
        <v>104.45</v>
      </c>
      <c r="G511" s="3">
        <f>DNSPOntSourceData!H330</f>
        <v>111.673</v>
      </c>
      <c r="H511" s="3">
        <f>DNSPOntSourceData!I330</f>
        <v>21108</v>
      </c>
      <c r="I511" s="3">
        <f>DNSPOntSourceData!J330</f>
        <v>262</v>
      </c>
      <c r="J511" s="3">
        <f>DNSPOntSourceData!K330</f>
        <v>97</v>
      </c>
      <c r="K511" s="12">
        <f>DNSPOntSourceData!L330</f>
        <v>0.37022900763358779</v>
      </c>
      <c r="L511" s="20" t="s">
        <v>42</v>
      </c>
    </row>
    <row r="512" spans="1:12">
      <c r="A512">
        <v>3037</v>
      </c>
      <c r="B512" s="2">
        <v>2018</v>
      </c>
      <c r="C512">
        <v>3</v>
      </c>
      <c r="D512" s="3">
        <f>DNSPOntSourceData!E331</f>
        <v>6168.2687400000004</v>
      </c>
      <c r="E512" s="5">
        <f>DNSPOntSourceData!F331</f>
        <v>1.2994718602728874</v>
      </c>
      <c r="F512" s="3">
        <f>DNSPOntSourceData!G331</f>
        <v>108.68899999999999</v>
      </c>
      <c r="G512" s="3">
        <f>DNSPOntSourceData!H331</f>
        <v>111.673</v>
      </c>
      <c r="H512" s="3">
        <f>DNSPOntSourceData!I331</f>
        <v>21369</v>
      </c>
      <c r="I512" s="3">
        <f>DNSPOntSourceData!J331</f>
        <v>261</v>
      </c>
      <c r="J512" s="3">
        <f>DNSPOntSourceData!K331</f>
        <v>95</v>
      </c>
      <c r="K512" s="12">
        <f>DNSPOntSourceData!L331</f>
        <v>0.36398467432950193</v>
      </c>
      <c r="L512" s="20" t="s">
        <v>42</v>
      </c>
    </row>
    <row r="513" spans="1:12">
      <c r="A513" s="142">
        <v>3037</v>
      </c>
      <c r="B513" s="142">
        <v>2019</v>
      </c>
      <c r="C513" s="142">
        <v>3</v>
      </c>
      <c r="D513" s="3">
        <f>DNSPOntSourceData!E332</f>
        <v>5855.8531500000017</v>
      </c>
      <c r="E513" s="5">
        <f>DNSPOntSourceData!F332</f>
        <v>1.3352608354138498</v>
      </c>
      <c r="F513" s="3">
        <f>DNSPOntSourceData!G332</f>
        <v>103.142</v>
      </c>
      <c r="G513" s="3">
        <f>DNSPOntSourceData!H332</f>
        <v>111.673</v>
      </c>
      <c r="H513" s="3">
        <f>DNSPOntSourceData!I332</f>
        <v>21382</v>
      </c>
      <c r="I513" s="3">
        <f>DNSPOntSourceData!J332</f>
        <v>261</v>
      </c>
      <c r="J513" s="3">
        <f>DNSPOntSourceData!K332</f>
        <v>96</v>
      </c>
      <c r="K513" s="12">
        <f>DNSPOntSourceData!L332</f>
        <v>0.36781609195402298</v>
      </c>
      <c r="L513" s="20" t="s">
        <v>42</v>
      </c>
    </row>
    <row r="514" spans="1:12">
      <c r="A514">
        <v>3038</v>
      </c>
      <c r="B514">
        <v>2017</v>
      </c>
      <c r="C514">
        <v>3</v>
      </c>
      <c r="D514" s="3">
        <f>DNSPOntSourceData!E15</f>
        <v>253135.39759000001</v>
      </c>
      <c r="E514" s="5">
        <f>DNSPOntSourceData!F15</f>
        <v>1.2674505553724562</v>
      </c>
      <c r="F514" s="3">
        <f>DNSPOntSourceData!G15</f>
        <v>4721.2539999999999</v>
      </c>
      <c r="G514" s="3">
        <f>DNSPOntSourceData!H15</f>
        <v>4721.2539999999999</v>
      </c>
      <c r="H514" s="3">
        <f>DNSPOntSourceData!I15</f>
        <v>982023</v>
      </c>
      <c r="I514" s="3">
        <f>DNSPOntSourceData!J15</f>
        <v>19779</v>
      </c>
      <c r="J514" s="3">
        <f>DNSPOntSourceData!K15</f>
        <v>13167</v>
      </c>
      <c r="K514" s="12">
        <f>DNSPOntSourceData!L15</f>
        <v>0.66570605187319887</v>
      </c>
      <c r="L514" s="20" t="s">
        <v>321</v>
      </c>
    </row>
    <row r="515" spans="1:12">
      <c r="A515">
        <v>3038</v>
      </c>
      <c r="B515" s="2">
        <v>2018</v>
      </c>
      <c r="C515">
        <v>3</v>
      </c>
      <c r="D515" s="3">
        <f>DNSPOntSourceData!E16</f>
        <v>226830.29759</v>
      </c>
      <c r="E515" s="5">
        <f>DNSPOntSourceData!F16</f>
        <v>1.2994718602728874</v>
      </c>
      <c r="F515" s="3">
        <f>DNSPOntSourceData!G16</f>
        <v>5106.3159999999998</v>
      </c>
      <c r="G515" s="3">
        <f>DNSPOntSourceData!H16</f>
        <v>5106.3159999999998</v>
      </c>
      <c r="H515" s="3">
        <f>DNSPOntSourceData!I16</f>
        <v>991103</v>
      </c>
      <c r="I515" s="3">
        <f>DNSPOntSourceData!J16</f>
        <v>19897</v>
      </c>
      <c r="J515" s="3">
        <f>DNSPOntSourceData!K16</f>
        <v>13321</v>
      </c>
      <c r="K515" s="12">
        <f>DNSPOntSourceData!L16</f>
        <v>0.66949791425843097</v>
      </c>
      <c r="L515" s="20" t="s">
        <v>321</v>
      </c>
    </row>
    <row r="516" spans="1:12">
      <c r="A516" s="142">
        <v>3038</v>
      </c>
      <c r="B516" s="142">
        <v>2019</v>
      </c>
      <c r="C516" s="142">
        <v>3</v>
      </c>
      <c r="D516" s="3">
        <f>DNSPOntSourceData!E17</f>
        <v>257552.39223</v>
      </c>
      <c r="E516" s="5">
        <f>DNSPOntSourceData!F17</f>
        <v>1.3352608354138498</v>
      </c>
      <c r="F516" s="3">
        <f>DNSPOntSourceData!G17</f>
        <v>4962.2169999999996</v>
      </c>
      <c r="G516" s="3">
        <f>DNSPOntSourceData!H17</f>
        <v>5106.3159999999998</v>
      </c>
      <c r="H516" s="3">
        <f>DNSPOntSourceData!I17</f>
        <v>1054614</v>
      </c>
      <c r="I516" s="3">
        <f>DNSPOntSourceData!J17</f>
        <v>21112</v>
      </c>
      <c r="J516" s="3">
        <f>DNSPOntSourceData!K17</f>
        <v>14149</v>
      </c>
      <c r="K516" s="12">
        <f>DNSPOntSourceData!L17</f>
        <v>0.67018757104964</v>
      </c>
      <c r="L516" s="20" t="s">
        <v>321</v>
      </c>
    </row>
    <row r="517" spans="1:12">
      <c r="A517" s="142">
        <v>3039</v>
      </c>
      <c r="B517" s="142">
        <v>2005</v>
      </c>
      <c r="C517" s="142">
        <v>3</v>
      </c>
      <c r="D517" s="3">
        <f>DNSPOntSourceData!E273+DNSPOntSourceData!E1068</f>
        <v>6190.1255400000009</v>
      </c>
      <c r="E517" s="5">
        <f>DNSPOntSourceData!F948</f>
        <v>1</v>
      </c>
      <c r="F517" s="3">
        <f>DNSPOntSourceData!G273+DNSPOntSourceData!G1068</f>
        <v>111.411</v>
      </c>
      <c r="G517" s="3">
        <f>F517</f>
        <v>111.411</v>
      </c>
      <c r="H517" s="3">
        <f>DNSPOntSourceData!I273+DNSPOntSourceData!I1068</f>
        <v>20952</v>
      </c>
      <c r="I517" s="3">
        <f>DNSPOntSourceData!J273+DNSPOntSourceData!J1068</f>
        <v>378</v>
      </c>
      <c r="J517" s="3">
        <f>DNSPOntSourceData!K273+DNSPOntSourceData!K1068</f>
        <v>78</v>
      </c>
      <c r="K517" s="12">
        <f>J517/I517</f>
        <v>0.20634920634920634</v>
      </c>
      <c r="L517" s="15" t="s">
        <v>391</v>
      </c>
    </row>
    <row r="518" spans="1:12">
      <c r="A518" s="142">
        <v>3039</v>
      </c>
      <c r="B518" s="2">
        <v>2006</v>
      </c>
      <c r="C518" s="142">
        <v>3</v>
      </c>
      <c r="D518" s="3">
        <f>DNSPOntSourceData!E274+DNSPOntSourceData!E1069</f>
        <v>6594.0953900000004</v>
      </c>
      <c r="E518" s="5">
        <f>DNSPOntSourceData!F949</f>
        <v>1.0181607380073696</v>
      </c>
      <c r="F518" s="3">
        <f>DNSPOntSourceData!G274+DNSPOntSourceData!G1069</f>
        <v>120.023</v>
      </c>
      <c r="G518" s="3">
        <f>MAX(F518,G517)</f>
        <v>120.023</v>
      </c>
      <c r="H518" s="3">
        <f>DNSPOntSourceData!I274+DNSPOntSourceData!I1069</f>
        <v>19234</v>
      </c>
      <c r="I518" s="3">
        <f>DNSPOntSourceData!J274+DNSPOntSourceData!J1069</f>
        <v>378</v>
      </c>
      <c r="J518" s="3">
        <f>DNSPOntSourceData!K274+DNSPOntSourceData!K1069</f>
        <v>79</v>
      </c>
      <c r="K518" s="12">
        <f t="shared" ref="K518:K531" si="30">J518/I518</f>
        <v>0.20899470899470898</v>
      </c>
      <c r="L518" s="15" t="s">
        <v>391</v>
      </c>
    </row>
    <row r="519" spans="1:12">
      <c r="A519" s="142">
        <v>3039</v>
      </c>
      <c r="B519" s="142">
        <v>2007</v>
      </c>
      <c r="C519" s="142">
        <v>3</v>
      </c>
      <c r="D519" s="3">
        <f>DNSPOntSourceData!E275+DNSPOntSourceData!E1070</f>
        <v>7048.0222099999983</v>
      </c>
      <c r="E519" s="5">
        <f>DNSPOntSourceData!F950</f>
        <v>1.0531931014872313</v>
      </c>
      <c r="F519" s="3">
        <f>DNSPOntSourceData!G275+DNSPOntSourceData!G1070</f>
        <v>120.218</v>
      </c>
      <c r="G519" s="3">
        <f t="shared" ref="G519:G531" si="31">MAX(F519,G518)</f>
        <v>120.218</v>
      </c>
      <c r="H519" s="3">
        <f>DNSPOntSourceData!I275+DNSPOntSourceData!I1070</f>
        <v>21707</v>
      </c>
      <c r="I519" s="3">
        <f>DNSPOntSourceData!J275+DNSPOntSourceData!J1070</f>
        <v>373</v>
      </c>
      <c r="J519" s="3">
        <f>DNSPOntSourceData!K275+DNSPOntSourceData!K1070</f>
        <v>76</v>
      </c>
      <c r="K519" s="12">
        <f t="shared" si="30"/>
        <v>0.20375335120643431</v>
      </c>
      <c r="L519" s="15" t="s">
        <v>391</v>
      </c>
    </row>
    <row r="520" spans="1:12">
      <c r="A520" s="142">
        <v>3039</v>
      </c>
      <c r="B520" s="2">
        <v>2008</v>
      </c>
      <c r="C520" s="142">
        <v>3</v>
      </c>
      <c r="D520" s="3">
        <f>DNSPOntSourceData!E276+DNSPOntSourceData!E1071</f>
        <v>7336.5461300000006</v>
      </c>
      <c r="E520" s="5">
        <f>DNSPOntSourceData!F951</f>
        <v>1.078564603993923</v>
      </c>
      <c r="F520" s="3">
        <f>DNSPOntSourceData!G276+DNSPOntSourceData!G1071</f>
        <v>113.672</v>
      </c>
      <c r="G520" s="3">
        <f t="shared" si="31"/>
        <v>120.218</v>
      </c>
      <c r="H520" s="3">
        <f>DNSPOntSourceData!I276+DNSPOntSourceData!I1071</f>
        <v>20197</v>
      </c>
      <c r="I520" s="3">
        <f>DNSPOntSourceData!J276+DNSPOntSourceData!J1071</f>
        <v>366</v>
      </c>
      <c r="J520" s="3">
        <f>DNSPOntSourceData!K276+DNSPOntSourceData!K1071</f>
        <v>79</v>
      </c>
      <c r="K520" s="12">
        <f t="shared" si="30"/>
        <v>0.21584699453551912</v>
      </c>
      <c r="L520" s="15" t="s">
        <v>391</v>
      </c>
    </row>
    <row r="521" spans="1:12">
      <c r="A521" s="142">
        <v>3039</v>
      </c>
      <c r="B521" s="142">
        <v>2009</v>
      </c>
      <c r="C521" s="142">
        <v>3</v>
      </c>
      <c r="D521" s="3">
        <f>DNSPOntSourceData!E277+DNSPOntSourceData!E1072</f>
        <v>7064.1782200000007</v>
      </c>
      <c r="E521" s="5">
        <f>DNSPOntSourceData!F952</f>
        <v>1.0915070880241431</v>
      </c>
      <c r="F521" s="3">
        <f>DNSPOntSourceData!G277+DNSPOntSourceData!G1072</f>
        <v>119.511</v>
      </c>
      <c r="G521" s="3">
        <f t="shared" si="31"/>
        <v>120.218</v>
      </c>
      <c r="H521" s="3">
        <f>DNSPOntSourceData!I277+DNSPOntSourceData!I1072</f>
        <v>21390</v>
      </c>
      <c r="I521" s="3">
        <f>DNSPOntSourceData!J277+DNSPOntSourceData!J1072</f>
        <v>392</v>
      </c>
      <c r="J521" s="3">
        <f>DNSPOntSourceData!K277+DNSPOntSourceData!K1072</f>
        <v>86</v>
      </c>
      <c r="K521" s="12">
        <f t="shared" si="30"/>
        <v>0.21938775510204081</v>
      </c>
      <c r="L521" s="15" t="s">
        <v>391</v>
      </c>
    </row>
    <row r="522" spans="1:12">
      <c r="A522" s="142">
        <v>3039</v>
      </c>
      <c r="B522" s="2">
        <v>2010</v>
      </c>
      <c r="C522" s="142">
        <v>3</v>
      </c>
      <c r="D522" s="3">
        <f>DNSPOntSourceData!E278+DNSPOntSourceData!E1073</f>
        <v>7109.4823500000002</v>
      </c>
      <c r="E522" s="5">
        <f>DNSPOntSourceData!F953</f>
        <v>1.1243125351578573</v>
      </c>
      <c r="F522" s="3">
        <f>DNSPOntSourceData!G278+DNSPOntSourceData!G1073</f>
        <v>117.25700000000001</v>
      </c>
      <c r="G522" s="3">
        <f t="shared" si="31"/>
        <v>120.218</v>
      </c>
      <c r="H522" s="3">
        <f>DNSPOntSourceData!I278+DNSPOntSourceData!I1073</f>
        <v>21831</v>
      </c>
      <c r="I522" s="3">
        <f>DNSPOntSourceData!J278+DNSPOntSourceData!J1073</f>
        <v>392</v>
      </c>
      <c r="J522" s="3">
        <f>DNSPOntSourceData!K278+DNSPOntSourceData!K1073</f>
        <v>86</v>
      </c>
      <c r="K522" s="12">
        <f t="shared" si="30"/>
        <v>0.21938775510204081</v>
      </c>
      <c r="L522" s="15" t="s">
        <v>391</v>
      </c>
    </row>
    <row r="523" spans="1:12">
      <c r="A523" s="142">
        <v>3039</v>
      </c>
      <c r="B523" s="142">
        <v>2011</v>
      </c>
      <c r="C523" s="142">
        <v>3</v>
      </c>
      <c r="D523" s="3">
        <f>DNSPOntSourceData!E279+DNSPOntSourceData!E1074</f>
        <v>7063.4972300000009</v>
      </c>
      <c r="E523" s="5">
        <f>DNSPOntSourceData!F954</f>
        <v>1.1430978626415853</v>
      </c>
      <c r="F523" s="3">
        <f>DNSPOntSourceData!G279+DNSPOntSourceData!G1074</f>
        <v>119.49600000000001</v>
      </c>
      <c r="G523" s="3">
        <f t="shared" si="31"/>
        <v>120.218</v>
      </c>
      <c r="H523" s="3">
        <f>DNSPOntSourceData!I279+DNSPOntSourceData!I1074</f>
        <v>21791</v>
      </c>
      <c r="I523" s="3">
        <f>DNSPOntSourceData!J279+DNSPOntSourceData!J1074</f>
        <v>395</v>
      </c>
      <c r="J523" s="3">
        <f>DNSPOntSourceData!K279+DNSPOntSourceData!K1074</f>
        <v>88</v>
      </c>
      <c r="K523" s="12">
        <f t="shared" si="30"/>
        <v>0.22278481012658227</v>
      </c>
      <c r="L523" s="15" t="s">
        <v>391</v>
      </c>
    </row>
    <row r="524" spans="1:12">
      <c r="A524" s="142">
        <v>3039</v>
      </c>
      <c r="B524" s="2">
        <v>2012</v>
      </c>
      <c r="C524" s="142">
        <v>3</v>
      </c>
      <c r="D524" s="3">
        <f>DNSPOntSourceData!E280+DNSPOntSourceData!E1075</f>
        <v>6514.471019999999</v>
      </c>
      <c r="E524" s="5">
        <f>DNSPOntSourceData!F955</f>
        <v>1.160126854517312</v>
      </c>
      <c r="F524" s="3">
        <f>DNSPOntSourceData!G280+DNSPOntSourceData!G1075</f>
        <v>120.41300000000001</v>
      </c>
      <c r="G524" s="3">
        <f t="shared" si="31"/>
        <v>120.41300000000001</v>
      </c>
      <c r="H524" s="3">
        <f>DNSPOntSourceData!I280+DNSPOntSourceData!I1075</f>
        <v>22204</v>
      </c>
      <c r="I524" s="3">
        <f>DNSPOntSourceData!J280+DNSPOntSourceData!J1075</f>
        <v>405</v>
      </c>
      <c r="J524" s="3">
        <f>DNSPOntSourceData!K280+DNSPOntSourceData!K1075</f>
        <v>103.00000000000001</v>
      </c>
      <c r="K524" s="12">
        <f t="shared" si="30"/>
        <v>0.25432098765432104</v>
      </c>
      <c r="L524" s="15" t="s">
        <v>391</v>
      </c>
    </row>
    <row r="525" spans="1:12">
      <c r="A525" s="142">
        <v>3039</v>
      </c>
      <c r="B525" s="142">
        <v>2013</v>
      </c>
      <c r="C525" s="142">
        <v>3</v>
      </c>
      <c r="D525" s="3">
        <f>DNSPOntSourceData!E281+DNSPOntSourceData!E1076</f>
        <v>7334.4396200000001</v>
      </c>
      <c r="E525" s="5">
        <f>DNSPOntSourceData!F956</f>
        <v>1.178602141578931</v>
      </c>
      <c r="F525" s="3">
        <f>DNSPOntSourceData!G281+DNSPOntSourceData!G1076</f>
        <v>136.28900000000002</v>
      </c>
      <c r="G525" s="3">
        <f t="shared" si="31"/>
        <v>136.28900000000002</v>
      </c>
      <c r="H525" s="3">
        <f>DNSPOntSourceData!I281+DNSPOntSourceData!I1076</f>
        <v>21885</v>
      </c>
      <c r="I525" s="3">
        <f>DNSPOntSourceData!J281+DNSPOntSourceData!J1076</f>
        <v>398</v>
      </c>
      <c r="J525" s="3">
        <f>DNSPOntSourceData!K281+DNSPOntSourceData!K1076</f>
        <v>106</v>
      </c>
      <c r="K525" s="12">
        <f t="shared" si="30"/>
        <v>0.26633165829145727</v>
      </c>
      <c r="L525" s="15" t="s">
        <v>391</v>
      </c>
    </row>
    <row r="526" spans="1:12">
      <c r="A526" s="142">
        <v>3039</v>
      </c>
      <c r="B526" s="2">
        <v>2014</v>
      </c>
      <c r="C526" s="142">
        <v>3</v>
      </c>
      <c r="D526" s="3">
        <f>DNSPOntSourceData!E282+DNSPOntSourceData!E1077</f>
        <v>7244.4930000000004</v>
      </c>
      <c r="E526" s="5">
        <f>DNSPOntSourceData!F957</f>
        <v>1.2030671041042156</v>
      </c>
      <c r="F526" s="3">
        <f>DNSPOntSourceData!G282+DNSPOntSourceData!G1077</f>
        <v>107.577</v>
      </c>
      <c r="G526" s="3">
        <f t="shared" si="31"/>
        <v>136.28900000000002</v>
      </c>
      <c r="H526" s="3">
        <f>DNSPOntSourceData!I282+DNSPOntSourceData!I1077</f>
        <v>22066</v>
      </c>
      <c r="I526" s="3">
        <f>DNSPOntSourceData!J282+DNSPOntSourceData!J1077</f>
        <v>403</v>
      </c>
      <c r="J526" s="3">
        <f>DNSPOntSourceData!K282+DNSPOntSourceData!K1077</f>
        <v>109</v>
      </c>
      <c r="K526" s="12">
        <f t="shared" si="30"/>
        <v>0.27047146401985112</v>
      </c>
      <c r="L526" s="15" t="s">
        <v>391</v>
      </c>
    </row>
    <row r="527" spans="1:12">
      <c r="A527" s="142">
        <v>3039</v>
      </c>
      <c r="B527" s="142">
        <v>2015</v>
      </c>
      <c r="C527" s="142">
        <v>3</v>
      </c>
      <c r="D527" s="3">
        <f>DNSPOntSourceData!E283+DNSPOntSourceData!E1078</f>
        <v>7403.6730000000007</v>
      </c>
      <c r="E527" s="5">
        <f>DNSPOntSourceData!F958</f>
        <v>1.2312762402864634</v>
      </c>
      <c r="F527" s="3">
        <f>DNSPOntSourceData!G283+DNSPOntSourceData!G1078</f>
        <v>109.042</v>
      </c>
      <c r="G527" s="3">
        <f t="shared" si="31"/>
        <v>136.28900000000002</v>
      </c>
      <c r="H527" s="3">
        <f>DNSPOntSourceData!I283+DNSPOntSourceData!I1078</f>
        <v>22250</v>
      </c>
      <c r="I527" s="3">
        <f>DNSPOntSourceData!J283+DNSPOntSourceData!J1078</f>
        <v>413</v>
      </c>
      <c r="J527" s="3">
        <f>DNSPOntSourceData!K283+DNSPOntSourceData!K1078</f>
        <v>121</v>
      </c>
      <c r="K527" s="12">
        <f t="shared" si="30"/>
        <v>0.29297820823244553</v>
      </c>
      <c r="L527" s="15" t="s">
        <v>391</v>
      </c>
    </row>
    <row r="528" spans="1:12">
      <c r="A528" s="142">
        <v>3039</v>
      </c>
      <c r="B528" s="2">
        <v>2016</v>
      </c>
      <c r="C528" s="142">
        <v>3</v>
      </c>
      <c r="D528" s="3">
        <f>DNSPOntSourceData!E284+DNSPOntSourceData!E1079</f>
        <v>7840.0672599999998</v>
      </c>
      <c r="E528" s="5">
        <f>DNSPOntSourceData!F959</f>
        <v>1.2455044937824149</v>
      </c>
      <c r="F528" s="3">
        <f>DNSPOntSourceData!G284+DNSPOntSourceData!G1079</f>
        <v>111.491</v>
      </c>
      <c r="G528" s="3">
        <f t="shared" si="31"/>
        <v>136.28900000000002</v>
      </c>
      <c r="H528" s="3">
        <f>DNSPOntSourceData!I284+DNSPOntSourceData!I1079</f>
        <v>22470</v>
      </c>
      <c r="I528" s="3">
        <f>DNSPOntSourceData!J284+DNSPOntSourceData!J1079</f>
        <v>406</v>
      </c>
      <c r="J528" s="3">
        <f>DNSPOntSourceData!K284+DNSPOntSourceData!K1079</f>
        <v>120.00000000000001</v>
      </c>
      <c r="K528" s="12">
        <f t="shared" si="30"/>
        <v>0.29556650246305421</v>
      </c>
      <c r="L528" s="15" t="s">
        <v>391</v>
      </c>
    </row>
    <row r="529" spans="1:12">
      <c r="A529" s="142">
        <v>3039</v>
      </c>
      <c r="B529" s="142">
        <v>2017</v>
      </c>
      <c r="C529" s="142">
        <v>3</v>
      </c>
      <c r="D529" s="3">
        <f>DNSPOntSourceData!E285+DNSPOntSourceData!E1080</f>
        <v>7933.7904799999997</v>
      </c>
      <c r="E529" s="5">
        <f>DNSPOntSourceData!F960</f>
        <v>1.2674505553724562</v>
      </c>
      <c r="F529" s="3">
        <f>DNSPOntSourceData!G285+DNSPOntSourceData!G1080</f>
        <v>108.53</v>
      </c>
      <c r="G529" s="3">
        <f t="shared" si="31"/>
        <v>136.28900000000002</v>
      </c>
      <c r="H529" s="3">
        <f>DNSPOntSourceData!I285+DNSPOntSourceData!I1080</f>
        <v>22829</v>
      </c>
      <c r="I529" s="3">
        <f>DNSPOntSourceData!J285+DNSPOntSourceData!J1080</f>
        <v>408</v>
      </c>
      <c r="J529" s="3">
        <f>DNSPOntSourceData!K285+DNSPOntSourceData!K1080</f>
        <v>122</v>
      </c>
      <c r="K529" s="12">
        <f t="shared" si="30"/>
        <v>0.29901960784313725</v>
      </c>
      <c r="L529" s="15" t="s">
        <v>391</v>
      </c>
    </row>
    <row r="530" spans="1:12">
      <c r="A530" s="142">
        <v>3039</v>
      </c>
      <c r="B530" s="2">
        <v>2018</v>
      </c>
      <c r="C530" s="142">
        <v>3</v>
      </c>
      <c r="D530" s="3">
        <f>DNSPOntSourceData!E286+DNSPOntSourceData!E1081</f>
        <v>7895.6919000000007</v>
      </c>
      <c r="E530" s="5">
        <f>DNSPOntSourceData!F961</f>
        <v>1.2994718602728874</v>
      </c>
      <c r="F530" s="3">
        <f>DNSPOntSourceData!G286+DNSPOntSourceData!G1081</f>
        <v>109.94099999999999</v>
      </c>
      <c r="G530" s="3">
        <f t="shared" si="31"/>
        <v>136.28900000000002</v>
      </c>
      <c r="H530" s="3">
        <f>DNSPOntSourceData!I286+DNSPOntSourceData!I1081</f>
        <v>23111</v>
      </c>
      <c r="I530" s="3">
        <f>DNSPOntSourceData!J286+DNSPOntSourceData!J1081</f>
        <v>413</v>
      </c>
      <c r="J530" s="3">
        <f>DNSPOntSourceData!K286+DNSPOntSourceData!K1081</f>
        <v>121</v>
      </c>
      <c r="K530" s="12">
        <f t="shared" si="30"/>
        <v>0.29297820823244553</v>
      </c>
      <c r="L530" s="15" t="s">
        <v>391</v>
      </c>
    </row>
    <row r="531" spans="1:12">
      <c r="A531" s="142">
        <v>3039</v>
      </c>
      <c r="B531" s="142">
        <v>2019</v>
      </c>
      <c r="C531" s="142">
        <v>3</v>
      </c>
      <c r="D531" s="3">
        <f>DNSPOntSourceData!E287+DNSPOntSourceData!E1082</f>
        <v>7261.7215700000006</v>
      </c>
      <c r="E531" s="5">
        <f>DNSPOntSourceData!F962</f>
        <v>1.3352608354138498</v>
      </c>
      <c r="F531" s="3">
        <f>DNSPOntSourceData!G287+DNSPOntSourceData!G1082</f>
        <v>111.736</v>
      </c>
      <c r="G531" s="3">
        <f t="shared" si="31"/>
        <v>136.28900000000002</v>
      </c>
      <c r="H531" s="3">
        <f>DNSPOntSourceData!I287+DNSPOntSourceData!I1082</f>
        <v>23384</v>
      </c>
      <c r="I531" s="3">
        <f>DNSPOntSourceData!J287+DNSPOntSourceData!J1082</f>
        <v>437</v>
      </c>
      <c r="J531" s="3">
        <f>DNSPOntSourceData!K287+DNSPOntSourceData!K1082</f>
        <v>142</v>
      </c>
      <c r="K531" s="12">
        <f t="shared" si="30"/>
        <v>0.32494279176201374</v>
      </c>
      <c r="L531" s="15" t="s">
        <v>391</v>
      </c>
    </row>
  </sheetData>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U303"/>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8.83203125" defaultRowHeight="15"/>
  <cols>
    <col min="1" max="3" width="9.1640625" style="15"/>
    <col min="4" max="4" width="11.1640625" style="15" bestFit="1" customWidth="1"/>
    <col min="5" max="5" width="11" style="15" bestFit="1" customWidth="1"/>
    <col min="6" max="6" width="10.83203125" style="15" bestFit="1" customWidth="1"/>
    <col min="7" max="7" width="11" style="15" customWidth="1"/>
    <col min="8" max="8" width="12.1640625" style="15" customWidth="1"/>
    <col min="9" max="9" width="14.1640625" style="15" customWidth="1"/>
    <col min="10" max="10" width="9.1640625" style="15"/>
    <col min="11" max="11" width="27.5" style="15" customWidth="1"/>
    <col min="12" max="12" width="9.1640625" style="15"/>
    <col min="13" max="14" width="13.83203125" style="44" customWidth="1"/>
    <col min="15" max="15" width="11" style="15" customWidth="1"/>
  </cols>
  <sheetData>
    <row r="2" spans="1:17">
      <c r="D2" s="108" t="s">
        <v>373</v>
      </c>
    </row>
    <row r="3" spans="1:17" s="7" customFormat="1" ht="160">
      <c r="A3" s="98"/>
      <c r="B3" s="98"/>
      <c r="C3" s="98"/>
      <c r="D3" s="98" t="s">
        <v>102</v>
      </c>
      <c r="E3" s="98" t="s">
        <v>103</v>
      </c>
      <c r="F3" s="98" t="s">
        <v>104</v>
      </c>
      <c r="G3" s="98" t="s">
        <v>105</v>
      </c>
      <c r="H3" s="98" t="s">
        <v>106</v>
      </c>
      <c r="I3" s="98" t="s">
        <v>107</v>
      </c>
      <c r="J3" s="98" t="s">
        <v>108</v>
      </c>
      <c r="K3" s="98"/>
      <c r="L3" s="98"/>
      <c r="M3" s="106" t="s">
        <v>109</v>
      </c>
      <c r="N3" s="106" t="s">
        <v>110</v>
      </c>
      <c r="O3" s="15"/>
      <c r="P3"/>
      <c r="Q3"/>
    </row>
    <row r="4" spans="1:17">
      <c r="A4" s="15" t="s">
        <v>111</v>
      </c>
      <c r="B4" s="15">
        <v>2006</v>
      </c>
      <c r="C4" s="15">
        <v>3</v>
      </c>
      <c r="D4" s="43"/>
      <c r="F4" s="43"/>
      <c r="G4" s="43"/>
      <c r="H4" s="107"/>
      <c r="I4" s="107"/>
      <c r="J4" s="107"/>
      <c r="K4" s="15" t="s">
        <v>112</v>
      </c>
      <c r="L4" s="43">
        <v>2006</v>
      </c>
      <c r="M4" s="44">
        <f>'[2]EDB Database'!$K14/1000</f>
        <v>110.79300000000001</v>
      </c>
      <c r="N4" s="44">
        <f>N5*M4/M5</f>
        <v>117.74059117697104</v>
      </c>
      <c r="P4" s="21"/>
    </row>
    <row r="5" spans="1:17">
      <c r="B5" s="15">
        <v>2007</v>
      </c>
      <c r="C5" s="15">
        <v>4</v>
      </c>
      <c r="D5" s="43"/>
      <c r="F5" s="43"/>
      <c r="G5" s="43"/>
      <c r="H5" s="107"/>
      <c r="I5" s="107"/>
      <c r="J5" s="107"/>
      <c r="K5" s="15" t="s">
        <v>112</v>
      </c>
      <c r="L5" s="43">
        <v>2007</v>
      </c>
      <c r="M5" s="44">
        <f>'[2]EDB Database'!$K15/1000</f>
        <v>112.77800000000001</v>
      </c>
      <c r="N5" s="44">
        <f>N6*M5/M6</f>
        <v>119.85006626552615</v>
      </c>
      <c r="P5" s="21"/>
    </row>
    <row r="6" spans="1:17">
      <c r="B6" s="15">
        <v>2008</v>
      </c>
      <c r="C6" s="15">
        <v>5</v>
      </c>
      <c r="D6" s="107">
        <v>122.494</v>
      </c>
      <c r="E6" s="43">
        <v>6.8040000000000003</v>
      </c>
      <c r="F6" s="107">
        <v>129.298</v>
      </c>
      <c r="G6" s="107">
        <v>137.40600000000001</v>
      </c>
      <c r="H6" s="107">
        <v>0</v>
      </c>
      <c r="I6" s="107">
        <v>6.8040000000000003</v>
      </c>
      <c r="J6" s="107">
        <v>0</v>
      </c>
      <c r="K6" s="15" t="s">
        <v>112</v>
      </c>
      <c r="L6" s="43">
        <v>2008</v>
      </c>
      <c r="M6" s="44">
        <f>'[2]EDB Database'!$K16/1000</f>
        <v>129.298</v>
      </c>
      <c r="N6" s="44">
        <f>G6</f>
        <v>137.40600000000001</v>
      </c>
      <c r="P6" s="21"/>
    </row>
    <row r="7" spans="1:17">
      <c r="B7" s="15">
        <v>2009</v>
      </c>
      <c r="C7" s="15">
        <v>6</v>
      </c>
      <c r="D7" s="107">
        <v>123</v>
      </c>
      <c r="E7" s="15">
        <v>7</v>
      </c>
      <c r="F7" s="107">
        <v>130</v>
      </c>
      <c r="G7" s="107">
        <v>137</v>
      </c>
      <c r="H7" s="107">
        <v>0</v>
      </c>
      <c r="I7" s="107">
        <v>7</v>
      </c>
      <c r="J7" s="107">
        <v>0</v>
      </c>
      <c r="K7" s="15" t="s">
        <v>112</v>
      </c>
      <c r="L7" s="43">
        <v>2009</v>
      </c>
      <c r="M7" s="44">
        <f>'[2]EDB Database'!$K17/1000</f>
        <v>130</v>
      </c>
      <c r="N7" s="44">
        <f>G7</f>
        <v>137</v>
      </c>
      <c r="P7" s="21"/>
    </row>
    <row r="8" spans="1:17">
      <c r="B8" s="15">
        <v>2010</v>
      </c>
      <c r="C8" s="15">
        <v>7</v>
      </c>
      <c r="D8" s="107">
        <v>118</v>
      </c>
      <c r="E8" s="15">
        <v>5</v>
      </c>
      <c r="F8" s="107">
        <v>123</v>
      </c>
      <c r="G8" s="107">
        <v>141</v>
      </c>
      <c r="H8" s="107">
        <v>0</v>
      </c>
      <c r="I8" s="107">
        <v>7</v>
      </c>
      <c r="J8" s="107">
        <v>0</v>
      </c>
      <c r="K8" s="15" t="s">
        <v>112</v>
      </c>
      <c r="L8" s="43">
        <v>2010</v>
      </c>
      <c r="M8" s="44">
        <f>'[2]EDB Database'!$K18/1000</f>
        <v>123</v>
      </c>
      <c r="N8" s="44">
        <f>G8</f>
        <v>141</v>
      </c>
      <c r="P8" s="21"/>
    </row>
    <row r="9" spans="1:17">
      <c r="B9" s="15">
        <v>2011</v>
      </c>
      <c r="C9" s="15">
        <v>8</v>
      </c>
      <c r="D9" s="107">
        <v>115.37</v>
      </c>
      <c r="E9" s="15">
        <v>6.548</v>
      </c>
      <c r="F9" s="107">
        <v>121.91800000000001</v>
      </c>
      <c r="G9" s="107">
        <v>146</v>
      </c>
      <c r="H9" s="107">
        <v>0</v>
      </c>
      <c r="I9" s="107">
        <v>7.18</v>
      </c>
      <c r="J9" s="107">
        <v>0</v>
      </c>
      <c r="K9" s="15" t="s">
        <v>112</v>
      </c>
      <c r="L9" s="43">
        <v>2011</v>
      </c>
      <c r="M9" s="44">
        <f>'[2]EDB Database'!$K19/1000</f>
        <v>121.91800000000001</v>
      </c>
      <c r="N9" s="44">
        <f>G9</f>
        <v>146</v>
      </c>
      <c r="P9" s="21"/>
    </row>
    <row r="10" spans="1:17">
      <c r="B10" s="15">
        <v>2012</v>
      </c>
      <c r="C10" s="15">
        <v>9</v>
      </c>
      <c r="D10" s="107">
        <v>112.33</v>
      </c>
      <c r="E10" s="15">
        <v>6.06</v>
      </c>
      <c r="F10" s="107">
        <v>118.39</v>
      </c>
      <c r="G10" s="107">
        <v>137.66199999999998</v>
      </c>
      <c r="H10" s="107">
        <v>0</v>
      </c>
      <c r="I10" s="107">
        <v>6.06</v>
      </c>
      <c r="J10" s="107">
        <v>0</v>
      </c>
      <c r="K10" s="15" t="s">
        <v>112</v>
      </c>
      <c r="L10" s="43">
        <v>2012</v>
      </c>
      <c r="M10" s="44">
        <f>'[2]EDB Database'!$K20/1000</f>
        <v>118.39</v>
      </c>
      <c r="N10" s="44">
        <f>G10</f>
        <v>137.66199999999998</v>
      </c>
      <c r="P10" s="21"/>
    </row>
    <row r="11" spans="1:17">
      <c r="B11" s="15">
        <v>2013</v>
      </c>
      <c r="C11" s="15">
        <v>10</v>
      </c>
      <c r="D11" s="43"/>
      <c r="F11" s="43"/>
      <c r="G11" s="43"/>
      <c r="H11" s="107"/>
      <c r="I11" s="107"/>
      <c r="J11" s="107"/>
      <c r="K11" s="15" t="s">
        <v>112</v>
      </c>
      <c r="L11" s="43">
        <v>2013</v>
      </c>
      <c r="M11" s="44">
        <f>[26]Sheet1!$M2</f>
        <v>126.53</v>
      </c>
      <c r="N11" s="44">
        <f t="shared" ref="N11:N18" si="0">N10*M11/M10</f>
        <v>147.12706191401298</v>
      </c>
      <c r="P11" s="21"/>
    </row>
    <row r="12" spans="1:17">
      <c r="B12" s="15">
        <v>2014</v>
      </c>
      <c r="D12" s="43"/>
      <c r="F12" s="43"/>
      <c r="G12" s="43"/>
      <c r="H12" s="107"/>
      <c r="I12" s="107"/>
      <c r="J12" s="107"/>
      <c r="K12" s="15" t="s">
        <v>112</v>
      </c>
      <c r="L12" s="43">
        <v>2014</v>
      </c>
      <c r="M12" s="44">
        <f>[26]Sheet1!$M3</f>
        <v>127.10972</v>
      </c>
      <c r="N12" s="44">
        <f t="shared" si="0"/>
        <v>147.80115106546157</v>
      </c>
      <c r="P12" s="21"/>
    </row>
    <row r="13" spans="1:17">
      <c r="B13" s="15">
        <v>2015</v>
      </c>
      <c r="D13" s="43"/>
      <c r="F13" s="43"/>
      <c r="G13" s="43"/>
      <c r="H13" s="107"/>
      <c r="I13" s="107"/>
      <c r="J13" s="107"/>
      <c r="K13" s="15" t="str">
        <f t="shared" ref="K13:K18" si="1">K12</f>
        <v>Alpine Energy</v>
      </c>
      <c r="L13" s="43">
        <v>2015</v>
      </c>
      <c r="M13" s="44">
        <f>[26]Sheet1!$M4</f>
        <v>131.328</v>
      </c>
      <c r="N13" s="44">
        <f t="shared" si="0"/>
        <v>152.70609963679362</v>
      </c>
      <c r="P13" s="21"/>
    </row>
    <row r="14" spans="1:17">
      <c r="B14" s="15">
        <v>2016</v>
      </c>
      <c r="D14" s="43"/>
      <c r="F14" s="43"/>
      <c r="G14" s="43"/>
      <c r="H14" s="107"/>
      <c r="I14" s="107"/>
      <c r="J14" s="107"/>
      <c r="K14" s="15" t="str">
        <f t="shared" si="1"/>
        <v>Alpine Energy</v>
      </c>
      <c r="L14" s="43">
        <v>2016</v>
      </c>
      <c r="M14" s="44">
        <f>[26]Sheet1!$M5</f>
        <v>134.37804</v>
      </c>
      <c r="N14" s="44">
        <f t="shared" si="0"/>
        <v>156.25263740586195</v>
      </c>
      <c r="P14" s="21"/>
    </row>
    <row r="15" spans="1:17">
      <c r="B15" s="15">
        <v>2017</v>
      </c>
      <c r="D15" s="43"/>
      <c r="F15" s="43"/>
      <c r="G15" s="43"/>
      <c r="H15" s="107"/>
      <c r="I15" s="107"/>
      <c r="J15" s="107"/>
      <c r="K15" s="15" t="str">
        <f t="shared" si="1"/>
        <v>Alpine Energy</v>
      </c>
      <c r="L15" s="43">
        <v>2017</v>
      </c>
      <c r="M15" s="44">
        <f>[26]Sheet1!$M6</f>
        <v>133.95352</v>
      </c>
      <c r="N15" s="44">
        <f t="shared" si="0"/>
        <v>155.75901233414982</v>
      </c>
      <c r="P15" s="21"/>
    </row>
    <row r="16" spans="1:17">
      <c r="B16" s="15">
        <v>2018</v>
      </c>
      <c r="D16" s="43"/>
      <c r="F16" s="43"/>
      <c r="G16" s="43"/>
      <c r="H16" s="107"/>
      <c r="I16" s="107"/>
      <c r="J16" s="107"/>
      <c r="K16" s="15" t="str">
        <f t="shared" si="1"/>
        <v>Alpine Energy</v>
      </c>
      <c r="L16" s="43">
        <v>2018</v>
      </c>
      <c r="M16" s="44">
        <f>[26]Sheet1!$M7</f>
        <v>146.11000000000001</v>
      </c>
      <c r="N16" s="44">
        <f t="shared" si="0"/>
        <v>169.89437300447671</v>
      </c>
      <c r="P16" s="21"/>
    </row>
    <row r="17" spans="1:16">
      <c r="B17" s="15">
        <v>2019</v>
      </c>
      <c r="D17" s="43"/>
      <c r="F17" s="43"/>
      <c r="G17" s="43"/>
      <c r="H17" s="107"/>
      <c r="I17" s="107"/>
      <c r="J17" s="107"/>
      <c r="K17" s="15" t="str">
        <f t="shared" si="1"/>
        <v>Alpine Energy</v>
      </c>
      <c r="L17" s="43">
        <v>2019</v>
      </c>
      <c r="M17" s="44">
        <f>[27]Sheet1!$M$2</f>
        <v>139.92400000000001</v>
      </c>
      <c r="N17" s="44">
        <f t="shared" si="0"/>
        <v>162.70139106343439</v>
      </c>
      <c r="P17" s="21"/>
    </row>
    <row r="18" spans="1:16">
      <c r="B18" s="15">
        <v>2020</v>
      </c>
      <c r="D18" s="43"/>
      <c r="F18" s="43"/>
      <c r="G18" s="43"/>
      <c r="H18" s="107"/>
      <c r="I18" s="107"/>
      <c r="J18" s="107"/>
      <c r="K18" s="15" t="str">
        <f t="shared" si="1"/>
        <v>Alpine Energy</v>
      </c>
      <c r="L18" s="43">
        <v>2020</v>
      </c>
      <c r="M18" s="44">
        <f>[28]Sheet1!$M$2</f>
        <v>139.80600000000001</v>
      </c>
      <c r="N18" s="44">
        <f t="shared" si="0"/>
        <v>162.56418254920177</v>
      </c>
      <c r="P18" s="21"/>
    </row>
    <row r="19" spans="1:16">
      <c r="A19" s="15" t="s">
        <v>113</v>
      </c>
      <c r="B19" s="15">
        <v>2006</v>
      </c>
      <c r="C19" s="15">
        <v>11</v>
      </c>
      <c r="D19" s="43"/>
      <c r="F19" s="43"/>
      <c r="G19" s="43"/>
      <c r="H19" s="107"/>
      <c r="I19" s="107"/>
      <c r="J19" s="107"/>
      <c r="K19" s="15" t="s">
        <v>113</v>
      </c>
      <c r="L19" s="43">
        <v>2006</v>
      </c>
      <c r="M19" s="44">
        <f>'[2]EDB Database'!$K37/1000</f>
        <v>268.976</v>
      </c>
      <c r="N19" s="44">
        <f>N20*M19/M20</f>
        <v>252.18025655313662</v>
      </c>
      <c r="P19" s="21"/>
    </row>
    <row r="20" spans="1:16">
      <c r="B20" s="15">
        <v>2007</v>
      </c>
      <c r="C20" s="15">
        <v>12</v>
      </c>
      <c r="D20" s="43"/>
      <c r="F20" s="43"/>
      <c r="G20" s="43"/>
      <c r="H20" s="107"/>
      <c r="I20" s="107"/>
      <c r="J20" s="107"/>
      <c r="K20" s="15" t="s">
        <v>113</v>
      </c>
      <c r="L20" s="43">
        <v>2007</v>
      </c>
      <c r="M20" s="44">
        <f>'[2]EDB Database'!$K38/1000</f>
        <v>275.52499999999998</v>
      </c>
      <c r="N20" s="44">
        <f>N21*M20/M21</f>
        <v>258.32031551812418</v>
      </c>
      <c r="P20" s="21"/>
    </row>
    <row r="21" spans="1:16">
      <c r="B21" s="15">
        <v>2008</v>
      </c>
      <c r="C21" s="15">
        <v>13</v>
      </c>
      <c r="D21" s="107">
        <v>241.04599999999999</v>
      </c>
      <c r="E21" s="43">
        <v>42.139000000000003</v>
      </c>
      <c r="F21" s="107">
        <v>283.185</v>
      </c>
      <c r="G21" s="107">
        <v>265.50200000000001</v>
      </c>
      <c r="H21" s="107">
        <v>0.16800000000000001</v>
      </c>
      <c r="I21" s="107">
        <v>57.927999999999997</v>
      </c>
      <c r="J21" s="107">
        <v>0</v>
      </c>
      <c r="K21" s="15" t="s">
        <v>113</v>
      </c>
      <c r="L21" s="43">
        <v>2008</v>
      </c>
      <c r="M21" s="44">
        <f>'[2]EDB Database'!$K39/1000</f>
        <v>283.185</v>
      </c>
      <c r="N21" s="44">
        <f>G21</f>
        <v>265.50200000000001</v>
      </c>
      <c r="P21" s="21"/>
    </row>
    <row r="22" spans="1:16">
      <c r="B22" s="15">
        <v>2009</v>
      </c>
      <c r="C22" s="15">
        <v>14</v>
      </c>
      <c r="D22" s="107">
        <v>229.274</v>
      </c>
      <c r="E22" s="15">
        <v>45.552</v>
      </c>
      <c r="F22" s="107">
        <v>274.82600000000002</v>
      </c>
      <c r="G22" s="107">
        <v>269.88200000000001</v>
      </c>
      <c r="H22" s="107">
        <v>0.26400000000000001</v>
      </c>
      <c r="I22" s="107">
        <v>53.280999999999999</v>
      </c>
      <c r="J22" s="107">
        <v>0</v>
      </c>
      <c r="K22" s="15" t="s">
        <v>113</v>
      </c>
      <c r="L22" s="43">
        <v>2009</v>
      </c>
      <c r="M22" s="44">
        <f>'[2]EDB Database'!$K40/1000</f>
        <v>274.82600000000002</v>
      </c>
      <c r="N22" s="44">
        <f>G22</f>
        <v>269.88200000000001</v>
      </c>
      <c r="P22" s="21"/>
    </row>
    <row r="23" spans="1:16">
      <c r="B23" s="15">
        <v>2010</v>
      </c>
      <c r="C23" s="15">
        <v>15</v>
      </c>
      <c r="D23" s="107">
        <v>240.02199999999999</v>
      </c>
      <c r="E23" s="15">
        <v>45.07</v>
      </c>
      <c r="F23" s="107">
        <v>285.09199999999998</v>
      </c>
      <c r="G23" s="107">
        <v>279.11</v>
      </c>
      <c r="H23" s="107">
        <v>0.26300000000000001</v>
      </c>
      <c r="I23" s="107">
        <v>63.753</v>
      </c>
      <c r="J23" s="107">
        <v>0</v>
      </c>
      <c r="K23" s="15" t="s">
        <v>113</v>
      </c>
      <c r="L23" s="43">
        <v>2010</v>
      </c>
      <c r="M23" s="44">
        <f>'[2]EDB Database'!$K41/1000</f>
        <v>285.09199999999998</v>
      </c>
      <c r="N23" s="44">
        <f>G23</f>
        <v>279.11</v>
      </c>
      <c r="P23" s="21"/>
    </row>
    <row r="24" spans="1:16">
      <c r="B24" s="15">
        <v>2011</v>
      </c>
      <c r="C24" s="15">
        <v>16</v>
      </c>
      <c r="D24" s="107">
        <v>233</v>
      </c>
      <c r="E24" s="15">
        <v>41.085000000000001</v>
      </c>
      <c r="F24" s="107">
        <v>274.08499999999998</v>
      </c>
      <c r="G24" s="107">
        <v>266.09399999999999</v>
      </c>
      <c r="H24" s="107">
        <v>0.26300000000000001</v>
      </c>
      <c r="I24" s="107">
        <v>55.042000000000002</v>
      </c>
      <c r="J24" s="107">
        <v>0</v>
      </c>
      <c r="K24" s="15" t="s">
        <v>113</v>
      </c>
      <c r="L24" s="43">
        <v>2011</v>
      </c>
      <c r="M24" s="44">
        <f>'[2]EDB Database'!$K42/1000</f>
        <v>274.08499999999998</v>
      </c>
      <c r="N24" s="44">
        <f>G24</f>
        <v>266.09399999999999</v>
      </c>
      <c r="P24" s="21"/>
    </row>
    <row r="25" spans="1:16">
      <c r="B25" s="15">
        <v>2012</v>
      </c>
      <c r="C25" s="15">
        <v>17</v>
      </c>
      <c r="D25" s="107">
        <v>235.8</v>
      </c>
      <c r="E25" s="43">
        <v>53.877438999999995</v>
      </c>
      <c r="F25" s="107">
        <v>289.67743899999999</v>
      </c>
      <c r="G25" s="107">
        <v>269.42</v>
      </c>
      <c r="H25" s="107">
        <v>0</v>
      </c>
      <c r="I25" s="107">
        <v>83.176287000000016</v>
      </c>
      <c r="J25" s="107">
        <v>0</v>
      </c>
      <c r="K25" s="15" t="s">
        <v>113</v>
      </c>
      <c r="L25" s="43">
        <v>2012</v>
      </c>
      <c r="M25" s="44">
        <f>'[2]EDB Database'!$K43/1000</f>
        <v>289.67743899999999</v>
      </c>
      <c r="N25" s="44">
        <f>G25</f>
        <v>269.42</v>
      </c>
      <c r="P25" s="21"/>
    </row>
    <row r="26" spans="1:16">
      <c r="B26" s="15">
        <v>2013</v>
      </c>
      <c r="C26" s="15">
        <v>18</v>
      </c>
      <c r="D26" s="43"/>
      <c r="F26" s="43"/>
      <c r="G26" s="43"/>
      <c r="H26" s="107"/>
      <c r="I26" s="107"/>
      <c r="J26" s="107"/>
      <c r="K26" s="15" t="s">
        <v>113</v>
      </c>
      <c r="L26" s="43">
        <v>2013</v>
      </c>
      <c r="M26" s="44">
        <f>[26]Sheet1!$M8</f>
        <v>283.97399999999999</v>
      </c>
      <c r="N26" s="44">
        <f t="shared" ref="N26:N33" si="2">N25*M26/M25</f>
        <v>264.11540831110432</v>
      </c>
      <c r="P26" s="21"/>
    </row>
    <row r="27" spans="1:16">
      <c r="B27" s="15">
        <v>2014</v>
      </c>
      <c r="D27" s="43"/>
      <c r="F27" s="43"/>
      <c r="G27" s="43"/>
      <c r="H27" s="107"/>
      <c r="I27" s="107"/>
      <c r="J27" s="107"/>
      <c r="K27" s="15" t="s">
        <v>113</v>
      </c>
      <c r="L27" s="43">
        <v>2014</v>
      </c>
      <c r="M27" s="44">
        <f>[26]Sheet1!$M9</f>
        <v>279</v>
      </c>
      <c r="N27" s="44">
        <f t="shared" si="2"/>
        <v>259.48924520835749</v>
      </c>
      <c r="P27" s="21"/>
    </row>
    <row r="28" spans="1:16">
      <c r="B28" s="15">
        <v>2015</v>
      </c>
      <c r="D28" s="43"/>
      <c r="F28" s="43"/>
      <c r="G28" s="43"/>
      <c r="H28" s="107"/>
      <c r="I28" s="107"/>
      <c r="J28" s="107"/>
      <c r="K28" s="15" t="str">
        <f t="shared" ref="K28:K33" si="3">K27</f>
        <v>Aurora Energy</v>
      </c>
      <c r="L28" s="43">
        <v>2015</v>
      </c>
      <c r="M28" s="44">
        <f>[26]Sheet1!$M10</f>
        <v>285.67706500000003</v>
      </c>
      <c r="N28" s="44">
        <f t="shared" si="2"/>
        <v>265.69937623723615</v>
      </c>
      <c r="P28" s="21"/>
    </row>
    <row r="29" spans="1:16">
      <c r="B29" s="15">
        <v>2016</v>
      </c>
      <c r="D29" s="43"/>
      <c r="F29" s="43"/>
      <c r="G29" s="43"/>
      <c r="H29" s="107"/>
      <c r="I29" s="107"/>
      <c r="J29" s="107"/>
      <c r="K29" s="15" t="str">
        <f t="shared" si="3"/>
        <v>Aurora Energy</v>
      </c>
      <c r="L29" s="43">
        <v>2016</v>
      </c>
      <c r="M29" s="44">
        <f>[26]Sheet1!$M11</f>
        <v>290.636911</v>
      </c>
      <c r="N29" s="44">
        <f t="shared" si="2"/>
        <v>270.3123751436508</v>
      </c>
      <c r="P29" s="21"/>
    </row>
    <row r="30" spans="1:16">
      <c r="B30" s="15">
        <v>2017</v>
      </c>
      <c r="D30" s="43"/>
      <c r="F30" s="43"/>
      <c r="G30" s="43"/>
      <c r="H30" s="107"/>
      <c r="I30" s="107"/>
      <c r="J30" s="107"/>
      <c r="K30" s="15" t="str">
        <f t="shared" si="3"/>
        <v>Aurora Energy</v>
      </c>
      <c r="L30" s="43">
        <v>2017</v>
      </c>
      <c r="M30" s="44">
        <f>[26]Sheet1!$M12</f>
        <v>291.35751800000003</v>
      </c>
      <c r="N30" s="44">
        <f t="shared" si="2"/>
        <v>270.98258936057505</v>
      </c>
      <c r="P30" s="21"/>
    </row>
    <row r="31" spans="1:16">
      <c r="B31" s="15">
        <v>2018</v>
      </c>
      <c r="D31" s="43"/>
      <c r="F31" s="43"/>
      <c r="G31" s="43"/>
      <c r="H31" s="107"/>
      <c r="I31" s="107"/>
      <c r="J31" s="107"/>
      <c r="K31" s="15" t="str">
        <f t="shared" si="3"/>
        <v>Aurora Energy</v>
      </c>
      <c r="L31" s="43">
        <v>2018</v>
      </c>
      <c r="M31" s="44">
        <f>[26]Sheet1!$M13</f>
        <v>299.74073099999998</v>
      </c>
      <c r="N31" s="44">
        <f t="shared" si="2"/>
        <v>278.77955571824845</v>
      </c>
      <c r="P31" s="21"/>
    </row>
    <row r="32" spans="1:16">
      <c r="B32" s="15">
        <v>2019</v>
      </c>
      <c r="D32" s="43"/>
      <c r="F32" s="43"/>
      <c r="G32" s="43"/>
      <c r="H32" s="107"/>
      <c r="I32" s="107"/>
      <c r="J32" s="107"/>
      <c r="K32" s="15" t="str">
        <f t="shared" si="3"/>
        <v>Aurora Energy</v>
      </c>
      <c r="L32" s="43">
        <v>2019</v>
      </c>
      <c r="M32" s="44">
        <f>[27]Sheet1!$M$3</f>
        <v>298.63605200000001</v>
      </c>
      <c r="N32" s="44">
        <f t="shared" si="2"/>
        <v>277.75212804832904</v>
      </c>
      <c r="P32" s="21"/>
    </row>
    <row r="33" spans="1:16">
      <c r="B33" s="15">
        <v>2020</v>
      </c>
      <c r="D33" s="43"/>
      <c r="F33" s="43"/>
      <c r="G33" s="43"/>
      <c r="H33" s="107"/>
      <c r="I33" s="107"/>
      <c r="J33" s="107"/>
      <c r="K33" s="15" t="str">
        <f t="shared" si="3"/>
        <v>Aurora Energy</v>
      </c>
      <c r="L33" s="43">
        <v>2020</v>
      </c>
      <c r="M33" s="44">
        <f>[28]Sheet1!$M$3</f>
        <v>283.19420400000001</v>
      </c>
      <c r="N33" s="44">
        <f t="shared" si="2"/>
        <v>263.39014424136781</v>
      </c>
      <c r="P33" s="21"/>
    </row>
    <row r="34" spans="1:16">
      <c r="A34" s="15" t="s">
        <v>114</v>
      </c>
      <c r="B34" s="15">
        <v>2006</v>
      </c>
      <c r="D34" s="43"/>
      <c r="F34" s="43"/>
      <c r="G34" s="43"/>
      <c r="H34" s="107"/>
      <c r="I34" s="107"/>
      <c r="J34" s="107"/>
      <c r="K34" s="15" t="s">
        <v>114</v>
      </c>
      <c r="L34" s="43">
        <v>2006</v>
      </c>
      <c r="M34" s="44">
        <f>'[2]EDB Database'!$K106/1000</f>
        <v>87.097999999999999</v>
      </c>
      <c r="N34" s="44">
        <f>N35*M34/M35</f>
        <v>91.68716410611502</v>
      </c>
      <c r="P34" s="21"/>
    </row>
    <row r="35" spans="1:16">
      <c r="B35" s="15">
        <v>2007</v>
      </c>
      <c r="D35" s="43"/>
      <c r="F35" s="43"/>
      <c r="G35" s="43"/>
      <c r="H35" s="107"/>
      <c r="I35" s="107"/>
      <c r="J35" s="107"/>
      <c r="K35" s="15" t="s">
        <v>114</v>
      </c>
      <c r="L35" s="43">
        <v>2007</v>
      </c>
      <c r="M35" s="44">
        <f>'[2]EDB Database'!$K107/1000</f>
        <v>91.506</v>
      </c>
      <c r="N35" s="44">
        <f>N36*M35/M36</f>
        <v>96.327420132427406</v>
      </c>
      <c r="P35" s="21"/>
    </row>
    <row r="36" spans="1:16">
      <c r="B36" s="15">
        <v>2008</v>
      </c>
      <c r="C36" s="15">
        <v>37</v>
      </c>
      <c r="D36" s="107">
        <v>92.427999999999997</v>
      </c>
      <c r="E36" s="43">
        <v>0</v>
      </c>
      <c r="F36" s="107">
        <v>92.427999999999997</v>
      </c>
      <c r="G36" s="107">
        <v>97.298000000000002</v>
      </c>
      <c r="H36" s="107">
        <v>0</v>
      </c>
      <c r="I36" s="107">
        <v>0</v>
      </c>
      <c r="J36" s="107">
        <v>0</v>
      </c>
      <c r="K36" s="15" t="s">
        <v>114</v>
      </c>
      <c r="L36" s="43">
        <v>2008</v>
      </c>
      <c r="M36" s="44">
        <f>'[2]EDB Database'!$K108/1000</f>
        <v>92.427999999999997</v>
      </c>
      <c r="N36" s="44">
        <f>G36</f>
        <v>97.298000000000002</v>
      </c>
      <c r="P36" s="21"/>
    </row>
    <row r="37" spans="1:16">
      <c r="B37" s="15">
        <v>2009</v>
      </c>
      <c r="C37" s="15">
        <v>38</v>
      </c>
      <c r="D37" s="107">
        <v>94.09</v>
      </c>
      <c r="E37" s="15">
        <v>0</v>
      </c>
      <c r="F37" s="107">
        <v>94.09</v>
      </c>
      <c r="G37" s="107">
        <v>99.385999999999996</v>
      </c>
      <c r="H37" s="107">
        <v>0</v>
      </c>
      <c r="I37" s="107">
        <v>0</v>
      </c>
      <c r="J37" s="107">
        <v>0</v>
      </c>
      <c r="K37" s="15" t="s">
        <v>114</v>
      </c>
      <c r="L37" s="43">
        <v>2009</v>
      </c>
      <c r="M37" s="44">
        <f>'[2]EDB Database'!$K109/1000</f>
        <v>94.09</v>
      </c>
      <c r="N37" s="44">
        <f>G37</f>
        <v>99.385999999999996</v>
      </c>
      <c r="P37" s="21"/>
    </row>
    <row r="38" spans="1:16">
      <c r="B38" s="15">
        <v>2010</v>
      </c>
      <c r="C38" s="15">
        <v>39</v>
      </c>
      <c r="D38" s="107">
        <v>96.197999999999993</v>
      </c>
      <c r="E38" s="15">
        <v>0</v>
      </c>
      <c r="F38" s="107">
        <v>96.197999999999993</v>
      </c>
      <c r="G38" s="107">
        <v>99.811999999999998</v>
      </c>
      <c r="H38" s="107">
        <v>0</v>
      </c>
      <c r="I38" s="107">
        <v>0</v>
      </c>
      <c r="J38" s="107">
        <v>0</v>
      </c>
      <c r="K38" s="15" t="s">
        <v>114</v>
      </c>
      <c r="L38" s="43">
        <v>2010</v>
      </c>
      <c r="M38" s="44">
        <f>'[2]EDB Database'!$K110/1000</f>
        <v>96.197999999999993</v>
      </c>
      <c r="N38" s="44">
        <f>G38</f>
        <v>99.811999999999998</v>
      </c>
      <c r="P38" s="21"/>
    </row>
    <row r="39" spans="1:16">
      <c r="B39" s="15">
        <v>2011</v>
      </c>
      <c r="C39" s="15">
        <v>40</v>
      </c>
      <c r="D39" s="107">
        <v>91.86</v>
      </c>
      <c r="E39" s="15">
        <v>7.008</v>
      </c>
      <c r="F39" s="107">
        <v>98.867999999999995</v>
      </c>
      <c r="G39" s="107">
        <v>96.072000000000003</v>
      </c>
      <c r="H39" s="107">
        <v>0</v>
      </c>
      <c r="I39" s="107">
        <v>0</v>
      </c>
      <c r="J39" s="107">
        <v>0</v>
      </c>
      <c r="K39" s="15" t="s">
        <v>114</v>
      </c>
      <c r="L39" s="43">
        <v>2011</v>
      </c>
      <c r="M39" s="44">
        <f>'[2]EDB Database'!$K111/1000</f>
        <v>98.867999999999995</v>
      </c>
      <c r="N39" s="44">
        <f>G39</f>
        <v>96.072000000000003</v>
      </c>
      <c r="P39" s="21"/>
    </row>
    <row r="40" spans="1:16">
      <c r="B40" s="15">
        <v>2012</v>
      </c>
      <c r="C40" s="15">
        <v>41</v>
      </c>
      <c r="D40" s="107">
        <v>93.947999999999993</v>
      </c>
      <c r="E40" s="43">
        <v>3.68</v>
      </c>
      <c r="F40" s="107">
        <v>97.628</v>
      </c>
      <c r="G40" s="107">
        <v>103.16</v>
      </c>
      <c r="H40" s="107">
        <v>0</v>
      </c>
      <c r="I40" s="107">
        <v>0</v>
      </c>
      <c r="J40" s="107">
        <v>0</v>
      </c>
      <c r="K40" s="15" t="s">
        <v>114</v>
      </c>
      <c r="L40" s="43">
        <v>2012</v>
      </c>
      <c r="M40" s="44">
        <f>'[2]EDB Database'!$K112/1000</f>
        <v>97.628</v>
      </c>
      <c r="N40" s="44">
        <f>G40</f>
        <v>103.16</v>
      </c>
      <c r="P40" s="21"/>
    </row>
    <row r="41" spans="1:16">
      <c r="B41" s="15">
        <v>2013</v>
      </c>
      <c r="C41" s="15">
        <v>42</v>
      </c>
      <c r="D41" s="43"/>
      <c r="F41" s="43"/>
      <c r="G41" s="43"/>
      <c r="H41" s="107"/>
      <c r="I41" s="107"/>
      <c r="J41" s="107"/>
      <c r="K41" s="15" t="s">
        <v>114</v>
      </c>
      <c r="L41" s="43">
        <v>2013</v>
      </c>
      <c r="M41" s="44">
        <f>[26]Sheet1!$M14</f>
        <v>99.029420000000002</v>
      </c>
      <c r="N41" s="44">
        <f t="shared" ref="N41:N48" si="4">N40*M41/M40</f>
        <v>104.64083016347769</v>
      </c>
      <c r="P41" s="21"/>
    </row>
    <row r="42" spans="1:16">
      <c r="B42" s="15">
        <v>2014</v>
      </c>
      <c r="D42" s="43"/>
      <c r="F42" s="43"/>
      <c r="G42" s="43"/>
      <c r="H42" s="107"/>
      <c r="I42" s="107"/>
      <c r="J42" s="107"/>
      <c r="K42" s="15" t="s">
        <v>114</v>
      </c>
      <c r="L42" s="43">
        <v>2014</v>
      </c>
      <c r="M42" s="44">
        <f>[26]Sheet1!$M15</f>
        <v>111.28728</v>
      </c>
      <c r="N42" s="44">
        <f t="shared" si="4"/>
        <v>117.59327042241978</v>
      </c>
      <c r="P42" s="21"/>
    </row>
    <row r="43" spans="1:16">
      <c r="B43" s="15">
        <v>2015</v>
      </c>
      <c r="D43" s="43"/>
      <c r="F43" s="43"/>
      <c r="G43" s="43"/>
      <c r="H43" s="107"/>
      <c r="I43" s="107"/>
      <c r="J43" s="107"/>
      <c r="K43" s="15" t="s">
        <v>114</v>
      </c>
      <c r="L43" s="43">
        <v>2015</v>
      </c>
      <c r="M43" s="44">
        <f>[26]Sheet1!$M16</f>
        <v>115.324</v>
      </c>
      <c r="N43" s="44">
        <f t="shared" si="4"/>
        <v>121.85872741426638</v>
      </c>
      <c r="P43" s="21"/>
    </row>
    <row r="44" spans="1:16">
      <c r="B44" s="15">
        <v>2016</v>
      </c>
      <c r="D44" s="43"/>
      <c r="F44" s="43"/>
      <c r="G44" s="43"/>
      <c r="H44" s="107"/>
      <c r="I44" s="107"/>
      <c r="J44" s="107"/>
      <c r="K44" s="15" t="s">
        <v>114</v>
      </c>
      <c r="L44" s="43">
        <v>2016</v>
      </c>
      <c r="M44" s="44">
        <f>[26]Sheet1!$M17</f>
        <v>114.709</v>
      </c>
      <c r="N44" s="44">
        <f t="shared" si="4"/>
        <v>121.20887901012004</v>
      </c>
      <c r="P44" s="21"/>
    </row>
    <row r="45" spans="1:16">
      <c r="B45" s="15">
        <v>2017</v>
      </c>
      <c r="D45" s="43"/>
      <c r="F45" s="43"/>
      <c r="G45" s="43"/>
      <c r="H45" s="107"/>
      <c r="I45" s="107"/>
      <c r="J45" s="107"/>
      <c r="K45" s="15" t="s">
        <v>114</v>
      </c>
      <c r="L45" s="43">
        <v>2017</v>
      </c>
      <c r="M45" s="44">
        <f>[26]Sheet1!$M18</f>
        <v>114.80500000000001</v>
      </c>
      <c r="N45" s="44">
        <f t="shared" si="4"/>
        <v>121.31031876101119</v>
      </c>
      <c r="P45" s="21"/>
    </row>
    <row r="46" spans="1:16">
      <c r="B46" s="15">
        <v>2018</v>
      </c>
      <c r="D46" s="43"/>
      <c r="F46" s="43"/>
      <c r="G46" s="43"/>
      <c r="H46" s="107"/>
      <c r="I46" s="107"/>
      <c r="J46" s="107"/>
      <c r="K46" s="15" t="s">
        <v>114</v>
      </c>
      <c r="L46" s="43">
        <v>2018</v>
      </c>
      <c r="M46" s="44">
        <f>[26]Sheet1!$M19</f>
        <v>116.474</v>
      </c>
      <c r="N46" s="44">
        <f t="shared" si="4"/>
        <v>123.07389109681648</v>
      </c>
      <c r="P46" s="21"/>
    </row>
    <row r="47" spans="1:16">
      <c r="B47" s="15">
        <v>2019</v>
      </c>
      <c r="D47" s="43"/>
      <c r="F47" s="43"/>
      <c r="G47" s="43"/>
      <c r="H47" s="107"/>
      <c r="I47" s="107"/>
      <c r="J47" s="107"/>
      <c r="K47" s="15" t="s">
        <v>114</v>
      </c>
      <c r="L47" s="43">
        <v>2019</v>
      </c>
      <c r="M47" s="44">
        <f>[27]Sheet1!$M$6</f>
        <v>128.39680000000001</v>
      </c>
      <c r="N47" s="44">
        <f t="shared" si="4"/>
        <v>135.67228549186709</v>
      </c>
      <c r="P47" s="21"/>
    </row>
    <row r="48" spans="1:16">
      <c r="B48" s="15">
        <v>2020</v>
      </c>
      <c r="D48" s="43"/>
      <c r="F48" s="43"/>
      <c r="G48" s="43"/>
      <c r="H48" s="107"/>
      <c r="I48" s="107"/>
      <c r="J48" s="107"/>
      <c r="K48" s="15" t="s">
        <v>114</v>
      </c>
      <c r="L48" s="43">
        <v>2020</v>
      </c>
      <c r="M48" s="44">
        <f>[28]Sheet1!$M$6</f>
        <v>129.02099999999999</v>
      </c>
      <c r="N48" s="44">
        <f t="shared" si="4"/>
        <v>136.3318552054738</v>
      </c>
      <c r="P48" s="21"/>
    </row>
    <row r="49" spans="1:16">
      <c r="A49" s="15" t="s">
        <v>115</v>
      </c>
      <c r="B49" s="15">
        <v>2006</v>
      </c>
      <c r="C49" s="15">
        <v>43</v>
      </c>
      <c r="D49" s="43"/>
      <c r="F49" s="43"/>
      <c r="G49" s="43"/>
      <c r="H49" s="107"/>
      <c r="I49" s="107"/>
      <c r="J49" s="107"/>
      <c r="K49" s="15" t="s">
        <v>115</v>
      </c>
      <c r="L49" s="43">
        <v>2006</v>
      </c>
      <c r="M49" s="44">
        <f>'[2]EDB Database'!$K129/1000</f>
        <v>55.893999999999998</v>
      </c>
      <c r="N49" s="44">
        <f>N50*M49/M50</f>
        <v>51.646442141623481</v>
      </c>
      <c r="P49" s="21"/>
    </row>
    <row r="50" spans="1:16">
      <c r="B50" s="15">
        <v>2007</v>
      </c>
      <c r="C50" s="15">
        <v>44</v>
      </c>
      <c r="D50" s="43"/>
      <c r="F50" s="43"/>
      <c r="G50" s="43"/>
      <c r="H50" s="107"/>
      <c r="I50" s="107"/>
      <c r="J50" s="107"/>
      <c r="K50" s="15" t="s">
        <v>115</v>
      </c>
      <c r="L50" s="43">
        <v>2007</v>
      </c>
      <c r="M50" s="44">
        <f>'[2]EDB Database'!$K130/1000</f>
        <v>59.212000000000003</v>
      </c>
      <c r="N50" s="44">
        <f>N51*M50/M51</f>
        <v>54.712297063903286</v>
      </c>
      <c r="P50" s="21"/>
    </row>
    <row r="51" spans="1:16">
      <c r="B51" s="15">
        <v>2008</v>
      </c>
      <c r="C51" s="15">
        <v>45</v>
      </c>
      <c r="D51" s="107">
        <v>49.6</v>
      </c>
      <c r="E51" s="43">
        <v>8.3000000000000007</v>
      </c>
      <c r="F51" s="107">
        <v>57.900000000000006</v>
      </c>
      <c r="G51" s="107">
        <v>53.5</v>
      </c>
      <c r="H51" s="107">
        <v>0</v>
      </c>
      <c r="I51" s="107">
        <v>0</v>
      </c>
      <c r="J51" s="107">
        <v>0</v>
      </c>
      <c r="K51" s="15" t="s">
        <v>115</v>
      </c>
      <c r="L51" s="43">
        <v>2008</v>
      </c>
      <c r="M51" s="44">
        <f>'[2]EDB Database'!$K131/1000</f>
        <v>57.9</v>
      </c>
      <c r="N51" s="44">
        <f>G51</f>
        <v>53.5</v>
      </c>
      <c r="P51" s="21"/>
    </row>
    <row r="52" spans="1:16">
      <c r="B52" s="15">
        <v>2009</v>
      </c>
      <c r="C52" s="15">
        <v>46</v>
      </c>
      <c r="D52" s="107">
        <v>49.78</v>
      </c>
      <c r="E52" s="15">
        <v>6.17</v>
      </c>
      <c r="F52" s="107">
        <v>55.95</v>
      </c>
      <c r="G52" s="107">
        <v>52</v>
      </c>
      <c r="H52" s="107">
        <v>0</v>
      </c>
      <c r="I52" s="107">
        <v>0</v>
      </c>
      <c r="J52" s="107">
        <v>0</v>
      </c>
      <c r="K52" s="15" t="s">
        <v>115</v>
      </c>
      <c r="L52" s="43">
        <v>2009</v>
      </c>
      <c r="M52" s="44">
        <f>'[2]EDB Database'!$K132/1000</f>
        <v>55.95</v>
      </c>
      <c r="N52" s="44">
        <f>G52</f>
        <v>52</v>
      </c>
      <c r="P52" s="21"/>
    </row>
    <row r="53" spans="1:16">
      <c r="B53" s="15">
        <v>2010</v>
      </c>
      <c r="C53" s="15">
        <v>47</v>
      </c>
      <c r="D53" s="107">
        <v>48.706000000000003</v>
      </c>
      <c r="E53" s="15">
        <v>7.98</v>
      </c>
      <c r="F53" s="107">
        <v>56.686000000000007</v>
      </c>
      <c r="G53" s="107">
        <v>54.188000000000002</v>
      </c>
      <c r="H53" s="107">
        <v>0</v>
      </c>
      <c r="I53" s="107">
        <v>0</v>
      </c>
      <c r="J53" s="107">
        <v>0</v>
      </c>
      <c r="K53" s="15" t="s">
        <v>115</v>
      </c>
      <c r="L53" s="43">
        <v>2010</v>
      </c>
      <c r="M53" s="44">
        <f>'[2]EDB Database'!$K133/1000</f>
        <v>56.686</v>
      </c>
      <c r="N53" s="44">
        <f>G53</f>
        <v>54.188000000000002</v>
      </c>
      <c r="P53" s="21"/>
    </row>
    <row r="54" spans="1:16">
      <c r="B54" s="15">
        <v>2011</v>
      </c>
      <c r="C54" s="15">
        <v>48</v>
      </c>
      <c r="D54" s="107">
        <v>46.798000000000002</v>
      </c>
      <c r="E54" s="15">
        <v>9.6059999999999999</v>
      </c>
      <c r="F54" s="107">
        <v>56.404000000000003</v>
      </c>
      <c r="G54" s="107">
        <v>52.594000000000001</v>
      </c>
      <c r="H54" s="107">
        <v>0</v>
      </c>
      <c r="I54" s="107">
        <v>0</v>
      </c>
      <c r="J54" s="107">
        <v>0</v>
      </c>
      <c r="K54" s="15" t="s">
        <v>115</v>
      </c>
      <c r="L54" s="43">
        <v>2011</v>
      </c>
      <c r="M54" s="44">
        <f>'[2]EDB Database'!$K134/1000</f>
        <v>56.404000000000003</v>
      </c>
      <c r="N54" s="44">
        <f>G54</f>
        <v>52.594000000000001</v>
      </c>
      <c r="P54" s="21"/>
    </row>
    <row r="55" spans="1:16">
      <c r="B55" s="15">
        <v>2012</v>
      </c>
      <c r="C55" s="15">
        <v>49</v>
      </c>
      <c r="D55" s="107">
        <v>51.765999999999998</v>
      </c>
      <c r="E55" s="43">
        <v>5.1020000000000003</v>
      </c>
      <c r="F55" s="107">
        <v>56.867999999999995</v>
      </c>
      <c r="G55" s="107">
        <v>53.78</v>
      </c>
      <c r="H55" s="107">
        <v>0</v>
      </c>
      <c r="I55" s="107">
        <v>0</v>
      </c>
      <c r="J55" s="107">
        <v>0</v>
      </c>
      <c r="K55" s="15" t="s">
        <v>115</v>
      </c>
      <c r="L55" s="43">
        <v>2012</v>
      </c>
      <c r="M55" s="44">
        <f>'[2]EDB Database'!$K135/1000</f>
        <v>56.868000000000002</v>
      </c>
      <c r="N55" s="44">
        <f>G55</f>
        <v>53.78</v>
      </c>
      <c r="P55" s="21"/>
    </row>
    <row r="56" spans="1:16">
      <c r="B56" s="15">
        <v>2013</v>
      </c>
      <c r="C56" s="15">
        <v>50</v>
      </c>
      <c r="D56" s="43"/>
      <c r="F56" s="43"/>
      <c r="G56" s="43"/>
      <c r="H56" s="107"/>
      <c r="I56" s="107"/>
      <c r="J56" s="107"/>
      <c r="K56" s="15" t="s">
        <v>115</v>
      </c>
      <c r="L56" s="43">
        <v>2013</v>
      </c>
      <c r="M56" s="44">
        <f>[26]Sheet1!$M20</f>
        <v>56.790999999999997</v>
      </c>
      <c r="N56" s="44">
        <f t="shared" ref="N56:N63" si="5">N55*M56/M55</f>
        <v>53.707181191531262</v>
      </c>
      <c r="P56" s="21"/>
    </row>
    <row r="57" spans="1:16">
      <c r="B57" s="15">
        <v>2014</v>
      </c>
      <c r="D57" s="43"/>
      <c r="F57" s="43"/>
      <c r="G57" s="43"/>
      <c r="H57" s="107"/>
      <c r="I57" s="107"/>
      <c r="J57" s="107"/>
      <c r="K57" s="15" t="s">
        <v>115</v>
      </c>
      <c r="L57" s="43">
        <v>2014</v>
      </c>
      <c r="M57" s="44">
        <f>[26]Sheet1!$M21</f>
        <v>59.856999999999999</v>
      </c>
      <c r="N57" s="44">
        <f t="shared" si="5"/>
        <v>56.606693746922694</v>
      </c>
      <c r="P57" s="21"/>
    </row>
    <row r="58" spans="1:16">
      <c r="B58" s="15">
        <v>2015</v>
      </c>
      <c r="D58" s="43"/>
      <c r="F58" s="43"/>
      <c r="G58" s="43"/>
      <c r="H58" s="107"/>
      <c r="I58" s="107"/>
      <c r="J58" s="107"/>
      <c r="K58" s="15" t="str">
        <f t="shared" ref="K58:K63" si="6">K57</f>
        <v>Eastland Network</v>
      </c>
      <c r="L58" s="43">
        <v>2015</v>
      </c>
      <c r="M58" s="44">
        <f>[26]Sheet1!$M22</f>
        <v>55.343600000000002</v>
      </c>
      <c r="N58" s="44">
        <f t="shared" si="5"/>
        <v>52.338376732081315</v>
      </c>
      <c r="P58" s="21"/>
    </row>
    <row r="59" spans="1:16">
      <c r="B59" s="15">
        <v>2016</v>
      </c>
      <c r="D59" s="43"/>
      <c r="F59" s="43"/>
      <c r="G59" s="43"/>
      <c r="H59" s="107"/>
      <c r="I59" s="107"/>
      <c r="J59" s="107"/>
      <c r="K59" s="15" t="str">
        <f t="shared" si="6"/>
        <v>Eastland Network</v>
      </c>
      <c r="L59" s="43">
        <v>2016</v>
      </c>
      <c r="M59" s="44">
        <f>[26]Sheet1!$M23</f>
        <v>60.32</v>
      </c>
      <c r="N59" s="44">
        <f t="shared" si="5"/>
        <v>57.044552296546385</v>
      </c>
      <c r="P59" s="21"/>
    </row>
    <row r="60" spans="1:16">
      <c r="B60" s="15">
        <v>2017</v>
      </c>
      <c r="D60" s="43"/>
      <c r="F60" s="43"/>
      <c r="G60" s="43"/>
      <c r="H60" s="107"/>
      <c r="I60" s="107"/>
      <c r="J60" s="107"/>
      <c r="K60" s="15" t="str">
        <f t="shared" si="6"/>
        <v>Eastland Network</v>
      </c>
      <c r="L60" s="43">
        <v>2017</v>
      </c>
      <c r="M60" s="44">
        <f>[26]Sheet1!$M24</f>
        <v>58.711999999999989</v>
      </c>
      <c r="N60" s="44">
        <f t="shared" si="5"/>
        <v>55.523868608004484</v>
      </c>
      <c r="P60" s="21"/>
    </row>
    <row r="61" spans="1:16">
      <c r="B61" s="15">
        <v>2018</v>
      </c>
      <c r="D61" s="43"/>
      <c r="F61" s="43"/>
      <c r="G61" s="43"/>
      <c r="H61" s="107"/>
      <c r="I61" s="107"/>
      <c r="J61" s="107"/>
      <c r="K61" s="15" t="str">
        <f t="shared" si="6"/>
        <v>Eastland Network</v>
      </c>
      <c r="L61" s="43">
        <v>2018</v>
      </c>
      <c r="M61" s="44">
        <f>[26]Sheet1!$M25</f>
        <v>58.711999999999989</v>
      </c>
      <c r="N61" s="44">
        <f t="shared" si="5"/>
        <v>55.523868608004484</v>
      </c>
      <c r="P61" s="21"/>
    </row>
    <row r="62" spans="1:16">
      <c r="B62" s="15">
        <v>2019</v>
      </c>
      <c r="D62" s="43"/>
      <c r="F62" s="43"/>
      <c r="G62" s="43"/>
      <c r="H62" s="107"/>
      <c r="I62" s="107"/>
      <c r="J62" s="107"/>
      <c r="K62" s="15" t="str">
        <f t="shared" si="6"/>
        <v>Eastland Network</v>
      </c>
      <c r="L62" s="43">
        <v>2019</v>
      </c>
      <c r="M62" s="44">
        <f>[27]Sheet1!$M$8</f>
        <v>58.630800000000001</v>
      </c>
      <c r="N62" s="44">
        <f t="shared" si="5"/>
        <v>55.447077864528381</v>
      </c>
      <c r="P62" s="21"/>
    </row>
    <row r="63" spans="1:16">
      <c r="B63" s="15">
        <v>2020</v>
      </c>
      <c r="D63" s="43"/>
      <c r="F63" s="43"/>
      <c r="G63" s="43"/>
      <c r="H63" s="107"/>
      <c r="I63" s="107"/>
      <c r="J63" s="107"/>
      <c r="K63" s="15" t="str">
        <f t="shared" si="6"/>
        <v>Eastland Network</v>
      </c>
      <c r="L63" s="43">
        <v>2020</v>
      </c>
      <c r="M63" s="44">
        <f>[28]Sheet1!$M$8</f>
        <v>59.2</v>
      </c>
      <c r="N63" s="44">
        <f t="shared" si="5"/>
        <v>55.985369627910245</v>
      </c>
      <c r="P63" s="21"/>
    </row>
    <row r="64" spans="1:16">
      <c r="A64" s="15" t="s">
        <v>116</v>
      </c>
      <c r="B64" s="15">
        <v>2006</v>
      </c>
      <c r="C64" s="15">
        <v>51</v>
      </c>
      <c r="D64" s="43"/>
      <c r="F64" s="43"/>
      <c r="G64" s="43"/>
      <c r="H64" s="107"/>
      <c r="I64" s="107"/>
      <c r="J64" s="107"/>
      <c r="K64" s="15" t="s">
        <v>117</v>
      </c>
      <c r="L64" s="43">
        <v>2006</v>
      </c>
      <c r="M64" s="44">
        <f>'[2]EDB Database'!$K152/1000</f>
        <v>91.93</v>
      </c>
      <c r="N64" s="44">
        <f>N65*M64/M65</f>
        <v>91.93</v>
      </c>
      <c r="P64" s="21"/>
    </row>
    <row r="65" spans="1:16">
      <c r="B65" s="15">
        <v>2007</v>
      </c>
      <c r="C65" s="15">
        <v>52</v>
      </c>
      <c r="D65" s="43"/>
      <c r="F65" s="43"/>
      <c r="G65" s="43"/>
      <c r="H65" s="107"/>
      <c r="I65" s="107"/>
      <c r="J65" s="107"/>
      <c r="K65" s="15" t="s">
        <v>117</v>
      </c>
      <c r="L65" s="43">
        <v>2007</v>
      </c>
      <c r="M65" s="44">
        <f>'[2]EDB Database'!$K153/1000</f>
        <v>98</v>
      </c>
      <c r="N65" s="44">
        <f>N66*M65/M66</f>
        <v>98</v>
      </c>
      <c r="P65" s="21"/>
    </row>
    <row r="66" spans="1:16">
      <c r="B66" s="15">
        <v>2008</v>
      </c>
      <c r="C66" s="15">
        <v>53</v>
      </c>
      <c r="D66" s="107">
        <v>95</v>
      </c>
      <c r="E66" s="43">
        <v>0</v>
      </c>
      <c r="F66" s="107">
        <v>95</v>
      </c>
      <c r="G66" s="107">
        <v>95</v>
      </c>
      <c r="H66" s="107">
        <v>0</v>
      </c>
      <c r="I66" s="107">
        <v>0</v>
      </c>
      <c r="J66" s="107">
        <v>0</v>
      </c>
      <c r="K66" s="15" t="s">
        <v>117</v>
      </c>
      <c r="L66" s="43">
        <v>2008</v>
      </c>
      <c r="M66" s="44">
        <f>'[2]EDB Database'!$K154/1000</f>
        <v>95</v>
      </c>
      <c r="N66" s="44">
        <f>G66</f>
        <v>95</v>
      </c>
      <c r="P66" s="21"/>
    </row>
    <row r="67" spans="1:16">
      <c r="B67" s="15">
        <v>2009</v>
      </c>
      <c r="C67" s="15">
        <v>54</v>
      </c>
      <c r="D67" s="107">
        <v>95</v>
      </c>
      <c r="E67" s="15">
        <v>0</v>
      </c>
      <c r="F67" s="107">
        <v>95</v>
      </c>
      <c r="G67" s="107">
        <v>95</v>
      </c>
      <c r="H67" s="107">
        <v>0</v>
      </c>
      <c r="I67" s="107">
        <v>0</v>
      </c>
      <c r="J67" s="107">
        <v>0</v>
      </c>
      <c r="K67" s="15" t="s">
        <v>117</v>
      </c>
      <c r="L67" s="43">
        <v>2009</v>
      </c>
      <c r="M67" s="44">
        <f>'[2]EDB Database'!$K155/1000</f>
        <v>95</v>
      </c>
      <c r="N67" s="44">
        <f>G67</f>
        <v>95</v>
      </c>
      <c r="P67" s="21"/>
    </row>
    <row r="68" spans="1:16">
      <c r="B68" s="15">
        <v>2010</v>
      </c>
      <c r="C68" s="15">
        <v>55</v>
      </c>
      <c r="D68" s="107">
        <v>94.45</v>
      </c>
      <c r="E68" s="15">
        <v>0</v>
      </c>
      <c r="F68" s="107">
        <v>94.45</v>
      </c>
      <c r="G68" s="107">
        <v>98</v>
      </c>
      <c r="H68" s="107">
        <v>0</v>
      </c>
      <c r="I68" s="107">
        <v>0</v>
      </c>
      <c r="J68" s="107">
        <v>0</v>
      </c>
      <c r="K68" s="15" t="s">
        <v>117</v>
      </c>
      <c r="L68" s="43">
        <v>2010</v>
      </c>
      <c r="M68" s="44">
        <f>'[2]EDB Database'!$K156/1000</f>
        <v>94.45</v>
      </c>
      <c r="N68" s="44">
        <f>G68</f>
        <v>98</v>
      </c>
      <c r="P68" s="21"/>
    </row>
    <row r="69" spans="1:16">
      <c r="B69" s="15">
        <v>2011</v>
      </c>
      <c r="C69" s="15">
        <v>56</v>
      </c>
      <c r="D69" s="107">
        <v>94.33</v>
      </c>
      <c r="E69" s="15">
        <v>0</v>
      </c>
      <c r="F69" s="107">
        <v>94.33</v>
      </c>
      <c r="G69" s="107">
        <v>95.052000000000007</v>
      </c>
      <c r="H69" s="107">
        <v>0</v>
      </c>
      <c r="I69" s="107">
        <v>0</v>
      </c>
      <c r="J69" s="107">
        <v>0</v>
      </c>
      <c r="K69" s="15" t="s">
        <v>117</v>
      </c>
      <c r="L69" s="43">
        <v>2011</v>
      </c>
      <c r="M69" s="44">
        <f>'[2]EDB Database'!$K157/1000</f>
        <v>94.33</v>
      </c>
      <c r="N69" s="44">
        <f>G69</f>
        <v>95.052000000000007</v>
      </c>
      <c r="P69" s="21"/>
    </row>
    <row r="70" spans="1:16">
      <c r="B70" s="15">
        <v>2012</v>
      </c>
      <c r="C70" s="15">
        <v>57</v>
      </c>
      <c r="D70" s="107">
        <v>103.6</v>
      </c>
      <c r="E70" s="43">
        <v>0</v>
      </c>
      <c r="F70" s="107">
        <v>103.6</v>
      </c>
      <c r="G70" s="107">
        <v>104.05</v>
      </c>
      <c r="H70" s="107">
        <v>0</v>
      </c>
      <c r="I70" s="107">
        <v>0</v>
      </c>
      <c r="J70" s="107">
        <v>0</v>
      </c>
      <c r="K70" s="15" t="s">
        <v>117</v>
      </c>
      <c r="L70" s="43">
        <v>2012</v>
      </c>
      <c r="M70" s="44">
        <f>'[2]EDB Database'!$K158/1000</f>
        <v>103.6</v>
      </c>
      <c r="N70" s="44">
        <f>G70</f>
        <v>104.05</v>
      </c>
      <c r="P70" s="21"/>
    </row>
    <row r="71" spans="1:16">
      <c r="B71" s="15">
        <v>2013</v>
      </c>
      <c r="C71" s="15">
        <v>58</v>
      </c>
      <c r="D71" s="43"/>
      <c r="F71" s="43"/>
      <c r="G71" s="43"/>
      <c r="H71" s="107"/>
      <c r="I71" s="107"/>
      <c r="J71" s="107"/>
      <c r="K71" s="15" t="s">
        <v>117</v>
      </c>
      <c r="L71" s="43">
        <v>2013</v>
      </c>
      <c r="M71" s="44">
        <f>[26]Sheet1!$M26</f>
        <v>93</v>
      </c>
      <c r="N71" s="44">
        <f t="shared" ref="N71:N78" si="7">N70*M71/M70</f>
        <v>93.403957528957534</v>
      </c>
      <c r="P71" s="21"/>
    </row>
    <row r="72" spans="1:16">
      <c r="B72" s="15">
        <v>2014</v>
      </c>
      <c r="D72" s="43"/>
      <c r="F72" s="43"/>
      <c r="G72" s="43"/>
      <c r="H72" s="107"/>
      <c r="I72" s="107"/>
      <c r="J72" s="107"/>
      <c r="K72" s="15" t="s">
        <v>117</v>
      </c>
      <c r="L72" s="43">
        <v>2014</v>
      </c>
      <c r="M72" s="44">
        <f>[26]Sheet1!$M27</f>
        <v>93</v>
      </c>
      <c r="N72" s="44">
        <f t="shared" si="7"/>
        <v>93.403957528957534</v>
      </c>
      <c r="P72" s="21"/>
    </row>
    <row r="73" spans="1:16">
      <c r="B73" s="15">
        <v>2015</v>
      </c>
      <c r="D73" s="43"/>
      <c r="F73" s="43"/>
      <c r="G73" s="43"/>
      <c r="H73" s="107"/>
      <c r="I73" s="107"/>
      <c r="J73" s="107"/>
      <c r="K73" s="15" t="str">
        <f t="shared" ref="K73:K78" si="8">K72</f>
        <v>Electra</v>
      </c>
      <c r="L73" s="43">
        <v>2015</v>
      </c>
      <c r="M73" s="44">
        <f>[26]Sheet1!$M28</f>
        <v>88.64</v>
      </c>
      <c r="N73" s="44">
        <f t="shared" si="7"/>
        <v>89.025019305019313</v>
      </c>
      <c r="P73" s="21"/>
    </row>
    <row r="74" spans="1:16">
      <c r="B74" s="15">
        <v>2016</v>
      </c>
      <c r="D74" s="43"/>
      <c r="F74" s="43"/>
      <c r="G74" s="43"/>
      <c r="H74" s="107"/>
      <c r="I74" s="107"/>
      <c r="J74" s="107"/>
      <c r="K74" s="15" t="str">
        <f t="shared" si="8"/>
        <v>Electra</v>
      </c>
      <c r="L74" s="43">
        <v>2016</v>
      </c>
      <c r="M74" s="44">
        <f>[26]Sheet1!$M29</f>
        <v>107.07</v>
      </c>
      <c r="N74" s="44">
        <f t="shared" si="7"/>
        <v>107.5350723938224</v>
      </c>
      <c r="P74" s="21"/>
    </row>
    <row r="75" spans="1:16">
      <c r="B75" s="15">
        <v>2017</v>
      </c>
      <c r="D75" s="43"/>
      <c r="F75" s="43"/>
      <c r="G75" s="43"/>
      <c r="H75" s="107"/>
      <c r="I75" s="107"/>
      <c r="J75" s="107"/>
      <c r="K75" s="15" t="str">
        <f t="shared" si="8"/>
        <v>Electra</v>
      </c>
      <c r="L75" s="43">
        <v>2017</v>
      </c>
      <c r="M75" s="44">
        <f>[26]Sheet1!$M30</f>
        <v>103</v>
      </c>
      <c r="N75" s="44">
        <f t="shared" si="7"/>
        <v>103.44739382239383</v>
      </c>
      <c r="P75" s="21"/>
    </row>
    <row r="76" spans="1:16">
      <c r="B76" s="15">
        <v>2018</v>
      </c>
      <c r="D76" s="43"/>
      <c r="F76" s="43"/>
      <c r="G76" s="43"/>
      <c r="H76" s="107"/>
      <c r="I76" s="107"/>
      <c r="J76" s="107"/>
      <c r="K76" s="15" t="str">
        <f t="shared" si="8"/>
        <v>Electra</v>
      </c>
      <c r="L76" s="43">
        <v>2018</v>
      </c>
      <c r="M76" s="44">
        <f>[26]Sheet1!$M31</f>
        <v>104</v>
      </c>
      <c r="N76" s="44">
        <f t="shared" si="7"/>
        <v>104.45173745173747</v>
      </c>
      <c r="P76" s="21"/>
    </row>
    <row r="77" spans="1:16">
      <c r="B77" s="15">
        <v>2019</v>
      </c>
      <c r="D77" s="43"/>
      <c r="F77" s="43"/>
      <c r="G77" s="43"/>
      <c r="H77" s="107"/>
      <c r="I77" s="107"/>
      <c r="J77" s="107"/>
      <c r="K77" s="15" t="str">
        <f t="shared" si="8"/>
        <v>Electra</v>
      </c>
      <c r="L77" s="43">
        <v>2019</v>
      </c>
      <c r="M77" s="44">
        <f>[27]Sheet1!$M$9</f>
        <v>101.922</v>
      </c>
      <c r="N77" s="44">
        <f t="shared" si="7"/>
        <v>102.36471138996141</v>
      </c>
      <c r="P77" s="21"/>
    </row>
    <row r="78" spans="1:16">
      <c r="B78" s="15">
        <v>2020</v>
      </c>
      <c r="D78" s="43"/>
      <c r="F78" s="43"/>
      <c r="G78" s="43"/>
      <c r="H78" s="107"/>
      <c r="I78" s="107"/>
      <c r="J78" s="107"/>
      <c r="K78" s="15" t="str">
        <f t="shared" si="8"/>
        <v>Electra</v>
      </c>
      <c r="L78" s="43">
        <v>2020</v>
      </c>
      <c r="M78" s="44">
        <f>[28]Sheet1!$M$9</f>
        <v>101.384</v>
      </c>
      <c r="N78" s="44">
        <f t="shared" si="7"/>
        <v>101.82437451737454</v>
      </c>
      <c r="P78" s="21"/>
    </row>
    <row r="79" spans="1:16">
      <c r="A79" s="15" t="s">
        <v>118</v>
      </c>
      <c r="B79" s="15">
        <v>2006</v>
      </c>
      <c r="C79" s="15">
        <v>75</v>
      </c>
      <c r="D79" s="43"/>
      <c r="F79" s="43"/>
      <c r="G79" s="43"/>
      <c r="H79" s="107"/>
      <c r="I79" s="107"/>
      <c r="J79" s="107"/>
      <c r="K79" s="15" t="s">
        <v>119</v>
      </c>
      <c r="L79" s="43">
        <v>2006</v>
      </c>
      <c r="M79" s="44">
        <f>'[2]EDB Database'!$K221/1000</f>
        <v>94.073999999999998</v>
      </c>
      <c r="N79" s="44">
        <f>N80*M79/M80</f>
        <v>88.293245806035728</v>
      </c>
      <c r="P79" s="21"/>
    </row>
    <row r="80" spans="1:16">
      <c r="B80" s="15">
        <v>2007</v>
      </c>
      <c r="C80" s="15">
        <v>76</v>
      </c>
      <c r="D80" s="43"/>
      <c r="F80" s="43"/>
      <c r="G80" s="43"/>
      <c r="H80" s="107"/>
      <c r="I80" s="107"/>
      <c r="J80" s="107"/>
      <c r="K80" s="15" t="s">
        <v>119</v>
      </c>
      <c r="L80" s="43">
        <v>2007</v>
      </c>
      <c r="M80" s="44">
        <f>'[2]EDB Database'!$K222/1000</f>
        <v>94.147000000000006</v>
      </c>
      <c r="N80" s="44">
        <f>N81*M80/M81</f>
        <v>88.361760028284607</v>
      </c>
      <c r="P80" s="21"/>
    </row>
    <row r="81" spans="1:16">
      <c r="B81" s="15">
        <v>2008</v>
      </c>
      <c r="C81" s="15">
        <v>77</v>
      </c>
      <c r="D81" s="107">
        <v>77.498000000000005</v>
      </c>
      <c r="E81" s="43">
        <v>18.554320000000001</v>
      </c>
      <c r="F81" s="107">
        <v>96.052320000000009</v>
      </c>
      <c r="G81" s="107">
        <v>90.15</v>
      </c>
      <c r="H81" s="107">
        <v>21.46</v>
      </c>
      <c r="I81" s="107">
        <v>11.852</v>
      </c>
      <c r="J81" s="107">
        <v>0</v>
      </c>
      <c r="K81" s="15" t="s">
        <v>119</v>
      </c>
      <c r="L81" s="43">
        <v>2008</v>
      </c>
      <c r="M81" s="44">
        <f>'[2]EDB Database'!$K223/1000</f>
        <v>96.052319999999995</v>
      </c>
      <c r="N81" s="44">
        <f>G81</f>
        <v>90.15</v>
      </c>
      <c r="P81" s="21"/>
    </row>
    <row r="82" spans="1:16">
      <c r="B82" s="15">
        <v>2009</v>
      </c>
      <c r="C82" s="15">
        <v>78</v>
      </c>
      <c r="D82" s="107">
        <v>76.664000000000001</v>
      </c>
      <c r="E82" s="15">
        <v>8.1164000000000005</v>
      </c>
      <c r="F82" s="107">
        <v>84.7804</v>
      </c>
      <c r="G82" s="107">
        <v>82.31</v>
      </c>
      <c r="H82" s="107">
        <v>22.18</v>
      </c>
      <c r="I82" s="107">
        <v>17.05</v>
      </c>
      <c r="J82" s="107">
        <v>0</v>
      </c>
      <c r="K82" s="15" t="s">
        <v>119</v>
      </c>
      <c r="L82" s="43">
        <v>2009</v>
      </c>
      <c r="M82" s="44">
        <f>'[2]EDB Database'!$K224/1000</f>
        <v>84.7804</v>
      </c>
      <c r="N82" s="44">
        <f>G82</f>
        <v>82.31</v>
      </c>
      <c r="P82" s="21"/>
    </row>
    <row r="83" spans="1:16">
      <c r="B83" s="15">
        <v>2010</v>
      </c>
      <c r="C83" s="15">
        <v>79</v>
      </c>
      <c r="D83" s="107">
        <v>83.701999999999998</v>
      </c>
      <c r="E83" s="15">
        <v>4.3664400000000008</v>
      </c>
      <c r="F83" s="107">
        <v>88.068439999999995</v>
      </c>
      <c r="G83" s="107">
        <v>88.811999999999998</v>
      </c>
      <c r="H83" s="107">
        <v>22.43</v>
      </c>
      <c r="I83" s="107">
        <v>5.6459999999999999</v>
      </c>
      <c r="J83" s="107">
        <v>0</v>
      </c>
      <c r="K83" s="15" t="s">
        <v>119</v>
      </c>
      <c r="L83" s="43">
        <v>2010</v>
      </c>
      <c r="M83" s="44">
        <f>'[2]EDB Database'!$K225/1000</f>
        <v>88.068439999999995</v>
      </c>
      <c r="N83" s="44">
        <f>G83</f>
        <v>88.811999999999998</v>
      </c>
      <c r="P83" s="21"/>
    </row>
    <row r="84" spans="1:16">
      <c r="B84" s="15">
        <v>2011</v>
      </c>
      <c r="C84" s="15">
        <v>80</v>
      </c>
      <c r="D84" s="107">
        <v>85</v>
      </c>
      <c r="E84" s="15">
        <v>5</v>
      </c>
      <c r="F84" s="107">
        <v>90</v>
      </c>
      <c r="G84" s="107">
        <v>91</v>
      </c>
      <c r="H84" s="107">
        <v>22</v>
      </c>
      <c r="I84" s="107">
        <v>8</v>
      </c>
      <c r="J84" s="107">
        <v>0</v>
      </c>
      <c r="K84" s="15" t="s">
        <v>119</v>
      </c>
      <c r="L84" s="43">
        <v>2011</v>
      </c>
      <c r="M84" s="44">
        <f>'[2]EDB Database'!$K226/1000</f>
        <v>90</v>
      </c>
      <c r="N84" s="44">
        <f>G84</f>
        <v>91</v>
      </c>
      <c r="P84" s="21"/>
    </row>
    <row r="85" spans="1:16">
      <c r="B85" s="15">
        <v>2012</v>
      </c>
      <c r="C85" s="15">
        <v>81</v>
      </c>
      <c r="D85" s="107">
        <v>88.204260000000005</v>
      </c>
      <c r="E85" s="43">
        <v>4.6188799999999999</v>
      </c>
      <c r="F85" s="107">
        <v>92.823140000000009</v>
      </c>
      <c r="G85" s="107">
        <v>94.722459999999998</v>
      </c>
      <c r="H85" s="107">
        <v>22.04</v>
      </c>
      <c r="I85" s="107">
        <v>0</v>
      </c>
      <c r="J85" s="107">
        <v>0</v>
      </c>
      <c r="K85" s="15" t="s">
        <v>119</v>
      </c>
      <c r="L85" s="43">
        <v>2012</v>
      </c>
      <c r="M85" s="44">
        <f>'[2]EDB Database'!$K227/1000</f>
        <v>92.823139999999995</v>
      </c>
      <c r="N85" s="44">
        <f>G85</f>
        <v>94.722459999999998</v>
      </c>
      <c r="P85" s="21"/>
    </row>
    <row r="86" spans="1:16">
      <c r="B86" s="15">
        <v>2013</v>
      </c>
      <c r="C86" s="15">
        <v>82</v>
      </c>
      <c r="D86" s="43"/>
      <c r="F86" s="43"/>
      <c r="G86" s="43"/>
      <c r="H86" s="107"/>
      <c r="I86" s="107"/>
      <c r="J86" s="107"/>
      <c r="K86" s="15" t="s">
        <v>119</v>
      </c>
      <c r="L86" s="43">
        <v>2013</v>
      </c>
      <c r="M86" s="44">
        <f>[26]Sheet1!$M32</f>
        <v>83.844000000000008</v>
      </c>
      <c r="N86" s="44">
        <f t="shared" ref="N86:N93" si="9">N85*M86/M85</f>
        <v>85.559591457905867</v>
      </c>
      <c r="P86" s="21"/>
    </row>
    <row r="87" spans="1:16">
      <c r="B87" s="15">
        <v>2014</v>
      </c>
      <c r="D87" s="43"/>
      <c r="F87" s="43"/>
      <c r="G87" s="43"/>
      <c r="H87" s="107"/>
      <c r="I87" s="107"/>
      <c r="J87" s="107"/>
      <c r="K87" s="15" t="s">
        <v>119</v>
      </c>
      <c r="L87" s="43">
        <v>2014</v>
      </c>
      <c r="M87" s="44">
        <f>[26]Sheet1!$M33</f>
        <v>83.693939999999998</v>
      </c>
      <c r="N87" s="44">
        <f t="shared" si="9"/>
        <v>85.406460973981268</v>
      </c>
      <c r="P87" s="21"/>
    </row>
    <row r="88" spans="1:16">
      <c r="B88" s="15">
        <v>2015</v>
      </c>
      <c r="D88" s="43"/>
      <c r="F88" s="43"/>
      <c r="G88" s="43"/>
      <c r="H88" s="107"/>
      <c r="I88" s="107"/>
      <c r="J88" s="107"/>
      <c r="K88" s="15" t="str">
        <f t="shared" ref="K88:K93" si="10">K87</f>
        <v>Horizon Energy</v>
      </c>
      <c r="L88" s="43">
        <v>2015</v>
      </c>
      <c r="M88" s="44">
        <f>[26]Sheet1!$M34</f>
        <v>84.293300000000002</v>
      </c>
      <c r="N88" s="44">
        <f t="shared" si="9"/>
        <v>86.018084903376462</v>
      </c>
      <c r="P88" s="21"/>
    </row>
    <row r="89" spans="1:16">
      <c r="B89" s="15">
        <v>2016</v>
      </c>
      <c r="D89" s="43"/>
      <c r="F89" s="43"/>
      <c r="G89" s="43"/>
      <c r="H89" s="107"/>
      <c r="I89" s="107"/>
      <c r="J89" s="107"/>
      <c r="K89" s="15" t="str">
        <f t="shared" si="10"/>
        <v>Horizon Energy</v>
      </c>
      <c r="L89" s="43">
        <v>2016</v>
      </c>
      <c r="M89" s="44">
        <f>[26]Sheet1!$M35</f>
        <v>88.071540000000013</v>
      </c>
      <c r="N89" s="44">
        <f t="shared" si="9"/>
        <v>89.873634147567088</v>
      </c>
      <c r="P89" s="21"/>
    </row>
    <row r="90" spans="1:16">
      <c r="B90" s="15">
        <v>2017</v>
      </c>
      <c r="D90" s="43"/>
      <c r="F90" s="43"/>
      <c r="G90" s="43"/>
      <c r="H90" s="107"/>
      <c r="I90" s="107"/>
      <c r="J90" s="107"/>
      <c r="K90" s="15" t="str">
        <f t="shared" si="10"/>
        <v>Horizon Energy</v>
      </c>
      <c r="L90" s="43">
        <v>2017</v>
      </c>
      <c r="M90" s="44">
        <f>[26]Sheet1!$M36</f>
        <v>88.385999999999996</v>
      </c>
      <c r="N90" s="44">
        <f t="shared" si="9"/>
        <v>90.194528536311083</v>
      </c>
      <c r="P90" s="21"/>
    </row>
    <row r="91" spans="1:16">
      <c r="B91" s="15">
        <v>2018</v>
      </c>
      <c r="D91" s="43"/>
      <c r="F91" s="43"/>
      <c r="G91" s="43"/>
      <c r="H91" s="107"/>
      <c r="I91" s="107"/>
      <c r="J91" s="107"/>
      <c r="K91" s="15" t="str">
        <f t="shared" si="10"/>
        <v>Horizon Energy</v>
      </c>
      <c r="L91" s="43">
        <v>2018</v>
      </c>
      <c r="M91" s="44">
        <f>[26]Sheet1!$M37</f>
        <v>89.88794</v>
      </c>
      <c r="N91" s="44">
        <f t="shared" si="9"/>
        <v>91.727200794245903</v>
      </c>
      <c r="P91" s="21"/>
    </row>
    <row r="92" spans="1:16">
      <c r="B92" s="15">
        <v>2019</v>
      </c>
      <c r="D92" s="43"/>
      <c r="F92" s="43"/>
      <c r="G92" s="43"/>
      <c r="H92" s="107"/>
      <c r="I92" s="107"/>
      <c r="J92" s="107"/>
      <c r="K92" s="15" t="str">
        <f t="shared" si="10"/>
        <v>Horizon Energy</v>
      </c>
      <c r="L92" s="43">
        <v>2019</v>
      </c>
      <c r="M92" s="44">
        <f>[27]Sheet1!$M$11</f>
        <v>90</v>
      </c>
      <c r="N92" s="44">
        <f t="shared" si="9"/>
        <v>91.841553733260895</v>
      </c>
      <c r="P92" s="21"/>
    </row>
    <row r="93" spans="1:16">
      <c r="B93" s="15">
        <v>2020</v>
      </c>
      <c r="D93" s="43"/>
      <c r="F93" s="43"/>
      <c r="G93" s="43"/>
      <c r="H93" s="107"/>
      <c r="I93" s="107"/>
      <c r="J93" s="107"/>
      <c r="K93" s="15" t="str">
        <f t="shared" si="10"/>
        <v>Horizon Energy</v>
      </c>
      <c r="L93" s="43">
        <v>2020</v>
      </c>
      <c r="M93" s="44">
        <f>[28]Sheet1!$M$11</f>
        <v>95.082000000000008</v>
      </c>
      <c r="N93" s="44">
        <f t="shared" si="9"/>
        <v>97.027540134065703</v>
      </c>
      <c r="P93" s="21"/>
    </row>
    <row r="94" spans="1:16">
      <c r="A94" s="15" t="s">
        <v>120</v>
      </c>
      <c r="B94" s="15">
        <v>2006</v>
      </c>
      <c r="C94" s="15">
        <v>83</v>
      </c>
      <c r="D94" s="43"/>
      <c r="F94" s="43"/>
      <c r="G94" s="43"/>
      <c r="H94" s="107"/>
      <c r="I94" s="107"/>
      <c r="J94" s="107"/>
      <c r="K94" s="15" t="s">
        <v>121</v>
      </c>
      <c r="L94" s="43">
        <v>2006</v>
      </c>
      <c r="M94" s="44">
        <f>'[2]EDB Database'!$K244/1000</f>
        <v>79.566999999999993</v>
      </c>
      <c r="N94" s="44">
        <f>N95*M94/M95</f>
        <v>81.417395348837189</v>
      </c>
      <c r="P94" s="21"/>
    </row>
    <row r="95" spans="1:16">
      <c r="B95" s="15">
        <v>2007</v>
      </c>
      <c r="C95" s="15">
        <v>84</v>
      </c>
      <c r="D95" s="43"/>
      <c r="F95" s="43"/>
      <c r="G95" s="43"/>
      <c r="H95" s="107"/>
      <c r="I95" s="107"/>
      <c r="J95" s="107"/>
      <c r="K95" s="15" t="s">
        <v>121</v>
      </c>
      <c r="L95" s="43">
        <v>2007</v>
      </c>
      <c r="M95" s="44">
        <f>'[2]EDB Database'!$K245/1000</f>
        <v>84.74</v>
      </c>
      <c r="N95" s="44">
        <f>N96*M95/M96</f>
        <v>86.710697674418597</v>
      </c>
      <c r="P95" s="21"/>
    </row>
    <row r="96" spans="1:16">
      <c r="B96" s="15">
        <v>2008</v>
      </c>
      <c r="C96" s="15">
        <v>85</v>
      </c>
      <c r="D96" s="107">
        <v>86</v>
      </c>
      <c r="E96" s="43">
        <v>0</v>
      </c>
      <c r="F96" s="107">
        <v>86</v>
      </c>
      <c r="G96" s="107">
        <v>88</v>
      </c>
      <c r="H96" s="107">
        <v>0</v>
      </c>
      <c r="I96" s="107">
        <v>0</v>
      </c>
      <c r="J96" s="107">
        <v>0</v>
      </c>
      <c r="K96" s="15" t="s">
        <v>122</v>
      </c>
      <c r="L96" s="43">
        <v>2008</v>
      </c>
      <c r="M96" s="44">
        <f>'[2]EDB Database'!$K246/1000</f>
        <v>86</v>
      </c>
      <c r="N96" s="44">
        <f>G96</f>
        <v>88</v>
      </c>
      <c r="P96" s="21"/>
    </row>
    <row r="97" spans="1:16">
      <c r="B97" s="15">
        <v>2009</v>
      </c>
      <c r="C97" s="15">
        <v>86</v>
      </c>
      <c r="D97" s="107">
        <v>89</v>
      </c>
      <c r="E97" s="15">
        <v>0</v>
      </c>
      <c r="F97" s="107">
        <v>89</v>
      </c>
      <c r="G97" s="107">
        <v>93</v>
      </c>
      <c r="H97" s="107">
        <v>0</v>
      </c>
      <c r="I97" s="107">
        <v>0</v>
      </c>
      <c r="J97" s="107">
        <v>0</v>
      </c>
      <c r="K97" s="15" t="s">
        <v>122</v>
      </c>
      <c r="L97" s="43">
        <v>2009</v>
      </c>
      <c r="M97" s="44">
        <f>'[2]EDB Database'!$K247/1000</f>
        <v>89</v>
      </c>
      <c r="N97" s="44">
        <f>G97</f>
        <v>93</v>
      </c>
      <c r="P97" s="21"/>
    </row>
    <row r="98" spans="1:16">
      <c r="B98" s="15">
        <v>2010</v>
      </c>
      <c r="C98" s="15">
        <v>87</v>
      </c>
      <c r="D98" s="107">
        <v>89</v>
      </c>
      <c r="E98" s="15">
        <v>0</v>
      </c>
      <c r="F98" s="107">
        <v>89</v>
      </c>
      <c r="G98" s="107">
        <v>93</v>
      </c>
      <c r="H98" s="107">
        <v>0</v>
      </c>
      <c r="I98" s="107">
        <v>0</v>
      </c>
      <c r="J98" s="107">
        <v>0</v>
      </c>
      <c r="K98" s="15" t="s">
        <v>122</v>
      </c>
      <c r="L98" s="43">
        <v>2010</v>
      </c>
      <c r="M98" s="44">
        <f>'[2]EDB Database'!$K248/1000</f>
        <v>89</v>
      </c>
      <c r="N98" s="44">
        <f>G98</f>
        <v>93</v>
      </c>
      <c r="P98" s="21"/>
    </row>
    <row r="99" spans="1:16">
      <c r="B99" s="15">
        <v>2011</v>
      </c>
      <c r="C99" s="15">
        <v>88</v>
      </c>
      <c r="D99" s="107">
        <v>92</v>
      </c>
      <c r="E99" s="15">
        <v>0</v>
      </c>
      <c r="F99" s="107">
        <v>92</v>
      </c>
      <c r="G99" s="107">
        <v>96</v>
      </c>
      <c r="H99" s="107">
        <v>0</v>
      </c>
      <c r="I99" s="107">
        <v>0</v>
      </c>
      <c r="J99" s="107">
        <v>0</v>
      </c>
      <c r="K99" s="15" t="s">
        <v>122</v>
      </c>
      <c r="L99" s="43">
        <v>2011</v>
      </c>
      <c r="M99" s="44">
        <f>'[2]EDB Database'!$K249/1000</f>
        <v>92</v>
      </c>
      <c r="N99" s="44">
        <f>G99</f>
        <v>96</v>
      </c>
      <c r="P99" s="21"/>
    </row>
    <row r="100" spans="1:16">
      <c r="B100" s="15">
        <v>2012</v>
      </c>
      <c r="C100" s="15">
        <v>89</v>
      </c>
      <c r="D100" s="107">
        <v>100</v>
      </c>
      <c r="E100" s="43">
        <v>0</v>
      </c>
      <c r="F100" s="107">
        <v>100</v>
      </c>
      <c r="G100" s="107">
        <v>120</v>
      </c>
      <c r="H100" s="107">
        <v>0</v>
      </c>
      <c r="I100" s="107">
        <v>0</v>
      </c>
      <c r="J100" s="107">
        <v>0</v>
      </c>
      <c r="K100" s="15" t="s">
        <v>122</v>
      </c>
      <c r="L100" s="43">
        <v>2012</v>
      </c>
      <c r="M100" s="44">
        <f>'[2]EDB Database'!$K250/1000</f>
        <v>100</v>
      </c>
      <c r="N100" s="44">
        <f>G100</f>
        <v>120</v>
      </c>
      <c r="P100" s="21"/>
    </row>
    <row r="101" spans="1:16">
      <c r="B101" s="15">
        <v>2013</v>
      </c>
      <c r="C101" s="15">
        <v>90</v>
      </c>
      <c r="D101" s="43"/>
      <c r="F101" s="43"/>
      <c r="G101" s="43"/>
      <c r="H101" s="107"/>
      <c r="I101" s="107"/>
      <c r="J101" s="107"/>
      <c r="K101" s="15" t="s">
        <v>122</v>
      </c>
      <c r="L101" s="43">
        <v>2013</v>
      </c>
      <c r="M101" s="44">
        <f>[26]Sheet1!$M38</f>
        <v>93.382000000000005</v>
      </c>
      <c r="N101" s="44">
        <f t="shared" ref="N101:N108" si="11">N100*M101/M100</f>
        <v>112.05840000000001</v>
      </c>
      <c r="P101" s="21"/>
    </row>
    <row r="102" spans="1:16">
      <c r="B102" s="15">
        <v>2014</v>
      </c>
      <c r="D102" s="43"/>
      <c r="F102" s="43"/>
      <c r="G102" s="43"/>
      <c r="H102" s="107"/>
      <c r="I102" s="107"/>
      <c r="J102" s="107"/>
      <c r="K102" s="15" t="s">
        <v>122</v>
      </c>
      <c r="L102" s="43">
        <v>2014</v>
      </c>
      <c r="M102" s="44">
        <f>[26]Sheet1!$M39</f>
        <v>99.686000000000007</v>
      </c>
      <c r="N102" s="44">
        <f t="shared" si="11"/>
        <v>119.62320000000001</v>
      </c>
      <c r="P102" s="21"/>
    </row>
    <row r="103" spans="1:16">
      <c r="B103" s="15">
        <v>2015</v>
      </c>
      <c r="D103" s="43"/>
      <c r="F103" s="43"/>
      <c r="G103" s="43"/>
      <c r="H103" s="107"/>
      <c r="I103" s="107"/>
      <c r="J103" s="107"/>
      <c r="K103" s="15" t="str">
        <f t="shared" ref="K103:K108" si="12">K102</f>
        <v>Mainpower</v>
      </c>
      <c r="L103" s="43">
        <v>2015</v>
      </c>
      <c r="M103" s="44">
        <f>[26]Sheet1!$M40</f>
        <v>108.64</v>
      </c>
      <c r="N103" s="44">
        <f t="shared" si="11"/>
        <v>130.36800000000002</v>
      </c>
      <c r="P103" s="21"/>
    </row>
    <row r="104" spans="1:16">
      <c r="B104" s="15">
        <v>2016</v>
      </c>
      <c r="D104" s="43"/>
      <c r="F104" s="43"/>
      <c r="G104" s="43"/>
      <c r="H104" s="107"/>
      <c r="I104" s="107"/>
      <c r="J104" s="107"/>
      <c r="K104" s="15" t="str">
        <f t="shared" si="12"/>
        <v>Mainpower</v>
      </c>
      <c r="L104" s="43">
        <v>2016</v>
      </c>
      <c r="M104" s="44">
        <f>[26]Sheet1!$M41</f>
        <v>112.226</v>
      </c>
      <c r="N104" s="44">
        <f t="shared" si="11"/>
        <v>134.67120000000003</v>
      </c>
      <c r="P104" s="21"/>
    </row>
    <row r="105" spans="1:16">
      <c r="B105" s="15">
        <v>2017</v>
      </c>
      <c r="D105" s="43"/>
      <c r="F105" s="43"/>
      <c r="G105" s="43"/>
      <c r="H105" s="107"/>
      <c r="I105" s="107"/>
      <c r="J105" s="107"/>
      <c r="K105" s="15" t="str">
        <f t="shared" si="12"/>
        <v>Mainpower</v>
      </c>
      <c r="L105" s="43">
        <v>2017</v>
      </c>
      <c r="M105" s="44">
        <f>[26]Sheet1!$M42</f>
        <v>112</v>
      </c>
      <c r="N105" s="44">
        <f t="shared" si="11"/>
        <v>134.40000000000003</v>
      </c>
      <c r="P105" s="21"/>
    </row>
    <row r="106" spans="1:16">
      <c r="B106" s="15">
        <v>2018</v>
      </c>
      <c r="D106" s="43"/>
      <c r="F106" s="43"/>
      <c r="G106" s="43"/>
      <c r="H106" s="107"/>
      <c r="I106" s="107"/>
      <c r="J106" s="107"/>
      <c r="K106" s="15" t="str">
        <f t="shared" si="12"/>
        <v>Mainpower</v>
      </c>
      <c r="L106" s="43">
        <v>2018</v>
      </c>
      <c r="M106" s="44">
        <f>[26]Sheet1!$M43</f>
        <v>113</v>
      </c>
      <c r="N106" s="44">
        <f t="shared" si="11"/>
        <v>135.60000000000005</v>
      </c>
      <c r="P106" s="21"/>
    </row>
    <row r="107" spans="1:16">
      <c r="B107" s="15">
        <v>2019</v>
      </c>
      <c r="D107" s="43"/>
      <c r="F107" s="43"/>
      <c r="G107" s="43"/>
      <c r="H107" s="107"/>
      <c r="I107" s="107"/>
      <c r="J107" s="107"/>
      <c r="K107" s="15" t="str">
        <f t="shared" si="12"/>
        <v>Mainpower</v>
      </c>
      <c r="L107" s="43">
        <v>2019</v>
      </c>
      <c r="M107" s="44">
        <f>[27]Sheet1!$M$12</f>
        <v>117</v>
      </c>
      <c r="N107" s="44">
        <f t="shared" si="11"/>
        <v>140.40000000000006</v>
      </c>
      <c r="P107" s="21"/>
    </row>
    <row r="108" spans="1:16">
      <c r="B108" s="15">
        <v>2020</v>
      </c>
      <c r="D108" s="43"/>
      <c r="F108" s="43"/>
      <c r="G108" s="43"/>
      <c r="H108" s="107"/>
      <c r="I108" s="107"/>
      <c r="J108" s="107"/>
      <c r="K108" s="15" t="str">
        <f t="shared" si="12"/>
        <v>Mainpower</v>
      </c>
      <c r="L108" s="43">
        <v>2020</v>
      </c>
      <c r="M108" s="44">
        <f>[28]Sheet1!$M$12</f>
        <v>115.4</v>
      </c>
      <c r="N108" s="44">
        <f t="shared" si="11"/>
        <v>138.48000000000008</v>
      </c>
      <c r="P108" s="21"/>
    </row>
    <row r="109" spans="1:16">
      <c r="A109" s="15" t="s">
        <v>123</v>
      </c>
      <c r="B109" s="15">
        <v>2006</v>
      </c>
      <c r="C109" s="15">
        <v>91</v>
      </c>
      <c r="D109" s="43"/>
      <c r="F109" s="43"/>
      <c r="G109" s="43"/>
      <c r="H109" s="107"/>
      <c r="I109" s="107"/>
      <c r="J109" s="107"/>
      <c r="K109" s="15" t="s">
        <v>124</v>
      </c>
      <c r="L109" s="43">
        <v>2006</v>
      </c>
      <c r="M109" s="44">
        <f>'[2]EDB Database'!$K267/1000</f>
        <v>58.225999999999999</v>
      </c>
      <c r="N109" s="44">
        <f>N110*M109/M110</f>
        <v>58.226000000000006</v>
      </c>
      <c r="P109" s="21"/>
    </row>
    <row r="110" spans="1:16">
      <c r="B110" s="15">
        <v>2007</v>
      </c>
      <c r="C110" s="15">
        <v>92</v>
      </c>
      <c r="D110" s="43"/>
      <c r="F110" s="43"/>
      <c r="G110" s="43"/>
      <c r="H110" s="107"/>
      <c r="I110" s="107"/>
      <c r="J110" s="107"/>
      <c r="K110" s="15" t="s">
        <v>124</v>
      </c>
      <c r="L110" s="43">
        <v>2007</v>
      </c>
      <c r="M110" s="44">
        <f>'[2]EDB Database'!$K268/1000</f>
        <v>63.186</v>
      </c>
      <c r="N110" s="44">
        <f>N111*M110/M111</f>
        <v>63.186000000000007</v>
      </c>
      <c r="P110" s="21"/>
    </row>
    <row r="111" spans="1:16">
      <c r="B111" s="15">
        <v>2008</v>
      </c>
      <c r="C111" s="15">
        <v>93</v>
      </c>
      <c r="D111" s="107">
        <v>69.5</v>
      </c>
      <c r="E111" s="43">
        <v>0.5</v>
      </c>
      <c r="F111" s="107">
        <v>70</v>
      </c>
      <c r="G111" s="107">
        <v>70</v>
      </c>
      <c r="H111" s="107">
        <v>0</v>
      </c>
      <c r="I111" s="107">
        <v>2.5</v>
      </c>
      <c r="J111" s="107">
        <v>0</v>
      </c>
      <c r="K111" s="15" t="s">
        <v>124</v>
      </c>
      <c r="L111" s="43">
        <v>2008</v>
      </c>
      <c r="M111" s="44">
        <f>'[2]EDB Database'!$K269/1000</f>
        <v>70</v>
      </c>
      <c r="N111" s="44">
        <f>G111</f>
        <v>70</v>
      </c>
      <c r="P111" s="21"/>
    </row>
    <row r="112" spans="1:16">
      <c r="B112" s="15">
        <v>2009</v>
      </c>
      <c r="C112" s="15">
        <v>94</v>
      </c>
      <c r="D112" s="107">
        <v>69</v>
      </c>
      <c r="E112" s="15">
        <v>1</v>
      </c>
      <c r="F112" s="107">
        <v>70</v>
      </c>
      <c r="G112" s="107">
        <v>69</v>
      </c>
      <c r="H112" s="107">
        <v>0</v>
      </c>
      <c r="I112" s="107">
        <v>3</v>
      </c>
      <c r="J112" s="107">
        <v>0</v>
      </c>
      <c r="K112" s="15" t="s">
        <v>124</v>
      </c>
      <c r="L112" s="43">
        <v>2009</v>
      </c>
      <c r="M112" s="44">
        <f>'[2]EDB Database'!$K270/1000</f>
        <v>70</v>
      </c>
      <c r="N112" s="44">
        <f>G112</f>
        <v>69</v>
      </c>
      <c r="P112" s="21"/>
    </row>
    <row r="113" spans="1:16">
      <c r="B113" s="15">
        <v>2010</v>
      </c>
      <c r="C113" s="15">
        <v>95</v>
      </c>
      <c r="D113" s="107">
        <v>71</v>
      </c>
      <c r="E113" s="15">
        <v>1</v>
      </c>
      <c r="F113" s="107">
        <v>72</v>
      </c>
      <c r="G113" s="107">
        <v>71</v>
      </c>
      <c r="H113" s="107">
        <v>0</v>
      </c>
      <c r="I113" s="107">
        <v>3.5</v>
      </c>
      <c r="J113" s="107">
        <v>0</v>
      </c>
      <c r="K113" s="15" t="s">
        <v>124</v>
      </c>
      <c r="L113" s="43">
        <v>2010</v>
      </c>
      <c r="M113" s="44">
        <f>'[2]EDB Database'!$K271/1000</f>
        <v>72</v>
      </c>
      <c r="N113" s="44">
        <f>G113</f>
        <v>71</v>
      </c>
      <c r="P113" s="21"/>
    </row>
    <row r="114" spans="1:16">
      <c r="B114" s="15">
        <v>2011</v>
      </c>
      <c r="C114" s="15">
        <v>96</v>
      </c>
      <c r="D114" s="107">
        <v>68.010000000000005</v>
      </c>
      <c r="E114" s="15">
        <v>2.2370000000000001</v>
      </c>
      <c r="F114" s="107">
        <v>70.247</v>
      </c>
      <c r="G114" s="107">
        <v>68.010000000000005</v>
      </c>
      <c r="H114" s="107">
        <v>0</v>
      </c>
      <c r="I114" s="107">
        <v>3</v>
      </c>
      <c r="J114" s="107">
        <v>0</v>
      </c>
      <c r="K114" s="15" t="s">
        <v>124</v>
      </c>
      <c r="L114" s="43">
        <v>2011</v>
      </c>
      <c r="M114" s="44">
        <f>'[2]EDB Database'!$K272/1000</f>
        <v>70.247</v>
      </c>
      <c r="N114" s="44">
        <f>G114</f>
        <v>68.010000000000005</v>
      </c>
      <c r="P114" s="21"/>
    </row>
    <row r="115" spans="1:16">
      <c r="B115" s="15">
        <v>2012</v>
      </c>
      <c r="C115" s="15">
        <v>97</v>
      </c>
      <c r="D115" s="107">
        <v>70</v>
      </c>
      <c r="E115" s="43">
        <v>3</v>
      </c>
      <c r="F115" s="107">
        <v>73</v>
      </c>
      <c r="G115" s="107">
        <v>70</v>
      </c>
      <c r="H115" s="107">
        <v>0</v>
      </c>
      <c r="I115" s="107">
        <v>0</v>
      </c>
      <c r="J115" s="107">
        <v>0</v>
      </c>
      <c r="K115" s="15" t="s">
        <v>124</v>
      </c>
      <c r="L115" s="43">
        <v>2012</v>
      </c>
      <c r="M115" s="44">
        <f>'[2]EDB Database'!$K273/1000</f>
        <v>73</v>
      </c>
      <c r="N115" s="44">
        <f>G115</f>
        <v>70</v>
      </c>
      <c r="P115" s="21"/>
    </row>
    <row r="116" spans="1:16">
      <c r="B116" s="15">
        <v>2013</v>
      </c>
      <c r="C116" s="15">
        <v>98</v>
      </c>
      <c r="D116" s="43"/>
      <c r="F116" s="43"/>
      <c r="G116" s="43"/>
      <c r="H116" s="107"/>
      <c r="I116" s="107"/>
      <c r="J116" s="107"/>
      <c r="K116" s="15" t="s">
        <v>124</v>
      </c>
      <c r="L116" s="43">
        <v>2013</v>
      </c>
      <c r="M116" s="44">
        <f>[26]Sheet1!$M44</f>
        <v>72.871349999999993</v>
      </c>
      <c r="N116" s="44">
        <f t="shared" ref="N116:N123" si="13">N115*M116/M115</f>
        <v>69.876636986301364</v>
      </c>
      <c r="P116" s="21"/>
    </row>
    <row r="117" spans="1:16">
      <c r="B117" s="15">
        <v>2014</v>
      </c>
      <c r="D117" s="43"/>
      <c r="F117" s="43"/>
      <c r="G117" s="43"/>
      <c r="H117" s="107"/>
      <c r="I117" s="107"/>
      <c r="J117" s="107"/>
      <c r="K117" s="15" t="s">
        <v>124</v>
      </c>
      <c r="L117" s="43">
        <v>2014</v>
      </c>
      <c r="M117" s="44">
        <f>[26]Sheet1!$M45</f>
        <v>71</v>
      </c>
      <c r="N117" s="44">
        <f t="shared" si="13"/>
        <v>68.082191780821915</v>
      </c>
      <c r="P117" s="21"/>
    </row>
    <row r="118" spans="1:16">
      <c r="B118" s="15">
        <v>2015</v>
      </c>
      <c r="D118" s="43"/>
      <c r="F118" s="43"/>
      <c r="G118" s="43"/>
      <c r="H118" s="107"/>
      <c r="I118" s="107"/>
      <c r="J118" s="107"/>
      <c r="K118" s="15" t="str">
        <f t="shared" ref="K118:K123" si="14">K117</f>
        <v>Marlborough Lines</v>
      </c>
      <c r="L118" s="43">
        <v>2015</v>
      </c>
      <c r="M118" s="44">
        <f>[26]Sheet1!$M46</f>
        <v>72.599999999999994</v>
      </c>
      <c r="N118" s="44">
        <f t="shared" si="13"/>
        <v>69.61643835616438</v>
      </c>
      <c r="P118" s="21"/>
    </row>
    <row r="119" spans="1:16">
      <c r="B119" s="15">
        <v>2016</v>
      </c>
      <c r="D119" s="43"/>
      <c r="F119" s="43"/>
      <c r="G119" s="43"/>
      <c r="H119" s="107"/>
      <c r="I119" s="107"/>
      <c r="J119" s="107"/>
      <c r="K119" s="15" t="str">
        <f t="shared" si="14"/>
        <v>Marlborough Lines</v>
      </c>
      <c r="L119" s="43">
        <v>2016</v>
      </c>
      <c r="M119" s="44">
        <f>[26]Sheet1!$M47</f>
        <v>71.105999999999995</v>
      </c>
      <c r="N119" s="44">
        <f t="shared" si="13"/>
        <v>68.183835616438358</v>
      </c>
      <c r="P119" s="21"/>
    </row>
    <row r="120" spans="1:16">
      <c r="B120" s="15">
        <v>2017</v>
      </c>
      <c r="D120" s="43"/>
      <c r="F120" s="43"/>
      <c r="G120" s="43"/>
      <c r="H120" s="107"/>
      <c r="I120" s="107"/>
      <c r="J120" s="107"/>
      <c r="K120" s="15" t="str">
        <f t="shared" si="14"/>
        <v>Marlborough Lines</v>
      </c>
      <c r="L120" s="43">
        <v>2017</v>
      </c>
      <c r="M120" s="44">
        <f>[26]Sheet1!$M48</f>
        <v>71</v>
      </c>
      <c r="N120" s="44">
        <f t="shared" si="13"/>
        <v>68.082191780821915</v>
      </c>
      <c r="P120" s="21"/>
    </row>
    <row r="121" spans="1:16">
      <c r="B121" s="15">
        <v>2018</v>
      </c>
      <c r="D121" s="43"/>
      <c r="F121" s="43"/>
      <c r="G121" s="43"/>
      <c r="H121" s="107"/>
      <c r="I121" s="107"/>
      <c r="J121" s="107"/>
      <c r="K121" s="15" t="str">
        <f t="shared" si="14"/>
        <v>Marlborough Lines</v>
      </c>
      <c r="L121" s="43">
        <v>2018</v>
      </c>
      <c r="M121" s="44">
        <f>[26]Sheet1!$M49</f>
        <v>73.333999999999989</v>
      </c>
      <c r="N121" s="44">
        <f t="shared" si="13"/>
        <v>70.32027397260272</v>
      </c>
      <c r="P121" s="21"/>
    </row>
    <row r="122" spans="1:16">
      <c r="B122" s="15">
        <v>2019</v>
      </c>
      <c r="D122" s="43"/>
      <c r="F122" s="43"/>
      <c r="G122" s="43"/>
      <c r="H122" s="107"/>
      <c r="I122" s="107"/>
      <c r="J122" s="107"/>
      <c r="K122" s="15" t="str">
        <f t="shared" si="14"/>
        <v>Marlborough Lines</v>
      </c>
      <c r="L122" s="43">
        <v>2019</v>
      </c>
      <c r="M122" s="44">
        <f>[27]Sheet1!$M$13</f>
        <v>79.034999999999997</v>
      </c>
      <c r="N122" s="44">
        <f t="shared" si="13"/>
        <v>75.786986301369851</v>
      </c>
      <c r="P122" s="21"/>
    </row>
    <row r="123" spans="1:16">
      <c r="B123" s="15">
        <v>2020</v>
      </c>
      <c r="D123" s="43"/>
      <c r="F123" s="43"/>
      <c r="G123" s="43"/>
      <c r="H123" s="107"/>
      <c r="I123" s="107"/>
      <c r="J123" s="107"/>
      <c r="K123" s="15" t="str">
        <f t="shared" si="14"/>
        <v>Marlborough Lines</v>
      </c>
      <c r="L123" s="43">
        <v>2020</v>
      </c>
      <c r="M123" s="44">
        <f>[28]Sheet1!$M$13</f>
        <v>74.41</v>
      </c>
      <c r="N123" s="44">
        <f t="shared" si="13"/>
        <v>71.352054794520541</v>
      </c>
      <c r="P123" s="21"/>
    </row>
    <row r="124" spans="1:16">
      <c r="A124" s="15" t="s">
        <v>125</v>
      </c>
      <c r="B124" s="15">
        <v>2006</v>
      </c>
      <c r="C124" s="15">
        <v>107</v>
      </c>
      <c r="D124" s="43"/>
      <c r="F124" s="43"/>
      <c r="G124" s="43"/>
      <c r="H124" s="107"/>
      <c r="I124" s="107"/>
      <c r="J124" s="107"/>
      <c r="K124" s="15" t="s">
        <v>126</v>
      </c>
      <c r="L124" s="43">
        <v>2006</v>
      </c>
      <c r="M124" s="44">
        <f>'[2]EDB Database'!$K313/1000</f>
        <v>138.74600000000001</v>
      </c>
      <c r="N124" s="44">
        <f>N125*M124/M125</f>
        <v>140.72658527089868</v>
      </c>
      <c r="P124" s="21"/>
    </row>
    <row r="125" spans="1:16">
      <c r="B125" s="15">
        <v>2007</v>
      </c>
      <c r="C125" s="15">
        <v>108</v>
      </c>
      <c r="D125" s="43"/>
      <c r="F125" s="43"/>
      <c r="G125" s="43"/>
      <c r="H125" s="107"/>
      <c r="I125" s="107"/>
      <c r="J125" s="107"/>
      <c r="K125" s="15" t="s">
        <v>126</v>
      </c>
      <c r="L125" s="43">
        <v>2007</v>
      </c>
      <c r="M125" s="44">
        <f>'[2]EDB Database'!$K314/1000</f>
        <v>140.017</v>
      </c>
      <c r="N125" s="44">
        <f>N126*M125/M126</f>
        <v>142.01572866875742</v>
      </c>
      <c r="P125" s="21"/>
    </row>
    <row r="126" spans="1:16">
      <c r="B126" s="15">
        <v>2008</v>
      </c>
      <c r="C126" s="15">
        <v>109</v>
      </c>
      <c r="D126" s="107">
        <v>147.102</v>
      </c>
      <c r="E126" s="43">
        <v>0.85</v>
      </c>
      <c r="F126" s="107">
        <v>147.952</v>
      </c>
      <c r="G126" s="107">
        <v>150.06399999999999</v>
      </c>
      <c r="H126" s="107">
        <v>24.547000000000001</v>
      </c>
      <c r="I126" s="107">
        <v>0.4</v>
      </c>
      <c r="J126" s="107">
        <v>0</v>
      </c>
      <c r="K126" s="15" t="s">
        <v>126</v>
      </c>
      <c r="L126" s="43">
        <v>2008</v>
      </c>
      <c r="M126" s="44">
        <f>'[2]EDB Database'!$K315/1000</f>
        <v>147.952</v>
      </c>
      <c r="N126" s="44">
        <f>G126</f>
        <v>150.06399999999999</v>
      </c>
      <c r="P126" s="21"/>
    </row>
    <row r="127" spans="1:16">
      <c r="B127" s="15">
        <v>2009</v>
      </c>
      <c r="C127" s="15">
        <v>110</v>
      </c>
      <c r="D127" s="107">
        <v>147</v>
      </c>
      <c r="E127" s="15">
        <v>1.4</v>
      </c>
      <c r="F127" s="107">
        <v>148.4</v>
      </c>
      <c r="G127" s="107">
        <v>151</v>
      </c>
      <c r="H127" s="107">
        <v>23</v>
      </c>
      <c r="I127" s="107">
        <v>0.43</v>
      </c>
      <c r="J127" s="107">
        <v>0</v>
      </c>
      <c r="K127" s="15" t="s">
        <v>126</v>
      </c>
      <c r="L127" s="43">
        <v>2009</v>
      </c>
      <c r="M127" s="44">
        <f>'[2]EDB Database'!$K316/1000</f>
        <v>148.4</v>
      </c>
      <c r="N127" s="44">
        <f>G127</f>
        <v>151</v>
      </c>
      <c r="P127" s="21"/>
    </row>
    <row r="128" spans="1:16">
      <c r="B128" s="15">
        <v>2010</v>
      </c>
      <c r="C128" s="15">
        <v>111</v>
      </c>
      <c r="D128" s="107">
        <v>145.55600000000001</v>
      </c>
      <c r="E128" s="15">
        <v>0.64100000000000001</v>
      </c>
      <c r="F128" s="107">
        <v>146.197</v>
      </c>
      <c r="G128" s="107">
        <v>149</v>
      </c>
      <c r="H128" s="107">
        <v>24</v>
      </c>
      <c r="I128" s="107">
        <v>0</v>
      </c>
      <c r="J128" s="107">
        <v>0</v>
      </c>
      <c r="K128" s="15" t="s">
        <v>126</v>
      </c>
      <c r="L128" s="43">
        <v>2010</v>
      </c>
      <c r="M128" s="44">
        <f>'[2]EDB Database'!$K317/1000</f>
        <v>146.197</v>
      </c>
      <c r="N128" s="44">
        <f>G128</f>
        <v>149</v>
      </c>
      <c r="P128" s="21"/>
    </row>
    <row r="129" spans="1:16">
      <c r="B129" s="15">
        <v>2011</v>
      </c>
      <c r="C129" s="15">
        <v>112</v>
      </c>
      <c r="D129" s="107">
        <v>145.60599999999999</v>
      </c>
      <c r="E129" s="15">
        <v>0.46994000000000002</v>
      </c>
      <c r="F129" s="107">
        <v>146.07594</v>
      </c>
      <c r="G129" s="107">
        <v>149.52799999999999</v>
      </c>
      <c r="H129" s="107">
        <v>24.020122800000003</v>
      </c>
      <c r="I129" s="107">
        <v>0</v>
      </c>
      <c r="J129" s="107">
        <v>0</v>
      </c>
      <c r="K129" s="15" t="s">
        <v>126</v>
      </c>
      <c r="L129" s="43">
        <v>2011</v>
      </c>
      <c r="M129" s="44">
        <f>'[2]EDB Database'!$K318/1000</f>
        <v>146.07594</v>
      </c>
      <c r="N129" s="44">
        <f>G129</f>
        <v>149.52799999999999</v>
      </c>
      <c r="P129" s="21"/>
    </row>
    <row r="130" spans="1:16">
      <c r="B130" s="15">
        <v>2012</v>
      </c>
      <c r="C130" s="15">
        <v>113</v>
      </c>
      <c r="D130" s="107">
        <v>151.87</v>
      </c>
      <c r="E130" s="43">
        <v>1.391</v>
      </c>
      <c r="F130" s="107">
        <v>153.261</v>
      </c>
      <c r="G130" s="107">
        <v>155.27099999999999</v>
      </c>
      <c r="H130" s="107">
        <v>0</v>
      </c>
      <c r="I130" s="107">
        <v>0</v>
      </c>
      <c r="J130" s="107">
        <v>0</v>
      </c>
      <c r="K130" s="15" t="s">
        <v>126</v>
      </c>
      <c r="L130" s="43">
        <v>2012</v>
      </c>
      <c r="M130" s="44">
        <f>'[2]EDB Database'!$K319/1000</f>
        <v>153.261</v>
      </c>
      <c r="N130" s="44">
        <f>G130</f>
        <v>155.27099999999999</v>
      </c>
      <c r="P130" s="21"/>
    </row>
    <row r="131" spans="1:16">
      <c r="B131" s="15">
        <v>2013</v>
      </c>
      <c r="C131" s="15">
        <v>114</v>
      </c>
      <c r="D131" s="43"/>
      <c r="F131" s="43"/>
      <c r="G131" s="43"/>
      <c r="H131" s="107"/>
      <c r="I131" s="107"/>
      <c r="J131" s="107"/>
      <c r="K131" s="15" t="s">
        <v>126</v>
      </c>
      <c r="L131" s="43">
        <v>2013</v>
      </c>
      <c r="M131" s="44">
        <f>[26]Sheet1!$M50</f>
        <v>150.3374</v>
      </c>
      <c r="N131" s="44">
        <f t="shared" ref="N131:N138" si="15">N130*M131/M130</f>
        <v>152.30905732965331</v>
      </c>
      <c r="P131" s="21"/>
    </row>
    <row r="132" spans="1:16">
      <c r="B132" s="15">
        <v>2014</v>
      </c>
      <c r="D132" s="43"/>
      <c r="F132" s="43"/>
      <c r="G132" s="43"/>
      <c r="H132" s="107"/>
      <c r="I132" s="107"/>
      <c r="J132" s="107"/>
      <c r="K132" s="15" t="s">
        <v>126</v>
      </c>
      <c r="L132" s="43">
        <v>2014</v>
      </c>
      <c r="M132" s="44">
        <f>[26]Sheet1!$M51</f>
        <v>149.26140000000001</v>
      </c>
      <c r="N132" s="44">
        <f t="shared" si="15"/>
        <v>151.21894571613129</v>
      </c>
      <c r="P132" s="21"/>
    </row>
    <row r="133" spans="1:16">
      <c r="B133" s="15">
        <v>2015</v>
      </c>
      <c r="D133" s="43"/>
      <c r="F133" s="43"/>
      <c r="G133" s="43"/>
      <c r="H133" s="107"/>
      <c r="I133" s="107"/>
      <c r="J133" s="107"/>
      <c r="K133" s="15" t="str">
        <f t="shared" ref="K133:K138" si="16">K132</f>
        <v>Network Tasman</v>
      </c>
      <c r="L133" s="43">
        <v>2015</v>
      </c>
      <c r="M133" s="44">
        <f>[26]Sheet1!$M52</f>
        <v>140.74799999999999</v>
      </c>
      <c r="N133" s="44">
        <f t="shared" si="15"/>
        <v>142.5938934758353</v>
      </c>
      <c r="P133" s="21"/>
    </row>
    <row r="134" spans="1:16">
      <c r="B134" s="15">
        <v>2016</v>
      </c>
      <c r="D134" s="43"/>
      <c r="F134" s="43"/>
      <c r="G134" s="43"/>
      <c r="H134" s="107"/>
      <c r="I134" s="107"/>
      <c r="J134" s="107"/>
      <c r="K134" s="15" t="str">
        <f t="shared" si="16"/>
        <v>Network Tasman</v>
      </c>
      <c r="L134" s="43">
        <v>2016</v>
      </c>
      <c r="M134" s="44">
        <f>[26]Sheet1!$M53</f>
        <v>147.19422</v>
      </c>
      <c r="N134" s="44">
        <f t="shared" si="15"/>
        <v>149.1246548934171</v>
      </c>
      <c r="P134" s="21"/>
    </row>
    <row r="135" spans="1:16">
      <c r="B135" s="15">
        <v>2017</v>
      </c>
      <c r="D135" s="43"/>
      <c r="F135" s="43"/>
      <c r="G135" s="43"/>
      <c r="H135" s="107"/>
      <c r="I135" s="107"/>
      <c r="J135" s="107"/>
      <c r="K135" s="15" t="str">
        <f t="shared" si="16"/>
        <v>Network Tasman</v>
      </c>
      <c r="L135" s="43">
        <v>2017</v>
      </c>
      <c r="M135" s="44">
        <f>[26]Sheet1!$M54</f>
        <v>138</v>
      </c>
      <c r="N135" s="44">
        <f t="shared" si="15"/>
        <v>139.80985377884784</v>
      </c>
      <c r="P135" s="21"/>
    </row>
    <row r="136" spans="1:16">
      <c r="B136" s="15">
        <v>2018</v>
      </c>
      <c r="D136" s="43"/>
      <c r="F136" s="43"/>
      <c r="G136" s="43"/>
      <c r="H136" s="107"/>
      <c r="I136" s="107"/>
      <c r="J136" s="107"/>
      <c r="K136" s="15" t="str">
        <f t="shared" si="16"/>
        <v>Network Tasman</v>
      </c>
      <c r="L136" s="43">
        <v>2018</v>
      </c>
      <c r="M136" s="44">
        <f>[26]Sheet1!$M55</f>
        <v>139.06049999999999</v>
      </c>
      <c r="N136" s="44">
        <f t="shared" si="15"/>
        <v>140.88426211169181</v>
      </c>
      <c r="P136" s="21"/>
    </row>
    <row r="137" spans="1:16">
      <c r="B137" s="15">
        <v>2019</v>
      </c>
      <c r="D137" s="43"/>
      <c r="F137" s="43"/>
      <c r="G137" s="43"/>
      <c r="H137" s="107"/>
      <c r="I137" s="107"/>
      <c r="J137" s="107"/>
      <c r="K137" s="15" t="str">
        <f t="shared" si="16"/>
        <v>Network Tasman</v>
      </c>
      <c r="L137" s="43">
        <v>2019</v>
      </c>
      <c r="M137" s="44">
        <f>[27]Sheet1!$M$15</f>
        <v>132.22404</v>
      </c>
      <c r="N137" s="44">
        <f t="shared" si="15"/>
        <v>133.95814274238066</v>
      </c>
      <c r="P137" s="21"/>
    </row>
    <row r="138" spans="1:16">
      <c r="B138" s="15">
        <v>2020</v>
      </c>
      <c r="D138" s="43"/>
      <c r="F138" s="43"/>
      <c r="G138" s="43"/>
      <c r="H138" s="107"/>
      <c r="I138" s="107"/>
      <c r="J138" s="107"/>
      <c r="K138" s="15" t="str">
        <f t="shared" si="16"/>
        <v>Network Tasman</v>
      </c>
      <c r="L138" s="43">
        <v>2020</v>
      </c>
      <c r="M138" s="44">
        <f>[28]Sheet1!$M$15</f>
        <v>142.14349999999999</v>
      </c>
      <c r="N138" s="44">
        <f t="shared" si="15"/>
        <v>144.00769529430187</v>
      </c>
      <c r="P138" s="21"/>
    </row>
    <row r="139" spans="1:16">
      <c r="A139" s="15" t="s">
        <v>127</v>
      </c>
      <c r="B139" s="15">
        <v>2006</v>
      </c>
      <c r="C139" s="15">
        <v>123</v>
      </c>
      <c r="D139" s="43"/>
      <c r="F139" s="43"/>
      <c r="G139" s="43"/>
      <c r="H139" s="107"/>
      <c r="I139" s="107"/>
      <c r="J139" s="107"/>
      <c r="K139" s="15" t="s">
        <v>128</v>
      </c>
      <c r="L139" s="43">
        <v>2006</v>
      </c>
      <c r="M139" s="44">
        <f>'[2]EDB Database'!$K359/1000</f>
        <v>143.80000000000001</v>
      </c>
      <c r="N139" s="44">
        <f>N140*M139/M140</f>
        <v>149.40259740259739</v>
      </c>
      <c r="P139" s="21"/>
    </row>
    <row r="140" spans="1:16">
      <c r="B140" s="15">
        <v>2007</v>
      </c>
      <c r="C140" s="15">
        <v>124</v>
      </c>
      <c r="D140" s="43"/>
      <c r="F140" s="43"/>
      <c r="G140" s="43"/>
      <c r="H140" s="107"/>
      <c r="I140" s="107"/>
      <c r="J140" s="107"/>
      <c r="K140" s="15" t="s">
        <v>128</v>
      </c>
      <c r="L140" s="43">
        <v>2007</v>
      </c>
      <c r="M140" s="44">
        <f>'[2]EDB Database'!$K360/1000</f>
        <v>144.01400000000001</v>
      </c>
      <c r="N140" s="44">
        <f>N141*M140/M141</f>
        <v>149.62493506493507</v>
      </c>
      <c r="P140" s="21"/>
    </row>
    <row r="141" spans="1:16">
      <c r="B141" s="15">
        <v>2008</v>
      </c>
      <c r="C141" s="15">
        <v>125</v>
      </c>
      <c r="D141" s="107">
        <v>149</v>
      </c>
      <c r="E141" s="43">
        <v>5</v>
      </c>
      <c r="F141" s="107">
        <v>154</v>
      </c>
      <c r="G141" s="107">
        <v>160</v>
      </c>
      <c r="H141" s="107">
        <v>61</v>
      </c>
      <c r="I141" s="107">
        <v>5</v>
      </c>
      <c r="J141" s="107">
        <v>0</v>
      </c>
      <c r="K141" s="15" t="s">
        <v>128</v>
      </c>
      <c r="L141" s="43">
        <v>2008</v>
      </c>
      <c r="M141" s="44">
        <f>'[2]EDB Database'!$K361/1000</f>
        <v>154</v>
      </c>
      <c r="N141" s="44">
        <f>G141</f>
        <v>160</v>
      </c>
      <c r="P141" s="21"/>
    </row>
    <row r="142" spans="1:16">
      <c r="B142" s="15">
        <v>2009</v>
      </c>
      <c r="C142" s="15">
        <v>126</v>
      </c>
      <c r="D142" s="107">
        <v>147</v>
      </c>
      <c r="E142" s="15">
        <v>4</v>
      </c>
      <c r="F142" s="107">
        <v>151</v>
      </c>
      <c r="G142" s="107">
        <v>177</v>
      </c>
      <c r="H142" s="107">
        <v>62</v>
      </c>
      <c r="I142" s="107">
        <v>4</v>
      </c>
      <c r="J142" s="107">
        <v>0</v>
      </c>
      <c r="K142" s="15" t="s">
        <v>128</v>
      </c>
      <c r="L142" s="43">
        <v>2009</v>
      </c>
      <c r="M142" s="44">
        <f>'[2]EDB Database'!$K362/1000</f>
        <v>151</v>
      </c>
      <c r="N142" s="44">
        <f>G142</f>
        <v>177</v>
      </c>
      <c r="P142" s="21"/>
    </row>
    <row r="143" spans="1:16">
      <c r="B143" s="15">
        <v>2010</v>
      </c>
      <c r="C143" s="15">
        <v>127</v>
      </c>
      <c r="D143" s="107">
        <v>147</v>
      </c>
      <c r="E143" s="15">
        <v>3</v>
      </c>
      <c r="F143" s="107">
        <v>150</v>
      </c>
      <c r="G143" s="107">
        <v>180</v>
      </c>
      <c r="H143" s="107">
        <v>63</v>
      </c>
      <c r="I143" s="107">
        <v>3</v>
      </c>
      <c r="J143" s="107">
        <v>0</v>
      </c>
      <c r="K143" s="15" t="s">
        <v>128</v>
      </c>
      <c r="L143" s="43">
        <v>2010</v>
      </c>
      <c r="M143" s="44">
        <f>'[2]EDB Database'!$K363/1000</f>
        <v>150</v>
      </c>
      <c r="N143" s="44">
        <f>G143</f>
        <v>180</v>
      </c>
      <c r="P143" s="21"/>
    </row>
    <row r="144" spans="1:16">
      <c r="B144" s="15">
        <v>2011</v>
      </c>
      <c r="C144" s="15">
        <v>128</v>
      </c>
      <c r="D144" s="107">
        <v>150</v>
      </c>
      <c r="E144" s="15">
        <v>3</v>
      </c>
      <c r="F144" s="107">
        <v>153</v>
      </c>
      <c r="G144" s="107">
        <v>178</v>
      </c>
      <c r="H144" s="107">
        <v>63</v>
      </c>
      <c r="I144" s="107">
        <v>3</v>
      </c>
      <c r="J144" s="107">
        <v>0</v>
      </c>
      <c r="K144" s="15" t="s">
        <v>128</v>
      </c>
      <c r="L144" s="43">
        <v>2011</v>
      </c>
      <c r="M144" s="44">
        <f>'[2]EDB Database'!$K364/1000</f>
        <v>153</v>
      </c>
      <c r="N144" s="44">
        <f>G144</f>
        <v>178</v>
      </c>
      <c r="P144" s="21"/>
    </row>
    <row r="145" spans="1:16">
      <c r="B145" s="15">
        <v>2012</v>
      </c>
      <c r="C145" s="15">
        <v>129</v>
      </c>
      <c r="D145" s="107">
        <v>168</v>
      </c>
      <c r="E145" s="43">
        <v>4</v>
      </c>
      <c r="F145" s="107">
        <v>172</v>
      </c>
      <c r="G145" s="107">
        <v>177</v>
      </c>
      <c r="H145" s="107">
        <v>62</v>
      </c>
      <c r="I145" s="107">
        <v>4</v>
      </c>
      <c r="J145" s="107">
        <v>0</v>
      </c>
      <c r="K145" s="15" t="s">
        <v>128</v>
      </c>
      <c r="L145" s="43">
        <v>2012</v>
      </c>
      <c r="M145" s="44">
        <f>'[2]EDB Database'!$K365/1000</f>
        <v>172</v>
      </c>
      <c r="N145" s="44">
        <f>G145</f>
        <v>177</v>
      </c>
      <c r="P145" s="21"/>
    </row>
    <row r="146" spans="1:16">
      <c r="B146" s="15">
        <v>2013</v>
      </c>
      <c r="C146" s="15">
        <v>130</v>
      </c>
      <c r="D146" s="43"/>
      <c r="F146" s="43"/>
      <c r="G146" s="43"/>
      <c r="H146" s="107"/>
      <c r="I146" s="107"/>
      <c r="J146" s="107"/>
      <c r="K146" s="15" t="s">
        <v>128</v>
      </c>
      <c r="L146" s="43">
        <v>2013</v>
      </c>
      <c r="M146" s="44">
        <f>[26]Sheet1!$M56</f>
        <v>158</v>
      </c>
      <c r="N146" s="44">
        <f t="shared" ref="N146:N153" si="17">N145*M146/M145</f>
        <v>162.59302325581396</v>
      </c>
      <c r="P146" s="21"/>
    </row>
    <row r="147" spans="1:16">
      <c r="B147" s="15">
        <v>2014</v>
      </c>
      <c r="D147" s="43"/>
      <c r="F147" s="43"/>
      <c r="G147" s="43"/>
      <c r="H147" s="107"/>
      <c r="I147" s="107"/>
      <c r="J147" s="107"/>
      <c r="K147" s="15" t="s">
        <v>128</v>
      </c>
      <c r="L147" s="43">
        <v>2014</v>
      </c>
      <c r="M147" s="44">
        <f>[26]Sheet1!$M57</f>
        <v>168</v>
      </c>
      <c r="N147" s="44">
        <f t="shared" si="17"/>
        <v>172.88372093023256</v>
      </c>
      <c r="P147" s="21"/>
    </row>
    <row r="148" spans="1:16">
      <c r="B148" s="15">
        <v>2015</v>
      </c>
      <c r="D148" s="43"/>
      <c r="F148" s="43"/>
      <c r="G148" s="43"/>
      <c r="H148" s="107"/>
      <c r="I148" s="107"/>
      <c r="J148" s="107"/>
      <c r="K148" s="15" t="str">
        <f t="shared" ref="K148:K153" si="18">K147</f>
        <v>Northpower</v>
      </c>
      <c r="L148" s="43">
        <v>2015</v>
      </c>
      <c r="M148" s="44">
        <f>[26]Sheet1!$M58</f>
        <v>162</v>
      </c>
      <c r="N148" s="44">
        <f t="shared" si="17"/>
        <v>166.7093023255814</v>
      </c>
      <c r="P148" s="21"/>
    </row>
    <row r="149" spans="1:16">
      <c r="B149" s="15">
        <v>2016</v>
      </c>
      <c r="D149" s="43"/>
      <c r="F149" s="43"/>
      <c r="G149" s="43"/>
      <c r="H149" s="107"/>
      <c r="I149" s="107"/>
      <c r="J149" s="107"/>
      <c r="K149" s="15" t="str">
        <f t="shared" si="18"/>
        <v>Northpower</v>
      </c>
      <c r="L149" s="43">
        <v>2016</v>
      </c>
      <c r="M149" s="44">
        <f>[26]Sheet1!$M59</f>
        <v>163</v>
      </c>
      <c r="N149" s="44">
        <f t="shared" si="17"/>
        <v>167.73837209302326</v>
      </c>
      <c r="P149" s="21"/>
    </row>
    <row r="150" spans="1:16">
      <c r="B150" s="15">
        <v>2017</v>
      </c>
      <c r="D150" s="43"/>
      <c r="F150" s="43"/>
      <c r="G150" s="43"/>
      <c r="H150" s="107"/>
      <c r="I150" s="107"/>
      <c r="J150" s="107"/>
      <c r="K150" s="15" t="str">
        <f t="shared" si="18"/>
        <v>Northpower</v>
      </c>
      <c r="L150" s="43">
        <v>2017</v>
      </c>
      <c r="M150" s="44">
        <f>[26]Sheet1!$M60</f>
        <v>170</v>
      </c>
      <c r="N150" s="44">
        <f t="shared" si="17"/>
        <v>174.94186046511629</v>
      </c>
      <c r="P150" s="21"/>
    </row>
    <row r="151" spans="1:16">
      <c r="B151" s="15">
        <v>2018</v>
      </c>
      <c r="D151" s="43"/>
      <c r="F151" s="43"/>
      <c r="G151" s="43"/>
      <c r="H151" s="107"/>
      <c r="I151" s="107"/>
      <c r="J151" s="107"/>
      <c r="K151" s="15" t="str">
        <f t="shared" si="18"/>
        <v>Northpower</v>
      </c>
      <c r="L151" s="43">
        <v>2018</v>
      </c>
      <c r="M151" s="44">
        <f>[26]Sheet1!$M61</f>
        <v>172</v>
      </c>
      <c r="N151" s="44">
        <f t="shared" si="17"/>
        <v>177.00000000000003</v>
      </c>
      <c r="P151" s="21"/>
    </row>
    <row r="152" spans="1:16">
      <c r="B152" s="15">
        <v>2019</v>
      </c>
      <c r="D152" s="43"/>
      <c r="F152" s="43"/>
      <c r="G152" s="43"/>
      <c r="H152" s="107"/>
      <c r="I152" s="107"/>
      <c r="J152" s="107"/>
      <c r="K152" s="15" t="str">
        <f t="shared" si="18"/>
        <v>Northpower</v>
      </c>
      <c r="L152" s="43">
        <v>2019</v>
      </c>
      <c r="M152" s="44">
        <f>[27]Sheet1!$M$17</f>
        <v>176</v>
      </c>
      <c r="N152" s="44">
        <f t="shared" si="17"/>
        <v>181.11627906976747</v>
      </c>
      <c r="P152" s="21"/>
    </row>
    <row r="153" spans="1:16">
      <c r="B153" s="15">
        <v>2020</v>
      </c>
      <c r="D153" s="43"/>
      <c r="F153" s="43"/>
      <c r="G153" s="43"/>
      <c r="H153" s="107"/>
      <c r="I153" s="107"/>
      <c r="J153" s="107"/>
      <c r="K153" s="15" t="str">
        <f t="shared" si="18"/>
        <v>Northpower</v>
      </c>
      <c r="L153" s="43">
        <v>2020</v>
      </c>
      <c r="M153" s="44">
        <f>[28]Sheet1!$M$17</f>
        <v>173</v>
      </c>
      <c r="N153" s="44">
        <f t="shared" si="17"/>
        <v>178.02906976744191</v>
      </c>
      <c r="P153" s="21"/>
    </row>
    <row r="154" spans="1:16">
      <c r="A154" s="15" t="s">
        <v>129</v>
      </c>
      <c r="B154" s="15">
        <v>2006</v>
      </c>
      <c r="C154" s="15">
        <v>147</v>
      </c>
      <c r="D154" s="43"/>
      <c r="F154" s="43"/>
      <c r="G154" s="43"/>
      <c r="H154" s="107"/>
      <c r="I154" s="107"/>
      <c r="J154" s="107"/>
      <c r="K154" s="15" t="s">
        <v>130</v>
      </c>
      <c r="L154" s="43">
        <v>2006</v>
      </c>
      <c r="M154" s="44">
        <f>'[2]EDB Database'!$K428/1000</f>
        <v>677.25599999999997</v>
      </c>
      <c r="N154" s="44">
        <f>N155*M154/M155</f>
        <v>730.37346736082475</v>
      </c>
      <c r="P154" s="21"/>
    </row>
    <row r="155" spans="1:16">
      <c r="B155" s="15">
        <v>2007</v>
      </c>
      <c r="C155" s="15">
        <v>148</v>
      </c>
      <c r="D155" s="43"/>
      <c r="F155" s="43"/>
      <c r="G155" s="43"/>
      <c r="H155" s="107"/>
      <c r="I155" s="107"/>
      <c r="J155" s="107"/>
      <c r="K155" s="15" t="s">
        <v>130</v>
      </c>
      <c r="L155" s="43">
        <v>2007</v>
      </c>
      <c r="M155" s="44">
        <f>'[2]EDB Database'!$K429/1000</f>
        <v>753.03399999999999</v>
      </c>
      <c r="N155" s="44">
        <f>N156*M155/M156</f>
        <v>812.0947671494846</v>
      </c>
      <c r="P155" s="21"/>
    </row>
    <row r="156" spans="1:16">
      <c r="B156" s="15">
        <v>2008</v>
      </c>
      <c r="C156" s="15">
        <v>149</v>
      </c>
      <c r="D156" s="107">
        <v>679</v>
      </c>
      <c r="E156" s="43">
        <v>97</v>
      </c>
      <c r="F156" s="107">
        <v>776</v>
      </c>
      <c r="G156" s="107">
        <v>836.86199999999997</v>
      </c>
      <c r="H156" s="107">
        <v>0</v>
      </c>
      <c r="I156" s="107">
        <v>146</v>
      </c>
      <c r="J156" s="107">
        <v>0</v>
      </c>
      <c r="K156" s="15" t="s">
        <v>130</v>
      </c>
      <c r="L156" s="43">
        <v>2008</v>
      </c>
      <c r="M156" s="44">
        <f>'[2]EDB Database'!$K430/1000</f>
        <v>776</v>
      </c>
      <c r="N156" s="44">
        <f>G156</f>
        <v>836.86199999999997</v>
      </c>
      <c r="P156" s="21"/>
    </row>
    <row r="157" spans="1:16">
      <c r="B157" s="15">
        <v>2009</v>
      </c>
      <c r="C157" s="15">
        <v>150</v>
      </c>
      <c r="D157" s="107">
        <v>687</v>
      </c>
      <c r="E157" s="15">
        <v>77</v>
      </c>
      <c r="F157" s="107">
        <v>764</v>
      </c>
      <c r="G157" s="107">
        <v>856</v>
      </c>
      <c r="H157" s="107">
        <v>0</v>
      </c>
      <c r="I157" s="107">
        <v>221</v>
      </c>
      <c r="J157" s="107">
        <v>0</v>
      </c>
      <c r="K157" s="15" t="s">
        <v>130</v>
      </c>
      <c r="L157" s="43">
        <v>2009</v>
      </c>
      <c r="M157" s="44">
        <f>'[2]EDB Database'!$K431/1000</f>
        <v>764</v>
      </c>
      <c r="N157" s="44">
        <f>G157</f>
        <v>856</v>
      </c>
      <c r="P157" s="21"/>
    </row>
    <row r="158" spans="1:16">
      <c r="B158" s="15">
        <v>2010</v>
      </c>
      <c r="C158" s="15">
        <v>151</v>
      </c>
      <c r="D158" s="107">
        <v>649.54399999999998</v>
      </c>
      <c r="E158" s="15">
        <v>163.322</v>
      </c>
      <c r="F158" s="107">
        <v>812.86599999999999</v>
      </c>
      <c r="G158" s="107">
        <v>926.01199999999994</v>
      </c>
      <c r="H158" s="107">
        <v>0</v>
      </c>
      <c r="I158" s="107">
        <v>115</v>
      </c>
      <c r="J158" s="107">
        <v>0</v>
      </c>
      <c r="K158" s="15" t="s">
        <v>130</v>
      </c>
      <c r="L158" s="43">
        <v>2010</v>
      </c>
      <c r="M158" s="44">
        <f>'[2]EDB Database'!$K432/1000</f>
        <v>812.86599999999999</v>
      </c>
      <c r="N158" s="44">
        <f>G158</f>
        <v>926.01199999999994</v>
      </c>
      <c r="P158" s="21"/>
    </row>
    <row r="159" spans="1:16">
      <c r="B159" s="15">
        <v>2011</v>
      </c>
      <c r="C159" s="15">
        <v>152</v>
      </c>
      <c r="D159" s="107">
        <v>710.36400000000003</v>
      </c>
      <c r="E159" s="15">
        <v>90.69399999999996</v>
      </c>
      <c r="F159" s="107">
        <v>801.05799999999999</v>
      </c>
      <c r="G159" s="107">
        <v>919.18200000000002</v>
      </c>
      <c r="H159" s="107">
        <v>0</v>
      </c>
      <c r="I159" s="107">
        <v>115.13</v>
      </c>
      <c r="J159" s="107">
        <v>0</v>
      </c>
      <c r="K159" s="15" t="s">
        <v>130</v>
      </c>
      <c r="L159" s="43">
        <v>2011</v>
      </c>
      <c r="M159" s="44">
        <f>'[2]EDB Database'!$K433/1000</f>
        <v>801.05799999999999</v>
      </c>
      <c r="N159" s="44">
        <f>G159</f>
        <v>919.18200000000002</v>
      </c>
      <c r="P159" s="21"/>
    </row>
    <row r="160" spans="1:16">
      <c r="B160" s="15">
        <v>2012</v>
      </c>
      <c r="C160" s="15">
        <v>153</v>
      </c>
      <c r="D160" s="107">
        <v>757.02</v>
      </c>
      <c r="E160" s="43">
        <v>98.01</v>
      </c>
      <c r="F160" s="107">
        <v>855.03</v>
      </c>
      <c r="G160" s="107">
        <v>949.29199999999969</v>
      </c>
      <c r="H160" s="107">
        <v>1.6832441999999999</v>
      </c>
      <c r="I160" s="107">
        <v>124.66800000000001</v>
      </c>
      <c r="J160" s="107">
        <v>0</v>
      </c>
      <c r="K160" s="15" t="s">
        <v>130</v>
      </c>
      <c r="L160" s="43">
        <v>2012</v>
      </c>
      <c r="M160" s="44">
        <f>'[2]EDB Database'!$K434/1000</f>
        <v>855.03</v>
      </c>
      <c r="N160" s="44">
        <f>G160</f>
        <v>949.29199999999969</v>
      </c>
      <c r="P160" s="21"/>
    </row>
    <row r="161" spans="1:16">
      <c r="B161" s="15">
        <v>2013</v>
      </c>
      <c r="C161" s="15">
        <v>154</v>
      </c>
      <c r="D161" s="43"/>
      <c r="F161" s="43"/>
      <c r="G161" s="43"/>
      <c r="H161" s="107"/>
      <c r="I161" s="107"/>
      <c r="J161" s="107"/>
      <c r="K161" s="15" t="s">
        <v>130</v>
      </c>
      <c r="L161" s="43">
        <v>2013</v>
      </c>
      <c r="M161" s="44">
        <f>[26]Sheet1!$M62</f>
        <v>827.81</v>
      </c>
      <c r="N161" s="44">
        <f t="shared" ref="N161:N168" si="19">N160*M161/M160</f>
        <v>919.07115600622171</v>
      </c>
      <c r="P161" s="21"/>
    </row>
    <row r="162" spans="1:16">
      <c r="B162" s="15">
        <v>2014</v>
      </c>
      <c r="D162" s="43"/>
      <c r="F162" s="43"/>
      <c r="G162" s="43"/>
      <c r="H162" s="107"/>
      <c r="I162" s="107"/>
      <c r="J162" s="107"/>
      <c r="K162" s="15" t="s">
        <v>130</v>
      </c>
      <c r="L162" s="43">
        <v>2014</v>
      </c>
      <c r="M162" s="44">
        <f>[26]Sheet1!$M63</f>
        <v>865.79799999999989</v>
      </c>
      <c r="N162" s="44">
        <f t="shared" si="19"/>
        <v>961.24710830731055</v>
      </c>
      <c r="P162" s="21"/>
    </row>
    <row r="163" spans="1:16">
      <c r="B163" s="15">
        <v>2015</v>
      </c>
      <c r="D163" s="43"/>
      <c r="F163" s="43"/>
      <c r="G163" s="43"/>
      <c r="H163" s="107"/>
      <c r="I163" s="107"/>
      <c r="J163" s="107"/>
      <c r="K163" s="15" t="str">
        <f t="shared" ref="K163:K168" si="20">K162</f>
        <v>Powerco</v>
      </c>
      <c r="L163" s="43">
        <v>2015</v>
      </c>
      <c r="M163" s="44">
        <f>[26]Sheet1!$M64</f>
        <v>860.19799999999998</v>
      </c>
      <c r="N163" s="44">
        <f t="shared" si="19"/>
        <v>955.02974143129461</v>
      </c>
      <c r="P163" s="21"/>
    </row>
    <row r="164" spans="1:16">
      <c r="B164" s="15">
        <v>2016</v>
      </c>
      <c r="D164" s="43"/>
      <c r="F164" s="43"/>
      <c r="G164" s="43"/>
      <c r="H164" s="107"/>
      <c r="I164" s="107"/>
      <c r="J164" s="107"/>
      <c r="K164" s="15" t="str">
        <f t="shared" si="20"/>
        <v>Powerco</v>
      </c>
      <c r="L164" s="43">
        <v>2016</v>
      </c>
      <c r="M164" s="44">
        <f>[26]Sheet1!$M65</f>
        <v>906.23599999999999</v>
      </c>
      <c r="N164" s="44">
        <f t="shared" si="19"/>
        <v>1006.1431586166566</v>
      </c>
      <c r="P164" s="21"/>
    </row>
    <row r="165" spans="1:16">
      <c r="B165" s="15">
        <v>2017</v>
      </c>
      <c r="D165" s="43"/>
      <c r="F165" s="43"/>
      <c r="G165" s="43"/>
      <c r="H165" s="107"/>
      <c r="I165" s="107"/>
      <c r="J165" s="107"/>
      <c r="K165" s="15" t="str">
        <f t="shared" si="20"/>
        <v>Powerco</v>
      </c>
      <c r="L165" s="43">
        <v>2017</v>
      </c>
      <c r="M165" s="44">
        <f>[26]Sheet1!$M66</f>
        <v>903.16599999999994</v>
      </c>
      <c r="N165" s="44">
        <f t="shared" si="19"/>
        <v>1002.7347092756978</v>
      </c>
      <c r="P165" s="21"/>
    </row>
    <row r="166" spans="1:16">
      <c r="B166" s="15">
        <v>2018</v>
      </c>
      <c r="D166" s="43"/>
      <c r="F166" s="43"/>
      <c r="G166" s="43"/>
      <c r="H166" s="107"/>
      <c r="I166" s="107"/>
      <c r="J166" s="107"/>
      <c r="K166" s="15" t="str">
        <f t="shared" si="20"/>
        <v>Powerco</v>
      </c>
      <c r="L166" s="43">
        <v>2018</v>
      </c>
      <c r="M166" s="44">
        <f>[26]Sheet1!$M67</f>
        <v>897</v>
      </c>
      <c r="N166" s="44">
        <f t="shared" si="19"/>
        <v>995.88894424757029</v>
      </c>
      <c r="P166" s="21"/>
    </row>
    <row r="167" spans="1:16">
      <c r="B167" s="15">
        <v>2019</v>
      </c>
      <c r="D167" s="43"/>
      <c r="F167" s="43"/>
      <c r="G167" s="43"/>
      <c r="H167" s="107"/>
      <c r="I167" s="107"/>
      <c r="J167" s="107"/>
      <c r="K167" s="15" t="str">
        <f t="shared" si="20"/>
        <v>Powerco</v>
      </c>
      <c r="L167" s="43">
        <v>2019</v>
      </c>
      <c r="M167" s="44">
        <f>[27]Sheet1!$M$20</f>
        <v>916</v>
      </c>
      <c r="N167" s="44">
        <f t="shared" si="19"/>
        <v>1016.9835818626248</v>
      </c>
      <c r="P167" s="21"/>
    </row>
    <row r="168" spans="1:16">
      <c r="B168" s="15">
        <v>2020</v>
      </c>
      <c r="D168" s="43"/>
      <c r="F168" s="43"/>
      <c r="G168" s="43"/>
      <c r="H168" s="107"/>
      <c r="I168" s="107"/>
      <c r="J168" s="107"/>
      <c r="K168" s="15" t="str">
        <f t="shared" si="20"/>
        <v>Powerco</v>
      </c>
      <c r="L168" s="43">
        <v>2020</v>
      </c>
      <c r="M168" s="44">
        <f>[28]Sheet1!$M$20</f>
        <v>923</v>
      </c>
      <c r="N168" s="44">
        <f t="shared" si="19"/>
        <v>1024.7552904576448</v>
      </c>
      <c r="P168" s="21"/>
    </row>
    <row r="169" spans="1:16">
      <c r="A169" s="15" t="s">
        <v>131</v>
      </c>
      <c r="B169" s="15">
        <v>2006</v>
      </c>
      <c r="C169" s="15">
        <v>163</v>
      </c>
      <c r="D169" s="43"/>
      <c r="F169" s="43"/>
      <c r="G169" s="43"/>
      <c r="H169" s="107"/>
      <c r="I169" s="107"/>
      <c r="J169" s="107"/>
      <c r="K169" s="15" t="s">
        <v>131</v>
      </c>
      <c r="L169" s="43">
        <v>2006</v>
      </c>
      <c r="M169" s="44">
        <f>'[2]EDB Database'!$K474/1000</f>
        <v>55.7</v>
      </c>
      <c r="N169" s="44">
        <f>N170*M169/M170</f>
        <v>65.983076923076936</v>
      </c>
      <c r="P169" s="21"/>
    </row>
    <row r="170" spans="1:16">
      <c r="B170" s="15">
        <v>2007</v>
      </c>
      <c r="C170" s="15">
        <v>164</v>
      </c>
      <c r="D170" s="43"/>
      <c r="F170" s="43"/>
      <c r="G170" s="43"/>
      <c r="H170" s="107"/>
      <c r="I170" s="107"/>
      <c r="J170" s="107"/>
      <c r="K170" s="15" t="s">
        <v>131</v>
      </c>
      <c r="L170" s="43">
        <v>2007</v>
      </c>
      <c r="M170" s="44">
        <f>'[2]EDB Database'!$K475/1000</f>
        <v>58.44</v>
      </c>
      <c r="N170" s="44">
        <f>N171*M170/M171</f>
        <v>69.228923076923081</v>
      </c>
      <c r="P170" s="21"/>
    </row>
    <row r="171" spans="1:16">
      <c r="B171" s="15">
        <v>2008</v>
      </c>
      <c r="C171" s="15">
        <v>165</v>
      </c>
      <c r="D171" s="107">
        <v>52</v>
      </c>
      <c r="E171" s="43">
        <v>13</v>
      </c>
      <c r="F171" s="107">
        <v>65</v>
      </c>
      <c r="G171" s="107">
        <v>77</v>
      </c>
      <c r="H171" s="107">
        <v>0</v>
      </c>
      <c r="I171" s="107">
        <v>12</v>
      </c>
      <c r="J171" s="107">
        <v>0</v>
      </c>
      <c r="K171" s="15" t="s">
        <v>131</v>
      </c>
      <c r="L171" s="43">
        <v>2008</v>
      </c>
      <c r="M171" s="44">
        <f>'[2]EDB Database'!$K476/1000</f>
        <v>65</v>
      </c>
      <c r="N171" s="44">
        <f>G171</f>
        <v>77</v>
      </c>
      <c r="P171" s="21"/>
    </row>
    <row r="172" spans="1:16">
      <c r="B172" s="15">
        <v>2009</v>
      </c>
      <c r="C172" s="15">
        <v>166</v>
      </c>
      <c r="D172" s="107">
        <v>53</v>
      </c>
      <c r="E172" s="15">
        <v>8</v>
      </c>
      <c r="F172" s="107">
        <v>61</v>
      </c>
      <c r="G172" s="107">
        <v>75</v>
      </c>
      <c r="H172" s="107">
        <v>0</v>
      </c>
      <c r="I172" s="107">
        <v>12</v>
      </c>
      <c r="J172" s="107">
        <v>0</v>
      </c>
      <c r="K172" s="15" t="s">
        <v>131</v>
      </c>
      <c r="L172" s="43">
        <v>2009</v>
      </c>
      <c r="M172" s="44">
        <f>'[2]EDB Database'!$K477/1000</f>
        <v>61</v>
      </c>
      <c r="N172" s="44">
        <f>G172</f>
        <v>75</v>
      </c>
      <c r="P172" s="21"/>
    </row>
    <row r="173" spans="1:16">
      <c r="B173" s="15">
        <v>2010</v>
      </c>
      <c r="C173" s="15">
        <v>167</v>
      </c>
      <c r="D173" s="107">
        <v>53</v>
      </c>
      <c r="E173" s="15">
        <v>10.5</v>
      </c>
      <c r="F173" s="107">
        <v>63.5</v>
      </c>
      <c r="G173" s="107">
        <v>79.88</v>
      </c>
      <c r="H173" s="107">
        <v>0</v>
      </c>
      <c r="I173" s="107">
        <v>12</v>
      </c>
      <c r="J173" s="107">
        <v>0</v>
      </c>
      <c r="K173" s="15" t="s">
        <v>131</v>
      </c>
      <c r="L173" s="43">
        <v>2010</v>
      </c>
      <c r="M173" s="44">
        <f>'[2]EDB Database'!$K478/1000</f>
        <v>63.5</v>
      </c>
      <c r="N173" s="44">
        <f>G173</f>
        <v>79.88</v>
      </c>
      <c r="P173" s="21"/>
    </row>
    <row r="174" spans="1:16">
      <c r="B174" s="15">
        <v>2011</v>
      </c>
      <c r="C174" s="15">
        <v>168</v>
      </c>
      <c r="D174" s="107">
        <v>56</v>
      </c>
      <c r="E174" s="15">
        <v>7</v>
      </c>
      <c r="F174" s="107">
        <v>63</v>
      </c>
      <c r="G174" s="107">
        <v>79.88</v>
      </c>
      <c r="H174" s="107">
        <v>0</v>
      </c>
      <c r="I174" s="107">
        <v>12</v>
      </c>
      <c r="J174" s="107">
        <v>0</v>
      </c>
      <c r="K174" s="15" t="s">
        <v>131</v>
      </c>
      <c r="L174" s="43">
        <v>2011</v>
      </c>
      <c r="M174" s="44">
        <f>'[2]EDB Database'!$K479/1000</f>
        <v>63</v>
      </c>
      <c r="N174" s="44">
        <f>G174</f>
        <v>79.88</v>
      </c>
      <c r="P174" s="21"/>
    </row>
    <row r="175" spans="1:16">
      <c r="B175" s="15">
        <v>2012</v>
      </c>
      <c r="C175" s="15">
        <v>169</v>
      </c>
      <c r="D175" s="107">
        <v>53</v>
      </c>
      <c r="E175" s="43">
        <v>15</v>
      </c>
      <c r="F175" s="107">
        <v>68</v>
      </c>
      <c r="G175" s="107">
        <v>70</v>
      </c>
      <c r="H175" s="107">
        <v>0</v>
      </c>
      <c r="I175" s="107">
        <v>0</v>
      </c>
      <c r="J175" s="107">
        <v>0</v>
      </c>
      <c r="K175" s="15" t="s">
        <v>131</v>
      </c>
      <c r="L175" s="43">
        <v>2012</v>
      </c>
      <c r="M175" s="44">
        <f>'[2]EDB Database'!$K480/1000</f>
        <v>68</v>
      </c>
      <c r="N175" s="44">
        <f>G175</f>
        <v>70</v>
      </c>
      <c r="P175" s="21"/>
    </row>
    <row r="176" spans="1:16">
      <c r="B176" s="15">
        <v>2013</v>
      </c>
      <c r="C176" s="15">
        <v>170</v>
      </c>
      <c r="D176" s="43"/>
      <c r="F176" s="43"/>
      <c r="G176" s="43"/>
      <c r="H176" s="107"/>
      <c r="I176" s="107"/>
      <c r="J176" s="107"/>
      <c r="K176" s="15" t="s">
        <v>131</v>
      </c>
      <c r="L176" s="43">
        <v>2013</v>
      </c>
      <c r="M176" s="44">
        <f>[26]Sheet1!$M68</f>
        <v>64.545073189849717</v>
      </c>
      <c r="N176" s="44">
        <f t="shared" ref="N176:N183" si="21">N175*M176/M175</f>
        <v>66.443457695433523</v>
      </c>
      <c r="P176" s="21"/>
    </row>
    <row r="177" spans="1:16">
      <c r="B177" s="15">
        <v>2014</v>
      </c>
      <c r="D177" s="43"/>
      <c r="F177" s="43"/>
      <c r="G177" s="43"/>
      <c r="H177" s="107"/>
      <c r="I177" s="107"/>
      <c r="J177" s="107"/>
      <c r="K177" s="15" t="s">
        <v>131</v>
      </c>
      <c r="L177" s="43">
        <v>2014</v>
      </c>
      <c r="M177" s="44">
        <f>[26]Sheet1!$M69</f>
        <v>64</v>
      </c>
      <c r="N177" s="44">
        <f t="shared" si="21"/>
        <v>65.882352941176464</v>
      </c>
      <c r="P177" s="21"/>
    </row>
    <row r="178" spans="1:16">
      <c r="B178" s="15">
        <v>2015</v>
      </c>
      <c r="D178" s="43"/>
      <c r="F178" s="43"/>
      <c r="G178" s="43"/>
      <c r="H178" s="107"/>
      <c r="I178" s="107"/>
      <c r="J178" s="107"/>
      <c r="K178" s="15" t="str">
        <f t="shared" ref="K178:K183" si="22">K177</f>
        <v>The Lines Company</v>
      </c>
      <c r="L178" s="43">
        <v>2015</v>
      </c>
      <c r="M178" s="44">
        <f>[26]Sheet1!$M70</f>
        <v>63.091568899999999</v>
      </c>
      <c r="N178" s="44">
        <f t="shared" si="21"/>
        <v>64.947203279411752</v>
      </c>
      <c r="P178" s="21"/>
    </row>
    <row r="179" spans="1:16">
      <c r="B179" s="15">
        <v>2016</v>
      </c>
      <c r="D179" s="43"/>
      <c r="F179" s="43"/>
      <c r="G179" s="43"/>
      <c r="H179" s="107"/>
      <c r="I179" s="107"/>
      <c r="J179" s="107"/>
      <c r="K179" s="15" t="str">
        <f t="shared" si="22"/>
        <v>The Lines Company</v>
      </c>
      <c r="L179" s="43">
        <v>2016</v>
      </c>
      <c r="M179" s="44">
        <f>[26]Sheet1!$M71</f>
        <v>72.141157090612595</v>
      </c>
      <c r="N179" s="44">
        <f t="shared" si="21"/>
        <v>74.262955828571776</v>
      </c>
      <c r="P179" s="21"/>
    </row>
    <row r="180" spans="1:16">
      <c r="B180" s="15">
        <v>2017</v>
      </c>
      <c r="D180" s="43"/>
      <c r="F180" s="43"/>
      <c r="G180" s="43"/>
      <c r="H180" s="107"/>
      <c r="I180" s="107"/>
      <c r="J180" s="107"/>
      <c r="K180" s="15" t="str">
        <f t="shared" si="22"/>
        <v>The Lines Company</v>
      </c>
      <c r="L180" s="43">
        <v>2017</v>
      </c>
      <c r="M180" s="44">
        <f>[26]Sheet1!$M72</f>
        <v>80.813023435385333</v>
      </c>
      <c r="N180" s="44">
        <f t="shared" si="21"/>
        <v>83.189877065837834</v>
      </c>
      <c r="P180" s="21"/>
    </row>
    <row r="181" spans="1:16">
      <c r="B181" s="15">
        <v>2018</v>
      </c>
      <c r="D181" s="43"/>
      <c r="F181" s="43"/>
      <c r="G181" s="43"/>
      <c r="H181" s="107"/>
      <c r="I181" s="107"/>
      <c r="J181" s="107"/>
      <c r="K181" s="15" t="str">
        <f t="shared" si="22"/>
        <v>The Lines Company</v>
      </c>
      <c r="L181" s="43">
        <v>2018</v>
      </c>
      <c r="M181" s="44">
        <f>[26]Sheet1!$M73</f>
        <v>75.595631532965328</v>
      </c>
      <c r="N181" s="44">
        <f t="shared" si="21"/>
        <v>77.819032460405481</v>
      </c>
      <c r="P181" s="21"/>
    </row>
    <row r="182" spans="1:16">
      <c r="B182" s="15">
        <v>2019</v>
      </c>
      <c r="D182" s="43"/>
      <c r="F182" s="43"/>
      <c r="G182" s="43"/>
      <c r="H182" s="107"/>
      <c r="I182" s="107"/>
      <c r="J182" s="107"/>
      <c r="K182" s="15" t="str">
        <f t="shared" si="22"/>
        <v>The Lines Company</v>
      </c>
      <c r="L182" s="43">
        <v>2019</v>
      </c>
      <c r="M182" s="44">
        <f>[27]Sheet1!$M$22</f>
        <v>72.680147094676201</v>
      </c>
      <c r="N182" s="44">
        <f t="shared" si="21"/>
        <v>74.817798479813732</v>
      </c>
      <c r="P182" s="21"/>
    </row>
    <row r="183" spans="1:16">
      <c r="B183" s="15">
        <v>2020</v>
      </c>
      <c r="D183" s="43"/>
      <c r="F183" s="43"/>
      <c r="G183" s="43"/>
      <c r="H183" s="107"/>
      <c r="I183" s="107"/>
      <c r="J183" s="107"/>
      <c r="K183" s="15" t="str">
        <f t="shared" si="22"/>
        <v>The Lines Company</v>
      </c>
      <c r="L183" s="43">
        <v>2020</v>
      </c>
      <c r="M183" s="44">
        <f>[28]Sheet1!$M$22</f>
        <v>78.649624400000008</v>
      </c>
      <c r="N183" s="44">
        <f t="shared" si="21"/>
        <v>80.962848647058834</v>
      </c>
      <c r="P183" s="21"/>
    </row>
    <row r="184" spans="1:16">
      <c r="A184" s="15" t="s">
        <v>132</v>
      </c>
      <c r="B184" s="15">
        <v>2006</v>
      </c>
      <c r="C184" s="15">
        <v>171</v>
      </c>
      <c r="D184" s="43"/>
      <c r="F184" s="43"/>
      <c r="G184" s="43"/>
      <c r="H184" s="107"/>
      <c r="I184" s="107"/>
      <c r="J184" s="107"/>
      <c r="K184" s="15" t="s">
        <v>132</v>
      </c>
      <c r="L184" s="43">
        <v>2006</v>
      </c>
      <c r="M184" s="44">
        <f>'[2]EDB Database'!$K497/1000</f>
        <v>114.01</v>
      </c>
      <c r="N184" s="44">
        <f>N185*M184/M185</f>
        <v>134.84611949017963</v>
      </c>
      <c r="P184" s="21"/>
    </row>
    <row r="185" spans="1:16">
      <c r="B185" s="15">
        <v>2007</v>
      </c>
      <c r="C185" s="15">
        <v>172</v>
      </c>
      <c r="D185" s="43"/>
      <c r="F185" s="43"/>
      <c r="G185" s="43"/>
      <c r="H185" s="107"/>
      <c r="I185" s="107"/>
      <c r="J185" s="107"/>
      <c r="K185" s="15" t="s">
        <v>132</v>
      </c>
      <c r="L185" s="43">
        <v>2007</v>
      </c>
      <c r="M185" s="44">
        <f>'[2]EDB Database'!$K498/1000</f>
        <v>113.916</v>
      </c>
      <c r="N185" s="44">
        <f>N186*M185/M186</f>
        <v>134.73494033719237</v>
      </c>
      <c r="P185" s="21"/>
    </row>
    <row r="186" spans="1:16">
      <c r="B186" s="15">
        <v>2008</v>
      </c>
      <c r="C186" s="15">
        <v>173</v>
      </c>
      <c r="D186" s="107">
        <v>117.895</v>
      </c>
      <c r="E186" s="43">
        <v>3.6379999999999999</v>
      </c>
      <c r="F186" s="107">
        <v>121.533</v>
      </c>
      <c r="G186" s="107">
        <v>143.744</v>
      </c>
      <c r="H186" s="107">
        <v>0</v>
      </c>
      <c r="I186" s="107">
        <v>65.402000000000001</v>
      </c>
      <c r="J186" s="107">
        <v>0</v>
      </c>
      <c r="K186" s="15" t="s">
        <v>132</v>
      </c>
      <c r="L186" s="43">
        <v>2008</v>
      </c>
      <c r="M186" s="44">
        <f>'[2]EDB Database'!$K499/1000</f>
        <v>121.533</v>
      </c>
      <c r="N186" s="44">
        <f>G186</f>
        <v>143.744</v>
      </c>
      <c r="P186" s="21"/>
    </row>
    <row r="187" spans="1:16">
      <c r="B187" s="15">
        <v>2009</v>
      </c>
      <c r="C187" s="15">
        <v>174</v>
      </c>
      <c r="D187" s="107">
        <v>78.508200000000002</v>
      </c>
      <c r="E187" s="15">
        <v>49.533999999999999</v>
      </c>
      <c r="F187" s="107">
        <v>128.04220000000001</v>
      </c>
      <c r="G187" s="107">
        <v>144.804</v>
      </c>
      <c r="H187" s="107">
        <v>0</v>
      </c>
      <c r="I187" s="107">
        <v>54.488</v>
      </c>
      <c r="J187" s="107">
        <v>0</v>
      </c>
      <c r="K187" s="15" t="s">
        <v>132</v>
      </c>
      <c r="L187" s="43">
        <v>2009</v>
      </c>
      <c r="M187" s="44">
        <f>'[2]EDB Database'!$K500/1000</f>
        <v>128.04220000000001</v>
      </c>
      <c r="N187" s="44">
        <f>G187</f>
        <v>144.804</v>
      </c>
      <c r="P187" s="21"/>
    </row>
    <row r="188" spans="1:16">
      <c r="B188" s="15">
        <v>2010</v>
      </c>
      <c r="C188" s="15">
        <v>175</v>
      </c>
      <c r="D188" s="107">
        <v>78.825999999999993</v>
      </c>
      <c r="E188" s="15">
        <v>51.426000000000002</v>
      </c>
      <c r="F188" s="107">
        <v>130.25200000000001</v>
      </c>
      <c r="G188" s="107">
        <v>145.38</v>
      </c>
      <c r="H188" s="107">
        <v>0</v>
      </c>
      <c r="I188" s="107">
        <v>55.613999999999997</v>
      </c>
      <c r="J188" s="107">
        <v>0</v>
      </c>
      <c r="K188" s="15" t="s">
        <v>132</v>
      </c>
      <c r="L188" s="43">
        <v>2010</v>
      </c>
      <c r="M188" s="44">
        <f>'[2]EDB Database'!$K501/1000</f>
        <v>130.25200000000001</v>
      </c>
      <c r="N188" s="44">
        <f>G188</f>
        <v>145.38</v>
      </c>
      <c r="P188" s="21"/>
    </row>
    <row r="189" spans="1:16">
      <c r="B189" s="15">
        <v>2011</v>
      </c>
      <c r="C189" s="15">
        <v>176</v>
      </c>
      <c r="D189" s="107">
        <v>85.432000000000002</v>
      </c>
      <c r="E189" s="15">
        <v>49.514000000000003</v>
      </c>
      <c r="F189" s="107">
        <v>134.946</v>
      </c>
      <c r="G189" s="107">
        <v>150.44399999999999</v>
      </c>
      <c r="H189" s="107">
        <v>0</v>
      </c>
      <c r="I189" s="107">
        <v>56.142000000000003</v>
      </c>
      <c r="J189" s="107">
        <v>0</v>
      </c>
      <c r="K189" s="15" t="s">
        <v>132</v>
      </c>
      <c r="L189" s="43">
        <v>2011</v>
      </c>
      <c r="M189" s="44">
        <f>'[2]EDB Database'!$K502/1000</f>
        <v>134.946</v>
      </c>
      <c r="N189" s="44">
        <f>G189</f>
        <v>150.44399999999999</v>
      </c>
      <c r="P189" s="21"/>
    </row>
    <row r="190" spans="1:16">
      <c r="B190" s="15">
        <v>2012</v>
      </c>
      <c r="C190" s="15">
        <v>177</v>
      </c>
      <c r="D190" s="107">
        <v>85.632000000000005</v>
      </c>
      <c r="E190" s="43">
        <v>51.274000000000001</v>
      </c>
      <c r="F190" s="107">
        <v>136.90600000000001</v>
      </c>
      <c r="G190" s="107">
        <v>147.304</v>
      </c>
      <c r="H190" s="107">
        <v>0</v>
      </c>
      <c r="I190" s="107">
        <v>56.036000000000001</v>
      </c>
      <c r="J190" s="107">
        <v>0</v>
      </c>
      <c r="K190" s="15" t="s">
        <v>132</v>
      </c>
      <c r="L190" s="43">
        <v>2012</v>
      </c>
      <c r="M190" s="44">
        <f>'[2]EDB Database'!$K503/1000</f>
        <v>136.90600000000001</v>
      </c>
      <c r="N190" s="44">
        <f>G190</f>
        <v>147.304</v>
      </c>
      <c r="P190" s="21"/>
    </row>
    <row r="191" spans="1:16">
      <c r="B191" s="15">
        <v>2013</v>
      </c>
      <c r="C191" s="15">
        <v>178</v>
      </c>
      <c r="D191" s="43"/>
      <c r="F191" s="43"/>
      <c r="G191" s="43"/>
      <c r="H191" s="107"/>
      <c r="I191" s="107"/>
      <c r="J191" s="107"/>
      <c r="K191" s="15" t="s">
        <v>132</v>
      </c>
      <c r="L191" s="43">
        <v>2013</v>
      </c>
      <c r="M191" s="44">
        <f>[26]Sheet1!$M74</f>
        <v>135.64599999999999</v>
      </c>
      <c r="N191" s="44">
        <f t="shared" ref="N191:N198" si="23">N190*M191/M190</f>
        <v>145.94830309847632</v>
      </c>
      <c r="P191" s="21"/>
    </row>
    <row r="192" spans="1:16">
      <c r="B192" s="15">
        <v>2014</v>
      </c>
      <c r="D192" s="43"/>
      <c r="F192" s="43"/>
      <c r="G192" s="43"/>
      <c r="H192" s="107"/>
      <c r="I192" s="107"/>
      <c r="J192" s="107"/>
      <c r="K192" s="15" t="s">
        <v>132</v>
      </c>
      <c r="L192" s="43">
        <v>2014</v>
      </c>
      <c r="M192" s="44">
        <f>[26]Sheet1!$M75</f>
        <v>136.93199999999999</v>
      </c>
      <c r="N192" s="44">
        <f t="shared" si="23"/>
        <v>147.33197469796792</v>
      </c>
      <c r="P192" s="21"/>
    </row>
    <row r="193" spans="1:16">
      <c r="B193" s="15">
        <v>2015</v>
      </c>
      <c r="D193" s="43"/>
      <c r="F193" s="43"/>
      <c r="G193" s="43"/>
      <c r="H193" s="107"/>
      <c r="I193" s="107"/>
      <c r="J193" s="107"/>
      <c r="K193" s="15" t="str">
        <f t="shared" ref="K193:K198" si="24">K192</f>
        <v>The Power Company</v>
      </c>
      <c r="L193" s="43">
        <v>2015</v>
      </c>
      <c r="M193" s="44">
        <f>[26]Sheet1!$M76</f>
        <v>135.22113999999999</v>
      </c>
      <c r="N193" s="44">
        <f t="shared" si="23"/>
        <v>145.49117501468157</v>
      </c>
      <c r="P193" s="21"/>
    </row>
    <row r="194" spans="1:16">
      <c r="B194" s="15">
        <v>2016</v>
      </c>
      <c r="D194" s="43"/>
      <c r="F194" s="43"/>
      <c r="G194" s="43"/>
      <c r="H194" s="107"/>
      <c r="I194" s="107"/>
      <c r="J194" s="107"/>
      <c r="K194" s="15" t="str">
        <f t="shared" si="24"/>
        <v>The Power Company</v>
      </c>
      <c r="L194" s="43">
        <v>2016</v>
      </c>
      <c r="M194" s="44">
        <f>[26]Sheet1!$M77</f>
        <v>137.20892000000001</v>
      </c>
      <c r="N194" s="44">
        <f t="shared" si="23"/>
        <v>147.62992675032501</v>
      </c>
      <c r="P194" s="21"/>
    </row>
    <row r="195" spans="1:16">
      <c r="B195" s="15">
        <v>2017</v>
      </c>
      <c r="D195" s="43"/>
      <c r="F195" s="43"/>
      <c r="G195" s="43"/>
      <c r="H195" s="107"/>
      <c r="I195" s="107"/>
      <c r="J195" s="107"/>
      <c r="K195" s="15" t="str">
        <f t="shared" si="24"/>
        <v>The Power Company</v>
      </c>
      <c r="L195" s="43">
        <v>2017</v>
      </c>
      <c r="M195" s="44">
        <f>[26]Sheet1!$M78</f>
        <v>136.74052</v>
      </c>
      <c r="N195" s="44">
        <f t="shared" si="23"/>
        <v>147.12595180693319</v>
      </c>
      <c r="P195" s="21"/>
    </row>
    <row r="196" spans="1:16">
      <c r="B196" s="15">
        <v>2018</v>
      </c>
      <c r="D196" s="43"/>
      <c r="F196" s="43"/>
      <c r="G196" s="43"/>
      <c r="H196" s="107"/>
      <c r="I196" s="107"/>
      <c r="J196" s="107"/>
      <c r="K196" s="15" t="str">
        <f t="shared" si="24"/>
        <v>The Power Company</v>
      </c>
      <c r="L196" s="43">
        <v>2018</v>
      </c>
      <c r="M196" s="44">
        <f>[26]Sheet1!$M79</f>
        <v>143.60642000000001</v>
      </c>
      <c r="N196" s="44">
        <f t="shared" si="23"/>
        <v>154.5133163753232</v>
      </c>
      <c r="P196" s="21"/>
    </row>
    <row r="197" spans="1:16">
      <c r="B197" s="15">
        <v>2019</v>
      </c>
      <c r="D197" s="43"/>
      <c r="F197" s="43"/>
      <c r="G197" s="43"/>
      <c r="H197" s="107"/>
      <c r="I197" s="107"/>
      <c r="J197" s="107"/>
      <c r="K197" s="15" t="str">
        <f t="shared" si="24"/>
        <v>The Power Company</v>
      </c>
      <c r="L197" s="43">
        <v>2019</v>
      </c>
      <c r="M197" s="44">
        <f>[27]Sheet1!$M$23</f>
        <v>146.89114000000001</v>
      </c>
      <c r="N197" s="44">
        <f t="shared" si="23"/>
        <v>158.04751060260321</v>
      </c>
      <c r="P197" s="21"/>
    </row>
    <row r="198" spans="1:16">
      <c r="B198" s="15">
        <v>2020</v>
      </c>
      <c r="D198" s="43"/>
      <c r="F198" s="43"/>
      <c r="G198" s="43"/>
      <c r="H198" s="107"/>
      <c r="I198" s="107"/>
      <c r="J198" s="107"/>
      <c r="K198" s="15" t="str">
        <f t="shared" si="24"/>
        <v>The Power Company</v>
      </c>
      <c r="L198" s="43">
        <v>2020</v>
      </c>
      <c r="M198" s="44">
        <f>[28]Sheet1!$M$23</f>
        <v>148.22674000000001</v>
      </c>
      <c r="N198" s="44">
        <f t="shared" si="23"/>
        <v>159.48454931821828</v>
      </c>
      <c r="P198" s="21"/>
    </row>
    <row r="199" spans="1:16">
      <c r="A199" s="15" t="s">
        <v>133</v>
      </c>
      <c r="B199" s="15">
        <v>2006</v>
      </c>
      <c r="C199" s="15">
        <v>179</v>
      </c>
      <c r="D199" s="43"/>
      <c r="F199" s="43"/>
      <c r="G199" s="43"/>
      <c r="H199" s="107"/>
      <c r="I199" s="107"/>
      <c r="J199" s="107"/>
      <c r="K199" s="15" t="s">
        <v>134</v>
      </c>
      <c r="L199" s="43">
        <v>2006</v>
      </c>
      <c r="M199" s="44">
        <f>'[2]EDB Database'!$K520/1000</f>
        <v>59</v>
      </c>
      <c r="N199" s="44">
        <f>N200*M199/M200</f>
        <v>53.081575425403095</v>
      </c>
      <c r="P199" s="21"/>
    </row>
    <row r="200" spans="1:16">
      <c r="B200" s="15">
        <v>2007</v>
      </c>
      <c r="C200" s="15">
        <v>180</v>
      </c>
      <c r="D200" s="43"/>
      <c r="F200" s="43"/>
      <c r="G200" s="43"/>
      <c r="H200" s="107"/>
      <c r="I200" s="107"/>
      <c r="J200" s="107"/>
      <c r="K200" s="15" t="s">
        <v>134</v>
      </c>
      <c r="L200" s="43">
        <v>2007</v>
      </c>
      <c r="M200" s="44">
        <f>'[2]EDB Database'!$K521/1000</f>
        <v>64</v>
      </c>
      <c r="N200" s="44">
        <f>N201*M200/M201</f>
        <v>57.58001402077624</v>
      </c>
      <c r="P200" s="21"/>
    </row>
    <row r="201" spans="1:16">
      <c r="B201" s="15">
        <v>2008</v>
      </c>
      <c r="C201" s="15">
        <v>181</v>
      </c>
      <c r="D201" s="107">
        <v>52.465999999999994</v>
      </c>
      <c r="E201" s="43">
        <v>10.298</v>
      </c>
      <c r="F201" s="107">
        <v>62.763999999999996</v>
      </c>
      <c r="G201" s="107">
        <v>56.468000000000004</v>
      </c>
      <c r="H201" s="107">
        <v>0.21998999999999999</v>
      </c>
      <c r="I201" s="107">
        <v>10.581</v>
      </c>
      <c r="J201" s="107">
        <v>0</v>
      </c>
      <c r="K201" s="15" t="s">
        <v>134</v>
      </c>
      <c r="L201" s="43">
        <v>2008</v>
      </c>
      <c r="M201" s="44">
        <f>'[2]EDB Database'!$K522/1000</f>
        <v>62.764000000000003</v>
      </c>
      <c r="N201" s="44">
        <f>G201</f>
        <v>56.468000000000004</v>
      </c>
      <c r="P201" s="21"/>
    </row>
    <row r="202" spans="1:16">
      <c r="B202" s="15">
        <v>2009</v>
      </c>
      <c r="C202" s="15">
        <v>182</v>
      </c>
      <c r="D202" s="107">
        <v>39.560200000000002</v>
      </c>
      <c r="E202" s="15">
        <v>23.728000000000002</v>
      </c>
      <c r="F202" s="107">
        <v>63.288200000000003</v>
      </c>
      <c r="G202" s="107">
        <v>58.222000000000001</v>
      </c>
      <c r="H202" s="107">
        <v>0.4864</v>
      </c>
      <c r="I202" s="107">
        <v>25.97156</v>
      </c>
      <c r="J202" s="107">
        <v>0</v>
      </c>
      <c r="K202" s="15" t="s">
        <v>134</v>
      </c>
      <c r="L202" s="43">
        <v>2009</v>
      </c>
      <c r="M202" s="44">
        <f>'[2]EDB Database'!$K523/1000</f>
        <v>63.288200000000003</v>
      </c>
      <c r="N202" s="44">
        <f>G202</f>
        <v>58.222000000000001</v>
      </c>
      <c r="P202" s="21"/>
    </row>
    <row r="203" spans="1:16">
      <c r="B203" s="15">
        <v>2010</v>
      </c>
      <c r="C203" s="15">
        <v>183</v>
      </c>
      <c r="D203" s="107">
        <v>57.578000000000003</v>
      </c>
      <c r="E203" s="15">
        <v>5.0999999999999996</v>
      </c>
      <c r="F203" s="107">
        <v>62.678000000000004</v>
      </c>
      <c r="G203" s="107">
        <v>59</v>
      </c>
      <c r="H203" s="107">
        <v>0</v>
      </c>
      <c r="I203" s="107">
        <v>26</v>
      </c>
      <c r="J203" s="107">
        <v>0</v>
      </c>
      <c r="K203" s="15" t="s">
        <v>134</v>
      </c>
      <c r="L203" s="43">
        <v>2010</v>
      </c>
      <c r="M203" s="44">
        <f>'[2]EDB Database'!$K524/1000</f>
        <v>62.677999999999997</v>
      </c>
      <c r="N203" s="44">
        <f>G203</f>
        <v>59</v>
      </c>
      <c r="P203" s="21"/>
    </row>
    <row r="204" spans="1:16">
      <c r="B204" s="15">
        <v>2011</v>
      </c>
      <c r="C204" s="15">
        <v>184</v>
      </c>
      <c r="D204" s="107">
        <v>46</v>
      </c>
      <c r="E204" s="15">
        <v>24</v>
      </c>
      <c r="F204" s="107">
        <v>70</v>
      </c>
      <c r="G204" s="107">
        <v>50</v>
      </c>
      <c r="H204" s="107">
        <v>0</v>
      </c>
      <c r="I204" s="107">
        <v>25.931999999999999</v>
      </c>
      <c r="J204" s="107">
        <v>0</v>
      </c>
      <c r="K204" s="15" t="s">
        <v>134</v>
      </c>
      <c r="L204" s="43">
        <v>2011</v>
      </c>
      <c r="M204" s="44">
        <f>'[2]EDB Database'!$K525/1000</f>
        <v>70</v>
      </c>
      <c r="N204" s="44">
        <f>G204</f>
        <v>50</v>
      </c>
      <c r="P204" s="21"/>
    </row>
    <row r="205" spans="1:16">
      <c r="B205" s="15">
        <v>2012</v>
      </c>
      <c r="C205" s="15">
        <v>185</v>
      </c>
      <c r="D205" s="107">
        <v>38.869999999999997</v>
      </c>
      <c r="E205" s="43">
        <v>25.56</v>
      </c>
      <c r="F205" s="107">
        <v>64.429999999999993</v>
      </c>
      <c r="G205" s="107">
        <v>45.7</v>
      </c>
      <c r="H205" s="107">
        <v>0</v>
      </c>
      <c r="I205" s="107">
        <v>24.98</v>
      </c>
      <c r="J205" s="107">
        <v>0</v>
      </c>
      <c r="K205" s="15" t="s">
        <v>134</v>
      </c>
      <c r="L205" s="43">
        <v>2012</v>
      </c>
      <c r="M205" s="44">
        <f>'[2]EDB Database'!$K526/1000</f>
        <v>64.430000000000007</v>
      </c>
      <c r="N205" s="44">
        <f>G205</f>
        <v>45.7</v>
      </c>
      <c r="P205" s="21"/>
    </row>
    <row r="206" spans="1:16">
      <c r="B206" s="15">
        <v>2013</v>
      </c>
      <c r="C206" s="15">
        <v>186</v>
      </c>
      <c r="D206" s="43"/>
      <c r="F206" s="43"/>
      <c r="G206" s="43"/>
      <c r="H206" s="107"/>
      <c r="I206" s="107"/>
      <c r="J206" s="107"/>
      <c r="K206" s="15" t="s">
        <v>134</v>
      </c>
      <c r="L206" s="43">
        <v>2013</v>
      </c>
      <c r="M206" s="44">
        <f>[26]Sheet1!$M80</f>
        <v>70.928200000000004</v>
      </c>
      <c r="N206" s="44">
        <f t="shared" ref="N206:N213" si="25">N205*M206/M205</f>
        <v>50.309153189507995</v>
      </c>
      <c r="P206" s="21"/>
    </row>
    <row r="207" spans="1:16">
      <c r="B207" s="15">
        <v>2014</v>
      </c>
      <c r="D207" s="43"/>
      <c r="F207" s="43"/>
      <c r="G207" s="43"/>
      <c r="H207" s="107"/>
      <c r="I207" s="107"/>
      <c r="J207" s="107"/>
      <c r="K207" s="15" t="s">
        <v>134</v>
      </c>
      <c r="L207" s="43">
        <v>2014</v>
      </c>
      <c r="M207" s="44">
        <f>[26]Sheet1!$M81</f>
        <v>70</v>
      </c>
      <c r="N207" s="44">
        <f t="shared" si="25"/>
        <v>49.650783796368152</v>
      </c>
      <c r="P207" s="21"/>
    </row>
    <row r="208" spans="1:16">
      <c r="B208" s="15">
        <v>2015</v>
      </c>
      <c r="D208" s="43"/>
      <c r="F208" s="43"/>
      <c r="G208" s="43"/>
      <c r="H208" s="107"/>
      <c r="I208" s="107"/>
      <c r="J208" s="107"/>
      <c r="K208" s="15" t="str">
        <f t="shared" ref="K208:K213" si="26">K207</f>
        <v>Top Energy</v>
      </c>
      <c r="L208" s="43">
        <v>2015</v>
      </c>
      <c r="M208" s="44">
        <f>[26]Sheet1!$M82</f>
        <v>69</v>
      </c>
      <c r="N208" s="44">
        <f t="shared" si="25"/>
        <v>48.941486884991463</v>
      </c>
      <c r="P208" s="21"/>
    </row>
    <row r="209" spans="1:16">
      <c r="B209" s="15">
        <v>2016</v>
      </c>
      <c r="D209" s="43"/>
      <c r="F209" s="43"/>
      <c r="G209" s="43"/>
      <c r="H209" s="107"/>
      <c r="I209" s="107"/>
      <c r="J209" s="107"/>
      <c r="K209" s="15" t="str">
        <f t="shared" si="26"/>
        <v>Top Energy</v>
      </c>
      <c r="L209" s="43">
        <v>2016</v>
      </c>
      <c r="M209" s="44">
        <f>[26]Sheet1!$M83</f>
        <v>69.47</v>
      </c>
      <c r="N209" s="44">
        <f t="shared" si="25"/>
        <v>49.274856433338506</v>
      </c>
      <c r="P209" s="21"/>
    </row>
    <row r="210" spans="1:16">
      <c r="B210" s="15">
        <v>2017</v>
      </c>
      <c r="D210" s="43"/>
      <c r="F210" s="43"/>
      <c r="G210" s="43"/>
      <c r="H210" s="107"/>
      <c r="I210" s="107"/>
      <c r="J210" s="107"/>
      <c r="K210" s="15" t="str">
        <f t="shared" si="26"/>
        <v>Top Energy</v>
      </c>
      <c r="L210" s="43">
        <v>2017</v>
      </c>
      <c r="M210" s="44">
        <f>[26]Sheet1!$M84</f>
        <v>68.702619999999996</v>
      </c>
      <c r="N210" s="44">
        <f t="shared" si="25"/>
        <v>48.730556169486263</v>
      </c>
      <c r="P210" s="21"/>
    </row>
    <row r="211" spans="1:16">
      <c r="B211" s="15">
        <v>2018</v>
      </c>
      <c r="D211" s="43"/>
      <c r="F211" s="43"/>
      <c r="G211" s="43"/>
      <c r="H211" s="107"/>
      <c r="I211" s="107"/>
      <c r="J211" s="107"/>
      <c r="K211" s="15" t="str">
        <f t="shared" si="26"/>
        <v>Top Energy</v>
      </c>
      <c r="L211" s="43">
        <v>2018</v>
      </c>
      <c r="M211" s="44">
        <f>[26]Sheet1!$M85</f>
        <v>70.240216451048866</v>
      </c>
      <c r="N211" s="44">
        <f t="shared" si="25"/>
        <v>49.821168583158979</v>
      </c>
      <c r="P211" s="21"/>
    </row>
    <row r="212" spans="1:16">
      <c r="B212" s="15">
        <v>2019</v>
      </c>
      <c r="D212" s="43"/>
      <c r="F212" s="43"/>
      <c r="G212" s="43"/>
      <c r="H212" s="107"/>
      <c r="I212" s="107"/>
      <c r="J212" s="107"/>
      <c r="K212" s="15" t="str">
        <f t="shared" si="26"/>
        <v>Top Energy</v>
      </c>
      <c r="L212" s="43">
        <v>2019</v>
      </c>
      <c r="M212" s="44">
        <f>[27]Sheet1!$M$24</f>
        <v>70.864139999999992</v>
      </c>
      <c r="N212" s="44">
        <f t="shared" si="25"/>
        <v>50.263715629365194</v>
      </c>
      <c r="P212" s="21"/>
    </row>
    <row r="213" spans="1:16">
      <c r="B213" s="15">
        <v>2020</v>
      </c>
      <c r="D213" s="43"/>
      <c r="F213" s="43"/>
      <c r="G213" s="43"/>
      <c r="H213" s="107"/>
      <c r="I213" s="107"/>
      <c r="J213" s="107"/>
      <c r="K213" s="15" t="str">
        <f t="shared" si="26"/>
        <v>Top Energy</v>
      </c>
      <c r="L213" s="43">
        <v>2020</v>
      </c>
      <c r="M213" s="44">
        <f>[28]Sheet1!$M$24</f>
        <v>124</v>
      </c>
      <c r="N213" s="44">
        <f t="shared" si="25"/>
        <v>87.952817010709296</v>
      </c>
      <c r="P213" s="21"/>
    </row>
    <row r="214" spans="1:16">
      <c r="A214" s="15" t="s">
        <v>135</v>
      </c>
      <c r="B214" s="15">
        <v>2006</v>
      </c>
      <c r="C214" s="15">
        <v>187</v>
      </c>
      <c r="D214" s="43"/>
      <c r="F214" s="43"/>
      <c r="G214" s="43"/>
      <c r="H214" s="107"/>
      <c r="I214" s="107"/>
      <c r="J214" s="107"/>
      <c r="K214" s="15" t="s">
        <v>136</v>
      </c>
      <c r="L214" s="43">
        <v>2006</v>
      </c>
      <c r="M214" s="44">
        <f>'[2]EDB Database'!$K543/1000</f>
        <v>307.72399999999999</v>
      </c>
      <c r="N214" s="44">
        <f>N215*M214/M215</f>
        <v>307.04470327985712</v>
      </c>
      <c r="P214" s="21"/>
    </row>
    <row r="215" spans="1:16">
      <c r="B215" s="15">
        <v>2007</v>
      </c>
      <c r="C215" s="15">
        <v>188</v>
      </c>
      <c r="D215" s="43"/>
      <c r="F215" s="43"/>
      <c r="G215" s="43"/>
      <c r="H215" s="107"/>
      <c r="I215" s="107"/>
      <c r="J215" s="107"/>
      <c r="K215" s="15" t="s">
        <v>136</v>
      </c>
      <c r="L215" s="43">
        <v>2007</v>
      </c>
      <c r="M215" s="44">
        <f>'[2]EDB Database'!$K544/1000</f>
        <v>318.88200000000001</v>
      </c>
      <c r="N215" s="44">
        <f>N216*M215/M216</f>
        <v>318.17807214025362</v>
      </c>
      <c r="P215" s="21"/>
    </row>
    <row r="216" spans="1:16">
      <c r="B216" s="15">
        <v>2008</v>
      </c>
      <c r="C216" s="15">
        <v>189</v>
      </c>
      <c r="D216" s="107">
        <v>295.13599999999997</v>
      </c>
      <c r="E216" s="43">
        <v>37.422117711385361</v>
      </c>
      <c r="F216" s="107">
        <v>332.55811771138531</v>
      </c>
      <c r="G216" s="107">
        <v>331.82400000000001</v>
      </c>
      <c r="H216" s="107">
        <v>0</v>
      </c>
      <c r="I216" s="107">
        <v>0</v>
      </c>
      <c r="J216" s="107">
        <v>0</v>
      </c>
      <c r="K216" s="15" t="s">
        <v>136</v>
      </c>
      <c r="L216" s="43">
        <v>2008</v>
      </c>
      <c r="M216" s="44">
        <f>'[2]EDB Database'!$K545/1000</f>
        <v>332.55811771138502</v>
      </c>
      <c r="N216" s="44">
        <f>G216</f>
        <v>331.82400000000001</v>
      </c>
      <c r="P216" s="21"/>
    </row>
    <row r="217" spans="1:16">
      <c r="B217" s="15">
        <v>2009</v>
      </c>
      <c r="C217" s="15">
        <v>190</v>
      </c>
      <c r="D217" s="107">
        <v>301.18299999999999</v>
      </c>
      <c r="E217" s="15">
        <v>40.75</v>
      </c>
      <c r="F217" s="107">
        <v>341.93299999999999</v>
      </c>
      <c r="G217" s="107">
        <v>323.54500000000002</v>
      </c>
      <c r="H217" s="107">
        <v>0</v>
      </c>
      <c r="I217" s="107">
        <v>0</v>
      </c>
      <c r="J217" s="107">
        <v>0</v>
      </c>
      <c r="K217" s="15" t="s">
        <v>136</v>
      </c>
      <c r="L217" s="43">
        <v>2009</v>
      </c>
      <c r="M217" s="44">
        <f>'[2]EDB Database'!$K546/1000</f>
        <v>341.93299999999999</v>
      </c>
      <c r="N217" s="44">
        <f>G217</f>
        <v>323.54500000000002</v>
      </c>
      <c r="P217" s="21"/>
    </row>
    <row r="218" spans="1:16">
      <c r="B218" s="15">
        <v>2010</v>
      </c>
      <c r="C218" s="15">
        <v>191</v>
      </c>
      <c r="D218" s="107">
        <v>277.7</v>
      </c>
      <c r="E218" s="15">
        <v>41</v>
      </c>
      <c r="F218" s="107">
        <v>318.7</v>
      </c>
      <c r="G218" s="107">
        <v>323.60000000000002</v>
      </c>
      <c r="H218" s="107">
        <v>0</v>
      </c>
      <c r="I218" s="107">
        <v>0</v>
      </c>
      <c r="J218" s="107">
        <v>0</v>
      </c>
      <c r="K218" s="15" t="s">
        <v>136</v>
      </c>
      <c r="L218" s="43">
        <v>2010</v>
      </c>
      <c r="M218" s="44">
        <f>'[2]EDB Database'!$K547/1000</f>
        <v>318.7</v>
      </c>
      <c r="N218" s="44">
        <f>G218</f>
        <v>323.60000000000002</v>
      </c>
      <c r="P218" s="21"/>
    </row>
    <row r="219" spans="1:16">
      <c r="B219" s="15">
        <v>2011</v>
      </c>
      <c r="C219" s="15">
        <v>192</v>
      </c>
      <c r="D219" s="107">
        <v>264</v>
      </c>
      <c r="E219" s="15">
        <v>37.159999999999997</v>
      </c>
      <c r="F219" s="107">
        <v>301.15999999999997</v>
      </c>
      <c r="G219" s="107">
        <v>318</v>
      </c>
      <c r="H219" s="107">
        <v>0</v>
      </c>
      <c r="I219" s="107">
        <v>0</v>
      </c>
      <c r="J219" s="107">
        <v>0</v>
      </c>
      <c r="K219" s="15" t="s">
        <v>136</v>
      </c>
      <c r="L219" s="43">
        <v>2011</v>
      </c>
      <c r="M219" s="44">
        <f>'[2]EDB Database'!$K548/1000</f>
        <v>301.16000000000003</v>
      </c>
      <c r="N219" s="44">
        <f>G219</f>
        <v>318</v>
      </c>
      <c r="P219" s="21"/>
    </row>
    <row r="220" spans="1:16">
      <c r="B220" s="15">
        <v>2012</v>
      </c>
      <c r="C220" s="15">
        <v>193</v>
      </c>
      <c r="D220" s="107">
        <v>263</v>
      </c>
      <c r="E220" s="43">
        <v>35</v>
      </c>
      <c r="F220" s="107">
        <v>298</v>
      </c>
      <c r="G220" s="107">
        <v>324</v>
      </c>
      <c r="H220" s="107">
        <v>0</v>
      </c>
      <c r="I220" s="107">
        <v>0</v>
      </c>
      <c r="J220" s="107">
        <v>0</v>
      </c>
      <c r="K220" s="15" t="s">
        <v>136</v>
      </c>
      <c r="L220" s="43">
        <v>2012</v>
      </c>
      <c r="M220" s="44">
        <f>'[2]EDB Database'!$K549/1000</f>
        <v>298</v>
      </c>
      <c r="N220" s="44">
        <f>G220</f>
        <v>324</v>
      </c>
      <c r="P220" s="21"/>
    </row>
    <row r="221" spans="1:16">
      <c r="B221" s="15">
        <v>2013</v>
      </c>
      <c r="C221" s="15">
        <v>194</v>
      </c>
      <c r="D221" s="43"/>
      <c r="F221" s="43"/>
      <c r="G221" s="43"/>
      <c r="H221" s="107"/>
      <c r="I221" s="107"/>
      <c r="J221" s="107"/>
      <c r="K221" s="15" t="s">
        <v>136</v>
      </c>
      <c r="L221" s="43">
        <v>2013</v>
      </c>
      <c r="M221" s="44">
        <f>[26]Sheet1!$M86</f>
        <v>298</v>
      </c>
      <c r="N221" s="44">
        <f t="shared" ref="N221:N228" si="27">N220*M221/M220</f>
        <v>324</v>
      </c>
      <c r="P221" s="21"/>
    </row>
    <row r="222" spans="1:16">
      <c r="B222" s="15">
        <v>2014</v>
      </c>
      <c r="D222" s="43"/>
      <c r="F222" s="43"/>
      <c r="G222" s="43"/>
      <c r="H222" s="107"/>
      <c r="I222" s="107"/>
      <c r="J222" s="107"/>
      <c r="K222" s="15" t="s">
        <v>136</v>
      </c>
      <c r="L222" s="43">
        <v>2014</v>
      </c>
      <c r="M222" s="44">
        <f>[26]Sheet1!$M87</f>
        <v>332</v>
      </c>
      <c r="N222" s="44">
        <f t="shared" si="27"/>
        <v>360.96644295302013</v>
      </c>
      <c r="P222" s="21"/>
    </row>
    <row r="223" spans="1:16">
      <c r="B223" s="15">
        <v>2015</v>
      </c>
      <c r="D223" s="43"/>
      <c r="F223" s="43"/>
      <c r="G223" s="43"/>
      <c r="H223" s="107"/>
      <c r="I223" s="107"/>
      <c r="J223" s="107"/>
      <c r="K223" s="15" t="str">
        <f t="shared" ref="K223:K228" si="28">K222</f>
        <v>Unison</v>
      </c>
      <c r="L223" s="43">
        <v>2015</v>
      </c>
      <c r="M223" s="44">
        <f>[26]Sheet1!$M88</f>
        <v>312.5</v>
      </c>
      <c r="N223" s="44">
        <f t="shared" si="27"/>
        <v>339.76510067114094</v>
      </c>
      <c r="P223" s="21"/>
    </row>
    <row r="224" spans="1:16">
      <c r="B224" s="15">
        <v>2016</v>
      </c>
      <c r="D224" s="43"/>
      <c r="F224" s="43"/>
      <c r="G224" s="43"/>
      <c r="H224" s="107"/>
      <c r="I224" s="107"/>
      <c r="J224" s="107"/>
      <c r="K224" s="15" t="str">
        <f t="shared" si="28"/>
        <v>Unison</v>
      </c>
      <c r="L224" s="43">
        <v>2016</v>
      </c>
      <c r="M224" s="44">
        <f>[26]Sheet1!$M89</f>
        <v>353.68265999999988</v>
      </c>
      <c r="N224" s="44">
        <f t="shared" si="27"/>
        <v>384.540878657718</v>
      </c>
      <c r="P224" s="21"/>
    </row>
    <row r="225" spans="1:21">
      <c r="B225" s="15">
        <v>2017</v>
      </c>
      <c r="D225" s="43"/>
      <c r="F225" s="43"/>
      <c r="G225" s="43"/>
      <c r="H225" s="107"/>
      <c r="I225" s="107"/>
      <c r="J225" s="107"/>
      <c r="K225" s="15" t="str">
        <f t="shared" si="28"/>
        <v>Unison</v>
      </c>
      <c r="L225" s="43">
        <v>2017</v>
      </c>
      <c r="M225" s="44">
        <f>[26]Sheet1!$M90</f>
        <v>323</v>
      </c>
      <c r="N225" s="44">
        <f t="shared" si="27"/>
        <v>351.18120805369125</v>
      </c>
      <c r="P225" s="21"/>
    </row>
    <row r="226" spans="1:21">
      <c r="B226" s="15">
        <v>2018</v>
      </c>
      <c r="D226" s="43"/>
      <c r="F226" s="43"/>
      <c r="G226" s="43"/>
      <c r="H226" s="107"/>
      <c r="I226" s="107"/>
      <c r="J226" s="107"/>
      <c r="K226" s="15" t="str">
        <f t="shared" si="28"/>
        <v>Unison</v>
      </c>
      <c r="L226" s="43">
        <v>2018</v>
      </c>
      <c r="M226" s="44">
        <f>[26]Sheet1!$M91</f>
        <v>329</v>
      </c>
      <c r="N226" s="44">
        <f t="shared" si="27"/>
        <v>357.70469798657717</v>
      </c>
      <c r="P226" s="21"/>
    </row>
    <row r="227" spans="1:21">
      <c r="B227" s="15">
        <v>2019</v>
      </c>
      <c r="D227" s="43"/>
      <c r="F227" s="43"/>
      <c r="G227" s="43"/>
      <c r="H227" s="107"/>
      <c r="I227" s="107"/>
      <c r="J227" s="107"/>
      <c r="K227" s="15" t="str">
        <f t="shared" si="28"/>
        <v>Unison</v>
      </c>
      <c r="L227" s="43">
        <v>2019</v>
      </c>
      <c r="M227" s="44">
        <f>[27]Sheet1!$M$25</f>
        <v>348</v>
      </c>
      <c r="N227" s="44">
        <f t="shared" si="27"/>
        <v>378.36241610738256</v>
      </c>
      <c r="P227" s="21"/>
    </row>
    <row r="228" spans="1:21">
      <c r="B228" s="15">
        <v>2020</v>
      </c>
      <c r="D228" s="43"/>
      <c r="F228" s="43"/>
      <c r="G228" s="43"/>
      <c r="H228" s="107"/>
      <c r="I228" s="107"/>
      <c r="J228" s="107"/>
      <c r="K228" s="15" t="str">
        <f t="shared" si="28"/>
        <v>Unison</v>
      </c>
      <c r="L228" s="43">
        <v>2020</v>
      </c>
      <c r="M228" s="44">
        <f>[28]Sheet1!$M$25</f>
        <v>329</v>
      </c>
      <c r="N228" s="44">
        <f t="shared" si="27"/>
        <v>357.70469798657717</v>
      </c>
      <c r="P228" s="21"/>
    </row>
    <row r="229" spans="1:21">
      <c r="A229" s="15" t="s">
        <v>137</v>
      </c>
      <c r="B229" s="15">
        <v>2006</v>
      </c>
      <c r="D229" s="43"/>
      <c r="F229" s="43"/>
      <c r="G229" s="43"/>
      <c r="H229" s="107"/>
      <c r="I229" s="107"/>
      <c r="J229" s="107"/>
      <c r="K229" s="15" t="s">
        <v>137</v>
      </c>
      <c r="L229" s="43">
        <v>2006</v>
      </c>
      <c r="M229" s="44">
        <f>'[2]EDB Database'!$K589/1000</f>
        <v>2088.8620000000001</v>
      </c>
      <c r="N229" s="44">
        <f>N230*M229/M230</f>
        <v>2187.8069071366845</v>
      </c>
      <c r="P229" s="21"/>
    </row>
    <row r="230" spans="1:21">
      <c r="B230" s="15">
        <v>2007</v>
      </c>
      <c r="D230" s="43"/>
      <c r="F230" s="43"/>
      <c r="G230" s="43"/>
      <c r="H230" s="107"/>
      <c r="I230" s="107"/>
      <c r="J230" s="107"/>
      <c r="K230" s="15" t="s">
        <v>137</v>
      </c>
      <c r="L230" s="43">
        <v>2007</v>
      </c>
      <c r="M230" s="44">
        <f>'[2]EDB Database'!$K590/1000</f>
        <v>2241.8000000000002</v>
      </c>
      <c r="N230" s="44">
        <f>N231*M230/M231</f>
        <v>2347.9892517643671</v>
      </c>
      <c r="P230" s="21"/>
    </row>
    <row r="231" spans="1:21">
      <c r="B231" s="15">
        <v>2008</v>
      </c>
      <c r="D231" s="107"/>
      <c r="E231" s="107"/>
      <c r="F231" s="107"/>
      <c r="G231" s="107">
        <v>2327</v>
      </c>
      <c r="H231" s="107"/>
      <c r="I231" s="107"/>
      <c r="J231" s="107"/>
      <c r="K231" s="15" t="s">
        <v>137</v>
      </c>
      <c r="L231" s="43">
        <v>2008</v>
      </c>
      <c r="M231" s="44">
        <f>'[2]EDB Database'!$K591/1000</f>
        <v>2221.7600000000002</v>
      </c>
      <c r="N231" s="44">
        <f>G231</f>
        <v>2327</v>
      </c>
      <c r="P231" s="21"/>
      <c r="R231" s="4"/>
      <c r="S231" s="4"/>
      <c r="T231" s="4"/>
      <c r="U231" s="4"/>
    </row>
    <row r="232" spans="1:21">
      <c r="B232" s="15">
        <v>2009</v>
      </c>
      <c r="D232" s="107"/>
      <c r="E232" s="107"/>
      <c r="F232" s="107"/>
      <c r="G232" s="107">
        <v>2324</v>
      </c>
      <c r="H232" s="107"/>
      <c r="I232" s="107"/>
      <c r="J232" s="107"/>
      <c r="K232" s="15" t="s">
        <v>137</v>
      </c>
      <c r="L232" s="43">
        <v>2009</v>
      </c>
      <c r="M232" s="44">
        <f>'[2]EDB Database'!$K592/1000</f>
        <v>1711</v>
      </c>
      <c r="N232" s="44">
        <f>G232</f>
        <v>2324</v>
      </c>
      <c r="P232" s="21"/>
      <c r="R232" s="4"/>
      <c r="S232" s="4"/>
      <c r="T232" s="4"/>
      <c r="U232" s="4"/>
    </row>
    <row r="233" spans="1:21">
      <c r="B233" s="15">
        <v>2010</v>
      </c>
      <c r="D233" s="107"/>
      <c r="E233" s="107"/>
      <c r="F233" s="107"/>
      <c r="G233" s="107">
        <v>1854</v>
      </c>
      <c r="H233" s="107"/>
      <c r="I233" s="107"/>
      <c r="J233" s="107"/>
      <c r="K233" s="15" t="s">
        <v>137</v>
      </c>
      <c r="L233" s="43">
        <v>2010</v>
      </c>
      <c r="M233" s="44">
        <f>'[2]EDB Database'!$K593/1000</f>
        <v>1775.1035672207399</v>
      </c>
      <c r="N233" s="44">
        <f>G233</f>
        <v>1854</v>
      </c>
      <c r="P233" s="21"/>
      <c r="R233" s="4"/>
      <c r="S233" s="4"/>
      <c r="T233" s="4"/>
      <c r="U233" s="4"/>
    </row>
    <row r="234" spans="1:21">
      <c r="B234" s="15">
        <v>2011</v>
      </c>
      <c r="D234" s="107"/>
      <c r="E234" s="107"/>
      <c r="F234" s="107"/>
      <c r="G234" s="107">
        <v>1896</v>
      </c>
      <c r="H234" s="107"/>
      <c r="I234" s="107"/>
      <c r="J234" s="107"/>
      <c r="K234" s="15" t="s">
        <v>137</v>
      </c>
      <c r="L234" s="43">
        <v>2011</v>
      </c>
      <c r="M234" s="44">
        <f>'[2]EDB Database'!$K594/1000</f>
        <v>1722</v>
      </c>
      <c r="N234" s="44">
        <f>G234</f>
        <v>1896</v>
      </c>
      <c r="P234" s="21"/>
      <c r="R234" s="4"/>
      <c r="S234" s="4"/>
      <c r="T234" s="4"/>
      <c r="U234" s="4"/>
    </row>
    <row r="235" spans="1:21">
      <c r="B235" s="15">
        <v>2012</v>
      </c>
      <c r="D235" s="107"/>
      <c r="E235" s="107"/>
      <c r="F235" s="107"/>
      <c r="G235" s="107">
        <v>2073</v>
      </c>
      <c r="H235" s="107"/>
      <c r="I235" s="107"/>
      <c r="J235" s="107"/>
      <c r="K235" s="15" t="s">
        <v>137</v>
      </c>
      <c r="L235" s="43">
        <v>2012</v>
      </c>
      <c r="M235" s="44">
        <f>'[2]EDB Database'!$K595/1000</f>
        <v>1940.954</v>
      </c>
      <c r="N235" s="44">
        <f>G235</f>
        <v>2073</v>
      </c>
      <c r="P235" s="21"/>
      <c r="R235" s="4"/>
      <c r="S235" s="4"/>
      <c r="T235" s="4"/>
      <c r="U235" s="4"/>
    </row>
    <row r="236" spans="1:21">
      <c r="B236" s="15">
        <v>2013</v>
      </c>
      <c r="D236" s="43"/>
      <c r="F236" s="43"/>
      <c r="G236" s="43"/>
      <c r="H236" s="107"/>
      <c r="I236" s="107"/>
      <c r="J236" s="107"/>
      <c r="K236" s="15" t="s">
        <v>137</v>
      </c>
      <c r="L236" s="43">
        <v>2013</v>
      </c>
      <c r="M236" s="44">
        <f>[26]Sheet1!$M92</f>
        <v>1711</v>
      </c>
      <c r="N236" s="44">
        <f t="shared" ref="N236:N243" si="29">N235*M236/M235</f>
        <v>1827.401885876739</v>
      </c>
      <c r="P236" s="21"/>
    </row>
    <row r="237" spans="1:21">
      <c r="B237" s="15">
        <v>2014</v>
      </c>
      <c r="D237" s="43"/>
      <c r="F237" s="43"/>
      <c r="G237" s="43"/>
      <c r="H237" s="107"/>
      <c r="I237" s="107"/>
      <c r="J237" s="107"/>
      <c r="K237" s="15" t="s">
        <v>137</v>
      </c>
      <c r="L237" s="43">
        <v>2014</v>
      </c>
      <c r="M237" s="44">
        <f>[26]Sheet1!$M93</f>
        <v>1746</v>
      </c>
      <c r="N237" s="44">
        <f t="shared" si="29"/>
        <v>1864.7829881594309</v>
      </c>
      <c r="P237" s="21"/>
    </row>
    <row r="238" spans="1:21">
      <c r="B238" s="15">
        <v>2015</v>
      </c>
      <c r="D238" s="43"/>
      <c r="F238" s="43"/>
      <c r="G238" s="43"/>
      <c r="H238" s="107"/>
      <c r="I238" s="107"/>
      <c r="J238" s="107"/>
      <c r="K238" s="15" t="str">
        <f t="shared" ref="K238:K243" si="30">K237</f>
        <v>Vector</v>
      </c>
      <c r="L238" s="43">
        <v>2015</v>
      </c>
      <c r="M238" s="44">
        <f>[26]Sheet1!$M94</f>
        <v>1731.7</v>
      </c>
      <c r="N238" s="44">
        <f t="shared" si="29"/>
        <v>1849.5101377982169</v>
      </c>
      <c r="P238" s="21"/>
    </row>
    <row r="239" spans="1:21">
      <c r="B239" s="15">
        <v>2016</v>
      </c>
      <c r="D239" s="43"/>
      <c r="F239" s="43"/>
      <c r="G239" s="43"/>
      <c r="H239" s="107"/>
      <c r="I239" s="107"/>
      <c r="J239" s="107"/>
      <c r="K239" s="15" t="str">
        <f t="shared" si="30"/>
        <v>Vector</v>
      </c>
      <c r="L239" s="43">
        <v>2016</v>
      </c>
      <c r="M239" s="44">
        <f>[26]Sheet1!$M95</f>
        <v>1754.7619999999999</v>
      </c>
      <c r="N239" s="44">
        <f t="shared" si="29"/>
        <v>1874.1410801080294</v>
      </c>
      <c r="P239" s="21"/>
    </row>
    <row r="240" spans="1:21">
      <c r="B240" s="15">
        <v>2017</v>
      </c>
      <c r="D240" s="43"/>
      <c r="F240" s="43"/>
      <c r="G240" s="43"/>
      <c r="H240" s="107"/>
      <c r="I240" s="107"/>
      <c r="J240" s="107"/>
      <c r="K240" s="15" t="str">
        <f t="shared" si="30"/>
        <v>Vector</v>
      </c>
      <c r="L240" s="43">
        <v>2017</v>
      </c>
      <c r="M240" s="44">
        <f>[26]Sheet1!$M96</f>
        <v>1697.58</v>
      </c>
      <c r="N240" s="44">
        <f t="shared" si="29"/>
        <v>1813.0689032300611</v>
      </c>
      <c r="P240" s="21"/>
    </row>
    <row r="241" spans="1:16">
      <c r="B241" s="15">
        <v>2018</v>
      </c>
      <c r="D241" s="43"/>
      <c r="F241" s="43"/>
      <c r="G241" s="43"/>
      <c r="H241" s="107"/>
      <c r="I241" s="107"/>
      <c r="J241" s="107"/>
      <c r="K241" s="15" t="str">
        <f t="shared" si="30"/>
        <v>Vector</v>
      </c>
      <c r="L241" s="43">
        <v>2018</v>
      </c>
      <c r="M241" s="44">
        <f>[26]Sheet1!$M97</f>
        <v>1768.146</v>
      </c>
      <c r="N241" s="44">
        <f t="shared" si="29"/>
        <v>1888.4356136209308</v>
      </c>
      <c r="P241" s="21"/>
    </row>
    <row r="242" spans="1:16">
      <c r="B242" s="15">
        <v>2019</v>
      </c>
      <c r="D242" s="43"/>
      <c r="F242" s="43"/>
      <c r="G242" s="43"/>
      <c r="H242" s="107"/>
      <c r="I242" s="107"/>
      <c r="J242" s="107"/>
      <c r="K242" s="15" t="str">
        <f t="shared" si="30"/>
        <v>Vector</v>
      </c>
      <c r="L242" s="43">
        <v>2019</v>
      </c>
      <c r="M242" s="44">
        <f>[27]Sheet1!$M$26</f>
        <v>1820.68</v>
      </c>
      <c r="N242" s="44">
        <f t="shared" si="29"/>
        <v>1944.5435801157575</v>
      </c>
      <c r="P242" s="21"/>
    </row>
    <row r="243" spans="1:16">
      <c r="B243" s="15">
        <v>2020</v>
      </c>
      <c r="D243" s="43"/>
      <c r="F243" s="43"/>
      <c r="G243" s="43"/>
      <c r="H243" s="107"/>
      <c r="I243" s="107"/>
      <c r="J243" s="107"/>
      <c r="K243" s="15" t="str">
        <f t="shared" si="30"/>
        <v>Vector</v>
      </c>
      <c r="L243" s="43">
        <v>2020</v>
      </c>
      <c r="M243" s="44">
        <f>[28]Sheet1!$M$26</f>
        <v>1745</v>
      </c>
      <c r="N243" s="44">
        <f t="shared" si="29"/>
        <v>1863.7149566656396</v>
      </c>
      <c r="P243" s="21"/>
    </row>
    <row r="244" spans="1:16">
      <c r="A244" s="15" t="s">
        <v>138</v>
      </c>
      <c r="B244" s="15">
        <v>2006</v>
      </c>
      <c r="C244" s="15">
        <v>203</v>
      </c>
      <c r="D244" s="43"/>
      <c r="F244" s="43"/>
      <c r="G244" s="43"/>
      <c r="H244" s="107"/>
      <c r="I244" s="107"/>
      <c r="J244" s="107"/>
      <c r="K244" s="15" t="s">
        <v>139</v>
      </c>
      <c r="L244" s="43">
        <v>2006</v>
      </c>
      <c r="M244" s="44">
        <f>'[2]EDB Database'!$K612/1000</f>
        <v>58.731999999999999</v>
      </c>
      <c r="N244" s="44">
        <f>N245*M244/M245</f>
        <v>59.484828891544481</v>
      </c>
      <c r="P244" s="21"/>
    </row>
    <row r="245" spans="1:16">
      <c r="B245" s="15">
        <v>2007</v>
      </c>
      <c r="C245" s="15">
        <v>204</v>
      </c>
      <c r="D245" s="43"/>
      <c r="F245" s="43"/>
      <c r="G245" s="43"/>
      <c r="H245" s="107"/>
      <c r="I245" s="107"/>
      <c r="J245" s="107"/>
      <c r="K245" s="15" t="s">
        <v>139</v>
      </c>
      <c r="L245" s="43">
        <v>2007</v>
      </c>
      <c r="M245" s="44">
        <f>'[2]EDB Database'!$K613/1000</f>
        <v>58.142000000000003</v>
      </c>
      <c r="N245" s="44">
        <f>N246*M245/M246</f>
        <v>58.887266250292505</v>
      </c>
      <c r="P245" s="21"/>
    </row>
    <row r="246" spans="1:16">
      <c r="B246" s="15">
        <v>2008</v>
      </c>
      <c r="C246" s="15">
        <v>205</v>
      </c>
      <c r="D246" s="107">
        <v>59.647999999999996</v>
      </c>
      <c r="E246" s="43">
        <v>1.1210599999999999</v>
      </c>
      <c r="F246" s="107">
        <v>60.769059999999996</v>
      </c>
      <c r="G246" s="107">
        <v>61.548000000000002</v>
      </c>
      <c r="H246" s="107">
        <v>0</v>
      </c>
      <c r="I246" s="107">
        <v>0</v>
      </c>
      <c r="J246" s="107">
        <v>0</v>
      </c>
      <c r="K246" s="15" t="s">
        <v>139</v>
      </c>
      <c r="L246" s="43">
        <v>2008</v>
      </c>
      <c r="M246" s="44">
        <f>'[2]EDB Database'!$K614/1000</f>
        <v>60.769060000000003</v>
      </c>
      <c r="N246" s="44">
        <f>G246</f>
        <v>61.548000000000002</v>
      </c>
      <c r="P246" s="21"/>
    </row>
    <row r="247" spans="1:16">
      <c r="B247" s="15">
        <v>2009</v>
      </c>
      <c r="C247" s="15">
        <v>206</v>
      </c>
      <c r="D247" s="107">
        <v>59.491999999999997</v>
      </c>
      <c r="E247" s="15">
        <v>1.64384</v>
      </c>
      <c r="F247" s="107">
        <v>61.135839999999995</v>
      </c>
      <c r="G247" s="107">
        <v>62.595999999999997</v>
      </c>
      <c r="H247" s="107">
        <v>0</v>
      </c>
      <c r="I247" s="107">
        <v>0</v>
      </c>
      <c r="J247" s="107">
        <v>0</v>
      </c>
      <c r="K247" s="15" t="s">
        <v>139</v>
      </c>
      <c r="L247" s="43">
        <v>2009</v>
      </c>
      <c r="M247" s="44">
        <f>'[2]EDB Database'!$K615/1000</f>
        <v>61.135840000000002</v>
      </c>
      <c r="N247" s="44">
        <f>G247</f>
        <v>62.595999999999997</v>
      </c>
      <c r="P247" s="21"/>
    </row>
    <row r="248" spans="1:16">
      <c r="B248" s="15">
        <v>2010</v>
      </c>
      <c r="C248" s="15">
        <v>207</v>
      </c>
      <c r="D248" s="107">
        <v>67.13</v>
      </c>
      <c r="E248" s="15">
        <v>0.25650000000000001</v>
      </c>
      <c r="F248" s="107">
        <v>67.386499999999998</v>
      </c>
      <c r="G248" s="107">
        <v>76.284000000000006</v>
      </c>
      <c r="H248" s="107">
        <v>0</v>
      </c>
      <c r="I248" s="107">
        <v>0</v>
      </c>
      <c r="J248" s="107">
        <v>0</v>
      </c>
      <c r="K248" s="15" t="s">
        <v>139</v>
      </c>
      <c r="L248" s="43">
        <v>2010</v>
      </c>
      <c r="M248" s="44">
        <f>'[2]EDB Database'!$K616/1000</f>
        <v>67.386499999999998</v>
      </c>
      <c r="N248" s="44">
        <f>G248</f>
        <v>76.284000000000006</v>
      </c>
      <c r="P248" s="21"/>
    </row>
    <row r="249" spans="1:16">
      <c r="B249" s="15">
        <v>2011</v>
      </c>
      <c r="C249" s="15">
        <v>208</v>
      </c>
      <c r="D249" s="107">
        <v>71.658000000000001</v>
      </c>
      <c r="E249" s="15">
        <v>7.7800000000000005E-3</v>
      </c>
      <c r="F249" s="107">
        <v>71.665779999999998</v>
      </c>
      <c r="G249" s="107">
        <v>72.451999999999998</v>
      </c>
      <c r="H249" s="107">
        <v>0</v>
      </c>
      <c r="I249" s="107">
        <v>0</v>
      </c>
      <c r="J249" s="107">
        <v>0</v>
      </c>
      <c r="K249" s="15" t="s">
        <v>139</v>
      </c>
      <c r="L249" s="43">
        <v>2011</v>
      </c>
      <c r="M249" s="44">
        <f>'[2]EDB Database'!$K617/1000</f>
        <v>71.665779999999998</v>
      </c>
      <c r="N249" s="44">
        <f>G249</f>
        <v>72.451999999999998</v>
      </c>
      <c r="P249" s="21"/>
    </row>
    <row r="250" spans="1:16">
      <c r="B250" s="15">
        <v>2012</v>
      </c>
      <c r="C250" s="15">
        <v>209</v>
      </c>
      <c r="D250" s="107">
        <v>69.912000000000006</v>
      </c>
      <c r="E250" s="43">
        <v>0</v>
      </c>
      <c r="F250" s="107">
        <v>69.912000000000006</v>
      </c>
      <c r="G250" s="107">
        <v>70.16</v>
      </c>
      <c r="H250" s="107">
        <v>0</v>
      </c>
      <c r="I250" s="107">
        <v>0</v>
      </c>
      <c r="J250" s="107">
        <v>0</v>
      </c>
      <c r="K250" s="15" t="s">
        <v>139</v>
      </c>
      <c r="L250" s="43">
        <v>2012</v>
      </c>
      <c r="M250" s="44">
        <f>'[2]EDB Database'!$K618/1000</f>
        <v>69.912000000000006</v>
      </c>
      <c r="N250" s="44">
        <f>G250</f>
        <v>70.16</v>
      </c>
      <c r="P250" s="21"/>
    </row>
    <row r="251" spans="1:16">
      <c r="B251" s="15">
        <v>2013</v>
      </c>
      <c r="C251" s="15">
        <v>210</v>
      </c>
      <c r="D251" s="43"/>
      <c r="F251" s="43"/>
      <c r="G251" s="43"/>
      <c r="H251" s="107"/>
      <c r="I251" s="107"/>
      <c r="J251" s="107"/>
      <c r="K251" s="15" t="s">
        <v>139</v>
      </c>
      <c r="L251" s="43">
        <v>2013</v>
      </c>
      <c r="M251" s="44">
        <f>[26]Sheet1!$M98</f>
        <v>68.164000000000001</v>
      </c>
      <c r="N251" s="44">
        <f t="shared" ref="N251:N258" si="31">N250*M251/M250</f>
        <v>68.405799290536663</v>
      </c>
      <c r="P251" s="21"/>
    </row>
    <row r="252" spans="1:16">
      <c r="B252" s="15">
        <v>2014</v>
      </c>
      <c r="D252" s="43"/>
      <c r="F252" s="43"/>
      <c r="G252" s="43"/>
      <c r="H252" s="107"/>
      <c r="I252" s="107"/>
      <c r="J252" s="107"/>
      <c r="K252" s="15" t="s">
        <v>139</v>
      </c>
      <c r="L252" s="43">
        <v>2014</v>
      </c>
      <c r="M252" s="44">
        <f>[26]Sheet1!$M99</f>
        <v>68.184020000000004</v>
      </c>
      <c r="N252" s="44">
        <f t="shared" si="31"/>
        <v>68.425890307815521</v>
      </c>
      <c r="P252" s="21"/>
    </row>
    <row r="253" spans="1:16">
      <c r="B253" s="15">
        <v>2015</v>
      </c>
      <c r="D253" s="43"/>
      <c r="F253" s="43"/>
      <c r="G253" s="43"/>
      <c r="H253" s="107"/>
      <c r="I253" s="107"/>
      <c r="J253" s="107"/>
      <c r="K253" s="15" t="str">
        <f t="shared" ref="K253:K258" si="32">K252</f>
        <v>Waipa Networks</v>
      </c>
      <c r="L253" s="43">
        <v>2015</v>
      </c>
      <c r="M253" s="44">
        <f>[26]Sheet1!$M100</f>
        <v>69.001339999999999</v>
      </c>
      <c r="N253" s="44">
        <f t="shared" si="31"/>
        <v>69.246109600640779</v>
      </c>
      <c r="P253" s="21"/>
    </row>
    <row r="254" spans="1:16">
      <c r="B254" s="15">
        <v>2016</v>
      </c>
      <c r="D254" s="43"/>
      <c r="F254" s="43"/>
      <c r="G254" s="43"/>
      <c r="H254" s="107"/>
      <c r="I254" s="107"/>
      <c r="J254" s="107"/>
      <c r="K254" s="15" t="str">
        <f t="shared" si="32"/>
        <v>Waipa Networks</v>
      </c>
      <c r="L254" s="43">
        <v>2016</v>
      </c>
      <c r="M254" s="44">
        <f>[26]Sheet1!$M101</f>
        <v>72.841759999999994</v>
      </c>
      <c r="N254" s="44">
        <f t="shared" si="31"/>
        <v>73.100152786359956</v>
      </c>
      <c r="P254" s="21"/>
    </row>
    <row r="255" spans="1:16">
      <c r="B255" s="15">
        <v>2017</v>
      </c>
      <c r="D255" s="43"/>
      <c r="F255" s="43"/>
      <c r="G255" s="43"/>
      <c r="H255" s="107"/>
      <c r="I255" s="107"/>
      <c r="J255" s="107"/>
      <c r="K255" s="15" t="str">
        <f t="shared" si="32"/>
        <v>Waipa Networks</v>
      </c>
      <c r="L255" s="43">
        <v>2017</v>
      </c>
      <c r="M255" s="44">
        <f>[26]Sheet1!$M102</f>
        <v>73.313999999999993</v>
      </c>
      <c r="N255" s="44">
        <f t="shared" si="31"/>
        <v>73.574067971163714</v>
      </c>
      <c r="P255" s="21"/>
    </row>
    <row r="256" spans="1:16">
      <c r="B256" s="15">
        <v>2018</v>
      </c>
      <c r="D256" s="43"/>
      <c r="F256" s="43"/>
      <c r="G256" s="43"/>
      <c r="H256" s="107"/>
      <c r="I256" s="107"/>
      <c r="J256" s="107"/>
      <c r="K256" s="15" t="str">
        <f t="shared" si="32"/>
        <v>Waipa Networks</v>
      </c>
      <c r="L256" s="43">
        <v>2018</v>
      </c>
      <c r="M256" s="44">
        <f>[26]Sheet1!$M103</f>
        <v>74.050359999999998</v>
      </c>
      <c r="N256" s="44">
        <f t="shared" si="31"/>
        <v>74.313040073234902</v>
      </c>
      <c r="P256" s="21"/>
    </row>
    <row r="257" spans="1:16">
      <c r="B257" s="15">
        <v>2019</v>
      </c>
      <c r="D257" s="43"/>
      <c r="F257" s="43"/>
      <c r="G257" s="43"/>
      <c r="H257" s="107"/>
      <c r="I257" s="107"/>
      <c r="J257" s="107"/>
      <c r="K257" s="15" t="str">
        <f t="shared" si="32"/>
        <v>Waipa Networks</v>
      </c>
      <c r="L257" s="43">
        <v>2019</v>
      </c>
      <c r="M257" s="44">
        <f>[27]Sheet1!$M$28</f>
        <v>73.994</v>
      </c>
      <c r="N257" s="44">
        <f t="shared" si="31"/>
        <v>74.256480146469826</v>
      </c>
      <c r="P257" s="21"/>
    </row>
    <row r="258" spans="1:16">
      <c r="B258" s="15">
        <v>2020</v>
      </c>
      <c r="D258" s="43"/>
      <c r="F258" s="43"/>
      <c r="G258" s="43"/>
      <c r="H258" s="107"/>
      <c r="I258" s="107"/>
      <c r="J258" s="107"/>
      <c r="K258" s="15" t="str">
        <f t="shared" si="32"/>
        <v>Waipa Networks</v>
      </c>
      <c r="L258" s="43">
        <v>2020</v>
      </c>
      <c r="M258" s="44">
        <f>[28]Sheet1!$M$28</f>
        <v>71.823999999999998</v>
      </c>
      <c r="N258" s="44">
        <f t="shared" si="31"/>
        <v>72.078782469390063</v>
      </c>
      <c r="P258" s="21"/>
    </row>
    <row r="259" spans="1:16">
      <c r="A259" s="15" t="s">
        <v>140</v>
      </c>
      <c r="B259" s="15">
        <v>2006</v>
      </c>
      <c r="C259" s="15">
        <v>211</v>
      </c>
      <c r="D259" s="43"/>
      <c r="F259" s="43"/>
      <c r="G259" s="43"/>
      <c r="H259" s="107"/>
      <c r="I259" s="107"/>
      <c r="J259" s="107"/>
      <c r="K259" s="15" t="s">
        <v>140</v>
      </c>
      <c r="L259" s="43">
        <v>2006</v>
      </c>
      <c r="M259" s="44">
        <f>'[2]EDB Database'!$K635/1000</f>
        <v>223</v>
      </c>
      <c r="N259" s="44">
        <f>N260*M259/M260</f>
        <v>221.21619578189527</v>
      </c>
      <c r="P259" s="21"/>
    </row>
    <row r="260" spans="1:16">
      <c r="B260" s="15">
        <v>2007</v>
      </c>
      <c r="C260" s="15">
        <v>212</v>
      </c>
      <c r="D260" s="43"/>
      <c r="F260" s="43"/>
      <c r="G260" s="43"/>
      <c r="H260" s="107"/>
      <c r="I260" s="107"/>
      <c r="J260" s="107"/>
      <c r="K260" s="15" t="s">
        <v>140</v>
      </c>
      <c r="L260" s="43">
        <v>2007</v>
      </c>
      <c r="M260" s="44">
        <f>'[2]EDB Database'!$K636/1000</f>
        <v>231</v>
      </c>
      <c r="N260" s="44">
        <f>N261*M260/M261</f>
        <v>229.152202805461</v>
      </c>
      <c r="P260" s="21"/>
    </row>
    <row r="261" spans="1:16">
      <c r="B261" s="15">
        <v>2008</v>
      </c>
      <c r="C261" s="15">
        <v>213</v>
      </c>
      <c r="D261" s="107">
        <v>217.88600000000002</v>
      </c>
      <c r="E261" s="43">
        <v>18.66621</v>
      </c>
      <c r="F261" s="107">
        <v>236.55221000000003</v>
      </c>
      <c r="G261" s="107">
        <v>234.66</v>
      </c>
      <c r="H261" s="107">
        <v>3.1300000000000001E-2</v>
      </c>
      <c r="I261" s="107">
        <v>45.66</v>
      </c>
      <c r="J261" s="107">
        <v>0</v>
      </c>
      <c r="K261" s="15" t="s">
        <v>140</v>
      </c>
      <c r="L261" s="43">
        <v>2008</v>
      </c>
      <c r="M261" s="44">
        <f>'[2]EDB Database'!$K637/1000</f>
        <v>236.55221</v>
      </c>
      <c r="N261" s="44">
        <f>G261</f>
        <v>234.66</v>
      </c>
      <c r="P261" s="21"/>
    </row>
    <row r="262" spans="1:16">
      <c r="B262" s="15">
        <v>2009</v>
      </c>
      <c r="C262" s="15">
        <v>214</v>
      </c>
      <c r="D262" s="107">
        <v>195.21</v>
      </c>
      <c r="E262" s="15">
        <v>19.057859999999998</v>
      </c>
      <c r="F262" s="107">
        <v>214.26786000000001</v>
      </c>
      <c r="G262" s="107">
        <v>252.91800000000001</v>
      </c>
      <c r="H262" s="107">
        <v>3.1926000000000003E-2</v>
      </c>
      <c r="I262" s="107">
        <v>46.58</v>
      </c>
      <c r="J262" s="107">
        <v>0</v>
      </c>
      <c r="K262" s="15" t="s">
        <v>140</v>
      </c>
      <c r="L262" s="43">
        <v>2009</v>
      </c>
      <c r="M262" s="44">
        <f>'[2]EDB Database'!$K638/1000</f>
        <v>214.26786000000001</v>
      </c>
      <c r="N262" s="44">
        <f>G262</f>
        <v>252.91800000000001</v>
      </c>
      <c r="P262" s="21"/>
    </row>
    <row r="263" spans="1:16">
      <c r="B263" s="15">
        <v>2010</v>
      </c>
      <c r="C263" s="15">
        <v>215</v>
      </c>
      <c r="D263" s="107">
        <v>262.084</v>
      </c>
      <c r="E263" s="15">
        <v>1.00498</v>
      </c>
      <c r="F263" s="107">
        <v>263.08897999999999</v>
      </c>
      <c r="G263" s="107">
        <v>284.89</v>
      </c>
      <c r="H263" s="107">
        <v>3.0620000000000001E-2</v>
      </c>
      <c r="I263" s="107">
        <v>44.68</v>
      </c>
      <c r="J263" s="107">
        <v>0</v>
      </c>
      <c r="K263" s="15" t="s">
        <v>140</v>
      </c>
      <c r="L263" s="43">
        <v>2010</v>
      </c>
      <c r="M263" s="44">
        <f>'[2]EDB Database'!$K639/1000</f>
        <v>263.08897999999999</v>
      </c>
      <c r="N263" s="44">
        <f>G263</f>
        <v>284.89</v>
      </c>
      <c r="P263" s="21"/>
    </row>
    <row r="264" spans="1:16">
      <c r="B264" s="15">
        <v>2011</v>
      </c>
      <c r="C264" s="15">
        <v>216</v>
      </c>
      <c r="D264" s="107">
        <v>248.68800000000002</v>
      </c>
      <c r="E264" s="15">
        <v>0.25757999999999998</v>
      </c>
      <c r="F264" s="107">
        <v>248.94558000000001</v>
      </c>
      <c r="G264" s="107">
        <v>261.66399999999999</v>
      </c>
      <c r="H264" s="107">
        <v>0</v>
      </c>
      <c r="I264" s="107">
        <v>104.0995626</v>
      </c>
      <c r="J264" s="107">
        <v>0</v>
      </c>
      <c r="K264" s="15" t="s">
        <v>140</v>
      </c>
      <c r="L264" s="43">
        <v>2011</v>
      </c>
      <c r="M264" s="44">
        <f>'[2]EDB Database'!$K640/1000</f>
        <v>248.94558000000001</v>
      </c>
      <c r="N264" s="44">
        <f>G264</f>
        <v>261.66399999999999</v>
      </c>
      <c r="P264" s="21"/>
    </row>
    <row r="265" spans="1:16">
      <c r="B265" s="15">
        <v>2012</v>
      </c>
      <c r="C265" s="15">
        <v>217</v>
      </c>
      <c r="D265" s="107">
        <v>247.22111999999998</v>
      </c>
      <c r="E265" s="43">
        <v>3.9055</v>
      </c>
      <c r="F265" s="107">
        <v>251.12661999999997</v>
      </c>
      <c r="G265" s="107">
        <v>272.53426000000002</v>
      </c>
      <c r="H265" s="107">
        <v>0</v>
      </c>
      <c r="I265" s="107">
        <v>113.173</v>
      </c>
      <c r="J265" s="107">
        <v>0</v>
      </c>
      <c r="K265" s="15" t="s">
        <v>140</v>
      </c>
      <c r="L265" s="43">
        <v>2012</v>
      </c>
      <c r="M265" s="44">
        <f>'[2]EDB Database'!$K641/1000</f>
        <v>251.12662</v>
      </c>
      <c r="N265" s="44">
        <f>G265</f>
        <v>272.53426000000002</v>
      </c>
      <c r="P265" s="21"/>
    </row>
    <row r="266" spans="1:16">
      <c r="B266" s="15">
        <v>2013</v>
      </c>
      <c r="C266" s="15">
        <v>218</v>
      </c>
      <c r="D266" s="43"/>
      <c r="F266" s="43"/>
      <c r="G266" s="43"/>
      <c r="H266" s="107"/>
      <c r="I266" s="107"/>
      <c r="J266" s="107"/>
      <c r="K266" s="15" t="s">
        <v>140</v>
      </c>
      <c r="L266" s="43">
        <v>2013</v>
      </c>
      <c r="M266" s="44">
        <f>[26]Sheet1!$M104</f>
        <v>240.34479999999999</v>
      </c>
      <c r="N266" s="44">
        <f t="shared" ref="N266:N273" si="33">N265*M266/M265</f>
        <v>260.83332867239642</v>
      </c>
      <c r="P266" s="21"/>
    </row>
    <row r="267" spans="1:16">
      <c r="B267" s="15">
        <v>2014</v>
      </c>
      <c r="D267" s="43"/>
      <c r="F267" s="43"/>
      <c r="G267" s="43"/>
      <c r="H267" s="107"/>
      <c r="I267" s="107"/>
      <c r="J267" s="107"/>
      <c r="K267" s="15" t="s">
        <v>140</v>
      </c>
      <c r="L267" s="43">
        <v>2014</v>
      </c>
      <c r="M267" s="44">
        <f>[26]Sheet1!$M105</f>
        <v>286.83693877000002</v>
      </c>
      <c r="N267" s="44">
        <f t="shared" si="33"/>
        <v>311.28875484545313</v>
      </c>
      <c r="P267" s="21"/>
    </row>
    <row r="268" spans="1:16">
      <c r="B268" s="15">
        <v>2015</v>
      </c>
      <c r="D268" s="43"/>
      <c r="F268" s="43"/>
      <c r="G268" s="43"/>
      <c r="H268" s="107"/>
      <c r="I268" s="107"/>
      <c r="J268" s="107"/>
      <c r="K268" s="15" t="str">
        <f t="shared" ref="K268:K273" si="34">K267</f>
        <v>WEL Networks</v>
      </c>
      <c r="L268" s="43">
        <v>2015</v>
      </c>
      <c r="M268" s="44">
        <f>[26]Sheet1!$M106</f>
        <v>246.413175314</v>
      </c>
      <c r="N268" s="44">
        <f t="shared" si="33"/>
        <v>267.41901112853452</v>
      </c>
      <c r="P268" s="21"/>
    </row>
    <row r="269" spans="1:16">
      <c r="B269" s="15">
        <v>2016</v>
      </c>
      <c r="D269" s="43"/>
      <c r="F269" s="43"/>
      <c r="G269" s="43"/>
      <c r="H269" s="107"/>
      <c r="I269" s="107"/>
      <c r="J269" s="107"/>
      <c r="K269" s="15" t="str">
        <f t="shared" si="34"/>
        <v>WEL Networks</v>
      </c>
      <c r="L269" s="43">
        <v>2016</v>
      </c>
      <c r="M269" s="44">
        <f>[26]Sheet1!$M107</f>
        <v>259.69249000000002</v>
      </c>
      <c r="N269" s="44">
        <f t="shared" si="33"/>
        <v>281.83033957016352</v>
      </c>
      <c r="P269" s="21"/>
    </row>
    <row r="270" spans="1:16">
      <c r="B270" s="15">
        <v>2017</v>
      </c>
      <c r="D270" s="43"/>
      <c r="F270" s="43"/>
      <c r="G270" s="43"/>
      <c r="H270" s="107"/>
      <c r="I270" s="107"/>
      <c r="J270" s="107"/>
      <c r="K270" s="15" t="str">
        <f t="shared" si="34"/>
        <v>WEL Networks</v>
      </c>
      <c r="L270" s="43">
        <v>2017</v>
      </c>
      <c r="M270" s="44">
        <f>[26]Sheet1!$M108</f>
        <v>273.088211914</v>
      </c>
      <c r="N270" s="44">
        <f t="shared" si="33"/>
        <v>296.36799853677473</v>
      </c>
      <c r="P270" s="21"/>
    </row>
    <row r="271" spans="1:16">
      <c r="B271" s="15">
        <v>2018</v>
      </c>
      <c r="D271" s="43"/>
      <c r="F271" s="43"/>
      <c r="G271" s="43"/>
      <c r="H271" s="107"/>
      <c r="I271" s="107"/>
      <c r="J271" s="107"/>
      <c r="K271" s="15" t="str">
        <f t="shared" si="34"/>
        <v>WEL Networks</v>
      </c>
      <c r="L271" s="43">
        <v>2018</v>
      </c>
      <c r="M271" s="44">
        <f>[26]Sheet1!$M109</f>
        <v>271</v>
      </c>
      <c r="N271" s="44">
        <f t="shared" si="33"/>
        <v>294.10177407715685</v>
      </c>
      <c r="P271" s="21"/>
    </row>
    <row r="272" spans="1:16">
      <c r="B272" s="15">
        <v>2019</v>
      </c>
      <c r="D272" s="43"/>
      <c r="F272" s="43"/>
      <c r="G272" s="43"/>
      <c r="H272" s="107"/>
      <c r="I272" s="107"/>
      <c r="J272" s="107"/>
      <c r="K272" s="15" t="str">
        <f t="shared" si="34"/>
        <v>WEL Networks</v>
      </c>
      <c r="L272" s="43">
        <v>2019</v>
      </c>
      <c r="M272" s="44">
        <f>[27]Sheet1!$M$27</f>
        <v>278</v>
      </c>
      <c r="N272" s="44">
        <f t="shared" si="33"/>
        <v>301.69849886881769</v>
      </c>
      <c r="P272" s="21"/>
    </row>
    <row r="273" spans="1:16">
      <c r="B273" s="15">
        <v>2020</v>
      </c>
      <c r="D273" s="43"/>
      <c r="F273" s="43"/>
      <c r="G273" s="43"/>
      <c r="H273" s="107"/>
      <c r="I273" s="107"/>
      <c r="J273" s="107"/>
      <c r="K273" s="15" t="str">
        <f t="shared" si="34"/>
        <v>WEL Networks</v>
      </c>
      <c r="L273" s="43">
        <v>2020</v>
      </c>
      <c r="M273" s="44">
        <f>[28]Sheet1!$M$27</f>
        <v>271.40499999999997</v>
      </c>
      <c r="N273" s="44">
        <f t="shared" si="33"/>
        <v>294.54129886867429</v>
      </c>
      <c r="P273" s="21"/>
    </row>
    <row r="274" spans="1:16">
      <c r="A274" s="15" t="s">
        <v>141</v>
      </c>
      <c r="B274" s="15">
        <v>2006</v>
      </c>
      <c r="D274" s="43"/>
      <c r="F274" s="43"/>
      <c r="G274" s="43"/>
      <c r="H274" s="107"/>
      <c r="I274" s="107"/>
      <c r="J274" s="107"/>
      <c r="K274" s="15" t="s">
        <v>141</v>
      </c>
      <c r="L274" s="15">
        <v>2006</v>
      </c>
      <c r="M274" s="109"/>
      <c r="P274" s="21"/>
    </row>
    <row r="275" spans="1:16">
      <c r="B275" s="15">
        <v>2007</v>
      </c>
      <c r="D275" s="43"/>
      <c r="F275" s="43"/>
      <c r="G275" s="43"/>
      <c r="H275" s="107"/>
      <c r="I275" s="107"/>
      <c r="J275" s="107"/>
      <c r="K275" s="15" t="s">
        <v>141</v>
      </c>
      <c r="L275" s="15">
        <v>2007</v>
      </c>
      <c r="M275" s="109"/>
      <c r="P275" s="21"/>
    </row>
    <row r="276" spans="1:16">
      <c r="B276" s="15">
        <v>2008</v>
      </c>
      <c r="D276" s="43"/>
      <c r="F276" s="43"/>
      <c r="G276" s="43"/>
      <c r="H276" s="107"/>
      <c r="I276" s="107"/>
      <c r="J276" s="107"/>
      <c r="K276" s="15" t="s">
        <v>141</v>
      </c>
      <c r="L276" s="15">
        <v>2008</v>
      </c>
      <c r="M276" s="109"/>
      <c r="P276" s="21"/>
    </row>
    <row r="277" spans="1:16">
      <c r="B277" s="15">
        <v>2009</v>
      </c>
      <c r="D277" s="43"/>
      <c r="F277" s="43"/>
      <c r="G277" s="43">
        <f>G292-G232</f>
        <v>52.099999999999909</v>
      </c>
      <c r="H277" s="107"/>
      <c r="I277" s="107"/>
      <c r="J277" s="107"/>
      <c r="K277" s="15" t="s">
        <v>141</v>
      </c>
      <c r="L277" s="15">
        <v>2009</v>
      </c>
      <c r="M277" s="109">
        <f>'[2]EDB Database'!$K661/1000</f>
        <v>529</v>
      </c>
      <c r="P277" s="21"/>
    </row>
    <row r="278" spans="1:16">
      <c r="B278" s="15">
        <v>2010</v>
      </c>
      <c r="D278" s="43"/>
      <c r="F278" s="43"/>
      <c r="G278" s="43">
        <f>G293-G233</f>
        <v>606.06882205611055</v>
      </c>
      <c r="H278" s="107"/>
      <c r="I278" s="107"/>
      <c r="J278" s="107"/>
      <c r="K278" s="15" t="s">
        <v>141</v>
      </c>
      <c r="L278" s="15">
        <v>2010</v>
      </c>
      <c r="M278" s="109">
        <f>'[2]EDB Database'!$K662/1000</f>
        <v>565.4</v>
      </c>
      <c r="N278" s="44">
        <f>G278</f>
        <v>606.06882205611055</v>
      </c>
      <c r="P278" s="21"/>
    </row>
    <row r="279" spans="1:16">
      <c r="B279" s="15">
        <v>2011</v>
      </c>
      <c r="D279" s="43"/>
      <c r="F279" s="43"/>
      <c r="G279" s="43">
        <f>G294-G234</f>
        <v>580</v>
      </c>
      <c r="H279" s="107"/>
      <c r="I279" s="107"/>
      <c r="J279" s="107"/>
      <c r="K279" s="15" t="s">
        <v>141</v>
      </c>
      <c r="L279" s="15">
        <v>2011</v>
      </c>
      <c r="M279" s="109">
        <f>'[2]EDB Database'!$K663/1000</f>
        <v>570.46</v>
      </c>
      <c r="N279" s="44">
        <f>G279</f>
        <v>580</v>
      </c>
    </row>
    <row r="280" spans="1:16">
      <c r="B280" s="15">
        <v>2012</v>
      </c>
      <c r="D280" s="43"/>
      <c r="F280" s="43"/>
      <c r="G280" s="43">
        <f>G295-G235</f>
        <v>622.15712731687063</v>
      </c>
      <c r="H280" s="107"/>
      <c r="I280" s="107"/>
      <c r="J280" s="107"/>
      <c r="K280" s="15" t="s">
        <v>141</v>
      </c>
      <c r="L280" s="15">
        <v>2012</v>
      </c>
      <c r="M280" s="109">
        <f>'[2]EDB Database'!$K664/1000</f>
        <v>616.29</v>
      </c>
      <c r="N280" s="44">
        <f>G280</f>
        <v>622.15712731687063</v>
      </c>
    </row>
    <row r="281" spans="1:16">
      <c r="B281" s="15">
        <v>2013</v>
      </c>
      <c r="D281" s="43"/>
      <c r="F281" s="43"/>
      <c r="G281" s="43"/>
      <c r="H281" s="107"/>
      <c r="I281" s="107"/>
      <c r="J281" s="107"/>
      <c r="K281" s="15" t="s">
        <v>141</v>
      </c>
      <c r="L281" s="15">
        <v>2013</v>
      </c>
      <c r="M281" s="109">
        <f>[26]Sheet1!$M110</f>
        <v>553.47199999999998</v>
      </c>
      <c r="N281" s="44">
        <f t="shared" ref="N281:N288" si="35">N280*M281/M280</f>
        <v>558.74109521543926</v>
      </c>
    </row>
    <row r="282" spans="1:16">
      <c r="B282" s="15">
        <v>2014</v>
      </c>
      <c r="K282" s="15" t="s">
        <v>141</v>
      </c>
      <c r="L282" s="43">
        <v>2014</v>
      </c>
      <c r="M282" s="109">
        <f>[26]Sheet1!$M111</f>
        <v>560.18999999999994</v>
      </c>
      <c r="N282" s="44">
        <f t="shared" si="35"/>
        <v>565.5230510825063</v>
      </c>
    </row>
    <row r="283" spans="1:16">
      <c r="B283" s="15">
        <v>2015</v>
      </c>
      <c r="D283" s="43"/>
      <c r="F283" s="43"/>
      <c r="G283" s="43"/>
      <c r="H283" s="107"/>
      <c r="I283" s="107"/>
      <c r="J283" s="107"/>
      <c r="K283" s="15" t="str">
        <f t="shared" ref="K283:K288" si="36">K282</f>
        <v>Wellington</v>
      </c>
      <c r="L283" s="43">
        <v>2015</v>
      </c>
      <c r="M283" s="109">
        <f>[26]Sheet1!$M112</f>
        <v>544.63148000000001</v>
      </c>
      <c r="N283" s="44">
        <f t="shared" si="35"/>
        <v>549.81641279776693</v>
      </c>
    </row>
    <row r="284" spans="1:16">
      <c r="B284" s="15">
        <v>2016</v>
      </c>
      <c r="D284" s="43"/>
      <c r="F284" s="43"/>
      <c r="G284" s="43"/>
      <c r="H284" s="107"/>
      <c r="I284" s="107"/>
      <c r="J284" s="107"/>
      <c r="K284" s="15" t="str">
        <f t="shared" si="36"/>
        <v>Wellington</v>
      </c>
      <c r="L284" s="43">
        <v>2016</v>
      </c>
      <c r="M284" s="109">
        <f>[26]Sheet1!$M113</f>
        <v>556.75513999999998</v>
      </c>
      <c r="N284" s="44">
        <f t="shared" si="35"/>
        <v>562.05549095604692</v>
      </c>
    </row>
    <row r="285" spans="1:16">
      <c r="B285" s="15">
        <v>2017</v>
      </c>
      <c r="D285" s="43"/>
      <c r="F285" s="43"/>
      <c r="G285" s="43"/>
      <c r="H285" s="107"/>
      <c r="I285" s="107"/>
      <c r="J285" s="107"/>
      <c r="K285" s="15" t="str">
        <f t="shared" si="36"/>
        <v>Wellington</v>
      </c>
      <c r="L285" s="43">
        <v>2017</v>
      </c>
      <c r="M285" s="109">
        <f>[26]Sheet1!$M114</f>
        <v>521.976</v>
      </c>
      <c r="N285" s="44">
        <f t="shared" si="35"/>
        <v>526.94525091815683</v>
      </c>
    </row>
    <row r="286" spans="1:16">
      <c r="B286" s="15">
        <v>2018</v>
      </c>
      <c r="D286" s="43"/>
      <c r="F286" s="43"/>
      <c r="G286" s="43"/>
      <c r="H286" s="107"/>
      <c r="I286" s="107"/>
      <c r="J286" s="107"/>
      <c r="K286" s="15" t="str">
        <f t="shared" si="36"/>
        <v>Wellington</v>
      </c>
      <c r="L286" s="43">
        <v>2018</v>
      </c>
      <c r="M286" s="109">
        <f>[26]Sheet1!$M115</f>
        <v>522</v>
      </c>
      <c r="N286" s="44">
        <f t="shared" si="35"/>
        <v>526.96947939996835</v>
      </c>
    </row>
    <row r="287" spans="1:16">
      <c r="B287" s="15">
        <v>2019</v>
      </c>
      <c r="D287" s="43"/>
      <c r="F287" s="43"/>
      <c r="G287" s="43"/>
      <c r="H287" s="107"/>
      <c r="I287" s="107"/>
      <c r="J287" s="107"/>
      <c r="K287" s="15" t="str">
        <f t="shared" si="36"/>
        <v>Wellington</v>
      </c>
      <c r="L287" s="43">
        <v>2019</v>
      </c>
      <c r="M287" s="109">
        <f>[27]Sheet1!$M$29</f>
        <v>545.27</v>
      </c>
      <c r="N287" s="44">
        <f t="shared" si="35"/>
        <v>550.46101155636154</v>
      </c>
    </row>
    <row r="288" spans="1:16">
      <c r="B288" s="15">
        <v>2020</v>
      </c>
      <c r="D288" s="43"/>
      <c r="F288" s="43"/>
      <c r="G288" s="43"/>
      <c r="H288" s="107"/>
      <c r="I288" s="107"/>
      <c r="J288" s="107"/>
      <c r="K288" s="15" t="str">
        <f t="shared" si="36"/>
        <v>Wellington</v>
      </c>
      <c r="L288" s="43">
        <v>2020</v>
      </c>
      <c r="M288" s="138">
        <v>521</v>
      </c>
      <c r="N288" s="44">
        <f t="shared" si="35"/>
        <v>525.95995932448943</v>
      </c>
    </row>
    <row r="289" spans="1:14">
      <c r="A289" s="15" t="s">
        <v>372</v>
      </c>
      <c r="B289" s="15">
        <v>2006</v>
      </c>
      <c r="C289" s="15">
        <v>195</v>
      </c>
      <c r="D289" s="43"/>
      <c r="F289" s="43"/>
      <c r="G289" s="43"/>
      <c r="H289" s="107"/>
      <c r="I289" s="107"/>
      <c r="J289" s="107"/>
      <c r="K289" s="15" t="s">
        <v>372</v>
      </c>
      <c r="L289" s="43">
        <v>2006</v>
      </c>
      <c r="M289" s="44">
        <f t="shared" ref="M289:M303" si="37">M229+M274</f>
        <v>2088.8620000000001</v>
      </c>
      <c r="N289" s="44">
        <f>N290*M289/M290</f>
        <v>2187.9855419937344</v>
      </c>
    </row>
    <row r="290" spans="1:14">
      <c r="B290" s="15">
        <v>2007</v>
      </c>
      <c r="C290" s="15">
        <v>196</v>
      </c>
      <c r="D290" s="43"/>
      <c r="F290" s="43"/>
      <c r="G290" s="43"/>
      <c r="H290" s="107"/>
      <c r="I290" s="107"/>
      <c r="J290" s="107"/>
      <c r="K290" s="15" t="s">
        <v>372</v>
      </c>
      <c r="L290" s="43">
        <v>2007</v>
      </c>
      <c r="M290" s="44">
        <f t="shared" si="37"/>
        <v>2241.8000000000002</v>
      </c>
      <c r="N290" s="44">
        <f>N291*M290/M291</f>
        <v>2348.1809655408324</v>
      </c>
    </row>
    <row r="291" spans="1:14">
      <c r="B291" s="15">
        <v>2008</v>
      </c>
      <c r="C291" s="15">
        <v>197</v>
      </c>
      <c r="D291" s="107">
        <v>2031.3</v>
      </c>
      <c r="E291" s="107">
        <v>190.46</v>
      </c>
      <c r="F291" s="107">
        <v>2221.7599999999998</v>
      </c>
      <c r="G291" s="107">
        <v>2327.19</v>
      </c>
      <c r="H291" s="107">
        <v>81.16</v>
      </c>
      <c r="I291" s="107">
        <v>179.08</v>
      </c>
      <c r="J291" s="107">
        <v>0</v>
      </c>
      <c r="K291" s="15" t="s">
        <v>372</v>
      </c>
      <c r="L291" s="43">
        <v>2008</v>
      </c>
      <c r="M291" s="44">
        <f t="shared" si="37"/>
        <v>2221.7600000000002</v>
      </c>
      <c r="N291" s="44">
        <f>G291</f>
        <v>2327.19</v>
      </c>
    </row>
    <row r="292" spans="1:14">
      <c r="B292" s="15">
        <v>2009</v>
      </c>
      <c r="C292" s="15">
        <v>198</v>
      </c>
      <c r="D292" s="107">
        <v>2050.9</v>
      </c>
      <c r="E292" s="107">
        <v>189.1</v>
      </c>
      <c r="F292" s="107">
        <v>2240</v>
      </c>
      <c r="G292" s="107">
        <v>2376.1</v>
      </c>
      <c r="H292" s="107">
        <v>78</v>
      </c>
      <c r="I292" s="107">
        <v>178</v>
      </c>
      <c r="J292" s="107">
        <v>0</v>
      </c>
      <c r="K292" s="15" t="s">
        <v>372</v>
      </c>
      <c r="L292" s="43">
        <v>2009</v>
      </c>
      <c r="M292" s="44">
        <f t="shared" si="37"/>
        <v>2240</v>
      </c>
      <c r="N292" s="44">
        <f>G292</f>
        <v>2376.1</v>
      </c>
    </row>
    <row r="293" spans="1:14">
      <c r="B293" s="15">
        <v>2010</v>
      </c>
      <c r="C293" s="15">
        <v>199</v>
      </c>
      <c r="D293" s="107">
        <v>2153.3235672207434</v>
      </c>
      <c r="E293" s="107">
        <v>187.18</v>
      </c>
      <c r="F293" s="107">
        <v>2340.5035672207432</v>
      </c>
      <c r="G293" s="107">
        <v>2460.0688220561105</v>
      </c>
      <c r="H293" s="107">
        <v>83.151726627273661</v>
      </c>
      <c r="I293" s="107">
        <v>175.2</v>
      </c>
      <c r="J293" s="107">
        <v>0</v>
      </c>
      <c r="K293" s="15" t="s">
        <v>372</v>
      </c>
      <c r="L293" s="43">
        <v>2010</v>
      </c>
      <c r="M293" s="44">
        <f t="shared" si="37"/>
        <v>2340.50356722074</v>
      </c>
      <c r="N293" s="44">
        <f>G293</f>
        <v>2460.0688220561105</v>
      </c>
    </row>
    <row r="294" spans="1:14">
      <c r="B294" s="15">
        <v>2011</v>
      </c>
      <c r="C294" s="15">
        <v>200</v>
      </c>
      <c r="D294" s="107">
        <v>2278.04</v>
      </c>
      <c r="E294" s="107">
        <v>14.42</v>
      </c>
      <c r="F294" s="107">
        <v>2292.46</v>
      </c>
      <c r="G294" s="107">
        <v>2476</v>
      </c>
      <c r="H294" s="107">
        <v>86</v>
      </c>
      <c r="I294" s="107">
        <v>0</v>
      </c>
      <c r="J294" s="107">
        <v>0</v>
      </c>
      <c r="K294" s="15" t="s">
        <v>372</v>
      </c>
      <c r="L294" s="43">
        <v>2011</v>
      </c>
      <c r="M294" s="44">
        <f t="shared" si="37"/>
        <v>2292.46</v>
      </c>
      <c r="N294" s="44">
        <f>G294</f>
        <v>2476</v>
      </c>
    </row>
    <row r="295" spans="1:14">
      <c r="B295" s="15">
        <v>2012</v>
      </c>
      <c r="C295" s="15">
        <v>201</v>
      </c>
      <c r="D295" s="107">
        <v>2541.2719999999999</v>
      </c>
      <c r="E295" s="107">
        <v>15.972</v>
      </c>
      <c r="F295" s="107">
        <v>2557.2439999999997</v>
      </c>
      <c r="G295" s="107">
        <v>2695.1571273168706</v>
      </c>
      <c r="H295" s="107">
        <v>79</v>
      </c>
      <c r="I295" s="107">
        <v>0</v>
      </c>
      <c r="J295" s="107">
        <v>0</v>
      </c>
      <c r="K295" s="15" t="s">
        <v>372</v>
      </c>
      <c r="L295" s="43">
        <v>2012</v>
      </c>
      <c r="M295" s="44">
        <f t="shared" si="37"/>
        <v>2557.2439999999997</v>
      </c>
      <c r="N295" s="44">
        <f>G295</f>
        <v>2695.1571273168706</v>
      </c>
    </row>
    <row r="296" spans="1:14">
      <c r="B296" s="15">
        <v>2013</v>
      </c>
      <c r="C296" s="15">
        <v>202</v>
      </c>
      <c r="D296" s="43"/>
      <c r="F296" s="43"/>
      <c r="G296" s="43"/>
      <c r="H296" s="107"/>
      <c r="I296" s="107"/>
      <c r="J296" s="107"/>
      <c r="K296" s="15" t="s">
        <v>372</v>
      </c>
      <c r="L296" s="43">
        <v>2013</v>
      </c>
      <c r="M296" s="44">
        <f t="shared" si="37"/>
        <v>2264.4719999999998</v>
      </c>
      <c r="N296" s="44">
        <f t="shared" ref="N296:N303" si="38">N295*M296/M295</f>
        <v>2386.595823632586</v>
      </c>
    </row>
    <row r="297" spans="1:14">
      <c r="B297" s="15">
        <v>2014</v>
      </c>
      <c r="D297" s="43"/>
      <c r="F297" s="43"/>
      <c r="G297" s="43"/>
      <c r="H297" s="107"/>
      <c r="I297" s="107"/>
      <c r="J297" s="107"/>
      <c r="K297" s="15" t="s">
        <v>372</v>
      </c>
      <c r="L297" s="43">
        <v>2014</v>
      </c>
      <c r="M297" s="44">
        <f t="shared" si="37"/>
        <v>2306.19</v>
      </c>
      <c r="N297" s="44">
        <f t="shared" si="38"/>
        <v>2430.5636910075436</v>
      </c>
    </row>
    <row r="298" spans="1:14">
      <c r="B298" s="15">
        <v>2015</v>
      </c>
      <c r="D298" s="43"/>
      <c r="F298" s="43"/>
      <c r="G298" s="43"/>
      <c r="H298" s="107"/>
      <c r="I298" s="107"/>
      <c r="J298" s="107"/>
      <c r="K298" s="15" t="s">
        <v>372</v>
      </c>
      <c r="L298" s="43">
        <v>2015</v>
      </c>
      <c r="M298" s="44">
        <f t="shared" si="37"/>
        <v>2276.3314799999998</v>
      </c>
      <c r="N298" s="44">
        <f t="shared" si="38"/>
        <v>2399.0948898336496</v>
      </c>
    </row>
    <row r="299" spans="1:14">
      <c r="B299" s="15">
        <v>2016</v>
      </c>
      <c r="D299" s="43"/>
      <c r="F299" s="43"/>
      <c r="G299" s="43"/>
      <c r="H299" s="107"/>
      <c r="I299" s="107"/>
      <c r="J299" s="107"/>
      <c r="K299" s="15" t="s">
        <v>372</v>
      </c>
      <c r="L299" s="43">
        <v>2016</v>
      </c>
      <c r="M299" s="44">
        <f t="shared" si="37"/>
        <v>2311.5171399999999</v>
      </c>
      <c r="N299" s="44">
        <f t="shared" si="38"/>
        <v>2436.1781256642344</v>
      </c>
    </row>
    <row r="300" spans="1:14">
      <c r="B300" s="15">
        <v>2017</v>
      </c>
      <c r="D300" s="43"/>
      <c r="F300" s="43"/>
      <c r="G300" s="43"/>
      <c r="H300" s="107"/>
      <c r="I300" s="107"/>
      <c r="J300" s="107"/>
      <c r="K300" s="15" t="s">
        <v>372</v>
      </c>
      <c r="L300" s="43">
        <v>2017</v>
      </c>
      <c r="M300" s="44">
        <f t="shared" si="37"/>
        <v>2219.556</v>
      </c>
      <c r="N300" s="44">
        <f t="shared" si="38"/>
        <v>2339.2574869190917</v>
      </c>
    </row>
    <row r="301" spans="1:14">
      <c r="B301" s="15">
        <v>2018</v>
      </c>
      <c r="D301" s="43"/>
      <c r="F301" s="43"/>
      <c r="G301" s="43"/>
      <c r="H301" s="107"/>
      <c r="I301" s="107"/>
      <c r="J301" s="107"/>
      <c r="K301" s="15" t="s">
        <v>372</v>
      </c>
      <c r="L301" s="43">
        <v>2018</v>
      </c>
      <c r="M301" s="44">
        <f t="shared" si="37"/>
        <v>2290.1459999999997</v>
      </c>
      <c r="N301" s="44">
        <f t="shared" si="38"/>
        <v>2413.6544320746175</v>
      </c>
    </row>
    <row r="302" spans="1:14">
      <c r="B302" s="15">
        <v>2019</v>
      </c>
      <c r="K302" s="15" t="s">
        <v>372</v>
      </c>
      <c r="L302" s="43">
        <v>2019</v>
      </c>
      <c r="M302" s="44">
        <f t="shared" si="37"/>
        <v>2365.9499999999998</v>
      </c>
      <c r="N302" s="44">
        <f t="shared" si="38"/>
        <v>2493.546570204232</v>
      </c>
    </row>
    <row r="303" spans="1:14">
      <c r="B303" s="15">
        <v>2020</v>
      </c>
      <c r="K303" s="15" t="s">
        <v>372</v>
      </c>
      <c r="L303" s="43">
        <v>2020</v>
      </c>
      <c r="M303" s="44">
        <f t="shared" si="37"/>
        <v>2266</v>
      </c>
      <c r="N303" s="44">
        <f t="shared" si="38"/>
        <v>2388.206229245246</v>
      </c>
    </row>
  </sheetData>
  <autoFilter ref="A3:U277" xr:uid="{00000000-0009-0000-0000-000003000000}"/>
  <phoneticPr fontId="10"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48"/>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8.83203125" defaultRowHeight="15"/>
  <cols>
    <col min="1" max="1" width="7.1640625" customWidth="1"/>
    <col min="2" max="2" width="35.5" bestFit="1" customWidth="1"/>
    <col min="3" max="3" width="22" customWidth="1"/>
  </cols>
  <sheetData>
    <row r="1" spans="1:3" ht="28" customHeight="1">
      <c r="A1" s="148" t="s">
        <v>142</v>
      </c>
      <c r="B1" s="148"/>
      <c r="C1" s="148"/>
    </row>
    <row r="2" spans="1:3">
      <c r="A2" s="149"/>
      <c r="B2" s="150" t="s">
        <v>143</v>
      </c>
      <c r="C2" s="150"/>
    </row>
    <row r="3" spans="1:3" ht="28">
      <c r="A3" s="149"/>
      <c r="B3" s="23" t="s">
        <v>144</v>
      </c>
      <c r="C3" s="23" t="s">
        <v>145</v>
      </c>
    </row>
    <row r="4" spans="1:3" ht="15" customHeight="1">
      <c r="A4" s="24" t="s">
        <v>146</v>
      </c>
      <c r="B4" t="s">
        <v>147</v>
      </c>
      <c r="C4" s="25">
        <v>717.80578100000002</v>
      </c>
    </row>
    <row r="5" spans="1:3" ht="15" customHeight="1">
      <c r="A5" s="24" t="s">
        <v>148</v>
      </c>
      <c r="B5" t="s">
        <v>147</v>
      </c>
      <c r="C5">
        <v>719.904628</v>
      </c>
    </row>
    <row r="6" spans="1:3" ht="15" customHeight="1">
      <c r="A6" s="24" t="s">
        <v>149</v>
      </c>
      <c r="B6" t="s">
        <v>147</v>
      </c>
      <c r="C6">
        <v>724.10232299999996</v>
      </c>
    </row>
    <row r="7" spans="1:3" ht="15" customHeight="1">
      <c r="A7" s="24" t="s">
        <v>150</v>
      </c>
      <c r="B7" t="s">
        <v>147</v>
      </c>
      <c r="C7">
        <v>728.30001800000002</v>
      </c>
    </row>
    <row r="8" spans="1:3" ht="15" customHeight="1">
      <c r="A8" s="24" t="s">
        <v>151</v>
      </c>
      <c r="B8" t="s">
        <v>147</v>
      </c>
      <c r="C8">
        <v>731.79809599999999</v>
      </c>
    </row>
    <row r="9" spans="1:3" ht="15" customHeight="1">
      <c r="A9" s="24" t="s">
        <v>152</v>
      </c>
      <c r="B9" t="s">
        <v>147</v>
      </c>
      <c r="C9">
        <v>733.89694399999996</v>
      </c>
    </row>
    <row r="10" spans="1:3" ht="15" customHeight="1">
      <c r="A10" s="24" t="s">
        <v>153</v>
      </c>
      <c r="B10" t="s">
        <v>147</v>
      </c>
      <c r="C10">
        <v>738.09463800000003</v>
      </c>
    </row>
    <row r="11" spans="1:3" ht="15" customHeight="1">
      <c r="A11" s="24" t="s">
        <v>154</v>
      </c>
      <c r="B11" t="s">
        <v>147</v>
      </c>
      <c r="C11">
        <v>742.99194899999998</v>
      </c>
    </row>
    <row r="12" spans="1:3" ht="15" customHeight="1">
      <c r="A12" s="24" t="s">
        <v>155</v>
      </c>
      <c r="B12" t="s">
        <v>147</v>
      </c>
      <c r="C12">
        <v>747.88925900000004</v>
      </c>
    </row>
    <row r="13" spans="1:3" ht="15" customHeight="1">
      <c r="A13" s="24" t="s">
        <v>156</v>
      </c>
      <c r="B13" t="s">
        <v>147</v>
      </c>
      <c r="C13">
        <v>752.08695399999999</v>
      </c>
    </row>
    <row r="14" spans="1:3" ht="15" customHeight="1">
      <c r="A14" s="24" t="s">
        <v>157</v>
      </c>
      <c r="B14" t="s">
        <v>147</v>
      </c>
      <c r="C14">
        <v>755.58503299999995</v>
      </c>
    </row>
    <row r="15" spans="1:3" ht="15" customHeight="1">
      <c r="A15" s="24" t="s">
        <v>158</v>
      </c>
      <c r="B15" t="s">
        <v>147</v>
      </c>
      <c r="C15">
        <v>759.08311200000003</v>
      </c>
    </row>
    <row r="16" spans="1:3" ht="15" customHeight="1">
      <c r="A16" s="24" t="s">
        <v>159</v>
      </c>
      <c r="B16" t="s">
        <v>147</v>
      </c>
      <c r="C16">
        <v>761.881575</v>
      </c>
    </row>
    <row r="17" spans="1:3" ht="15" customHeight="1">
      <c r="A17" s="24" t="s">
        <v>160</v>
      </c>
      <c r="B17" t="s">
        <v>147</v>
      </c>
      <c r="C17">
        <v>766.77888499999995</v>
      </c>
    </row>
    <row r="18" spans="1:3" ht="15" customHeight="1">
      <c r="A18" s="24" t="s">
        <v>161</v>
      </c>
      <c r="B18" t="s">
        <v>147</v>
      </c>
      <c r="C18">
        <v>769.57734800000003</v>
      </c>
    </row>
    <row r="19" spans="1:3" ht="15" customHeight="1">
      <c r="A19" s="24" t="s">
        <v>162</v>
      </c>
      <c r="B19" t="s">
        <v>147</v>
      </c>
      <c r="C19">
        <v>772.375811</v>
      </c>
    </row>
    <row r="20" spans="1:3" ht="15" customHeight="1">
      <c r="A20" s="24" t="s">
        <v>163</v>
      </c>
      <c r="B20" t="s">
        <v>147</v>
      </c>
      <c r="C20">
        <v>775.17427399999997</v>
      </c>
    </row>
    <row r="21" spans="1:3" ht="15" customHeight="1">
      <c r="A21" s="24" t="s">
        <v>164</v>
      </c>
      <c r="B21" t="s">
        <v>147</v>
      </c>
      <c r="C21">
        <v>777.27312199999994</v>
      </c>
    </row>
    <row r="22" spans="1:3" ht="15" customHeight="1">
      <c r="A22" s="24" t="s">
        <v>165</v>
      </c>
      <c r="B22" t="s">
        <v>147</v>
      </c>
      <c r="C22">
        <v>780.77120000000002</v>
      </c>
    </row>
    <row r="23" spans="1:3" ht="15" customHeight="1">
      <c r="A23" s="24" t="s">
        <v>166</v>
      </c>
      <c r="B23" t="s">
        <v>147</v>
      </c>
      <c r="C23">
        <v>783.56966399999999</v>
      </c>
    </row>
    <row r="24" spans="1:3" ht="15" customHeight="1">
      <c r="A24" s="24" t="s">
        <v>167</v>
      </c>
      <c r="B24" t="s">
        <v>147</v>
      </c>
      <c r="C24">
        <v>786.36812699999996</v>
      </c>
    </row>
    <row r="25" spans="1:3" ht="15" customHeight="1">
      <c r="A25" s="24" t="s">
        <v>168</v>
      </c>
      <c r="B25" t="s">
        <v>147</v>
      </c>
      <c r="C25">
        <v>789.86620500000004</v>
      </c>
    </row>
    <row r="26" spans="1:3" ht="15" customHeight="1">
      <c r="A26" s="24" t="s">
        <v>169</v>
      </c>
      <c r="B26" t="s">
        <v>147</v>
      </c>
      <c r="C26">
        <v>792.664669</v>
      </c>
    </row>
    <row r="27" spans="1:3" ht="15" customHeight="1">
      <c r="A27" s="24" t="s">
        <v>170</v>
      </c>
      <c r="B27" t="s">
        <v>147</v>
      </c>
      <c r="C27">
        <v>796.16274699999997</v>
      </c>
    </row>
    <row r="28" spans="1:3" ht="15" customHeight="1">
      <c r="A28" s="24" t="s">
        <v>171</v>
      </c>
      <c r="B28" t="s">
        <v>147</v>
      </c>
      <c r="C28">
        <v>800.36044200000003</v>
      </c>
    </row>
    <row r="29" spans="1:3" ht="15" customHeight="1">
      <c r="A29" s="24" t="s">
        <v>172</v>
      </c>
      <c r="B29" t="s">
        <v>147</v>
      </c>
      <c r="C29">
        <v>803.858521</v>
      </c>
    </row>
    <row r="30" spans="1:3" ht="15" customHeight="1">
      <c r="A30" s="24" t="s">
        <v>173</v>
      </c>
      <c r="B30" t="s">
        <v>147</v>
      </c>
      <c r="C30">
        <v>808.75583099999994</v>
      </c>
    </row>
    <row r="31" spans="1:3" ht="15" customHeight="1">
      <c r="A31" s="24" t="s">
        <v>174</v>
      </c>
      <c r="B31" t="s">
        <v>147</v>
      </c>
      <c r="C31">
        <v>812.95352600000001</v>
      </c>
    </row>
    <row r="32" spans="1:3" ht="15" customHeight="1">
      <c r="A32" s="24" t="s">
        <v>175</v>
      </c>
      <c r="B32" t="s">
        <v>147</v>
      </c>
      <c r="C32">
        <v>816.72025699999995</v>
      </c>
    </row>
    <row r="33" spans="1:13" ht="15" customHeight="1">
      <c r="A33" s="24" t="s">
        <v>176</v>
      </c>
      <c r="B33" t="s">
        <v>147</v>
      </c>
      <c r="C33">
        <v>820.73955000000001</v>
      </c>
    </row>
    <row r="34" spans="1:13" ht="15" customHeight="1">
      <c r="A34" s="24" t="s">
        <v>177</v>
      </c>
      <c r="B34" t="s">
        <v>147</v>
      </c>
      <c r="C34">
        <v>826.36655900000005</v>
      </c>
    </row>
    <row r="35" spans="1:13" ht="15" customHeight="1">
      <c r="A35" s="24" t="s">
        <v>178</v>
      </c>
      <c r="B35" t="s">
        <v>147</v>
      </c>
      <c r="C35">
        <v>830.385852</v>
      </c>
    </row>
    <row r="36" spans="1:13" ht="15" customHeight="1">
      <c r="A36" s="24" t="s">
        <v>179</v>
      </c>
      <c r="B36" t="s">
        <v>147</v>
      </c>
      <c r="C36">
        <v>835.20900300000005</v>
      </c>
    </row>
    <row r="37" spans="1:13" ht="15" customHeight="1">
      <c r="A37" s="24" t="s">
        <v>180</v>
      </c>
      <c r="B37" t="s">
        <v>147</v>
      </c>
      <c r="C37">
        <v>839.228296</v>
      </c>
    </row>
    <row r="38" spans="1:13" ht="15" customHeight="1">
      <c r="A38" s="24" t="s">
        <v>181</v>
      </c>
      <c r="B38" t="s">
        <v>147</v>
      </c>
      <c r="C38">
        <v>845.65916400000003</v>
      </c>
    </row>
    <row r="39" spans="1:13" ht="15" customHeight="1">
      <c r="A39" s="24" t="s">
        <v>182</v>
      </c>
      <c r="B39" t="s">
        <v>147</v>
      </c>
      <c r="C39">
        <v>850.48231499999997</v>
      </c>
    </row>
    <row r="40" spans="1:13" ht="15" customHeight="1">
      <c r="A40" s="24" t="s">
        <v>183</v>
      </c>
      <c r="B40" t="s">
        <v>147</v>
      </c>
      <c r="C40">
        <v>853.69774900000004</v>
      </c>
    </row>
    <row r="41" spans="1:13" ht="15" customHeight="1">
      <c r="A41" s="24" t="s">
        <v>184</v>
      </c>
      <c r="B41" t="s">
        <v>147</v>
      </c>
      <c r="C41">
        <v>858.52089999999998</v>
      </c>
      <c r="I41" s="26" t="s">
        <v>185</v>
      </c>
      <c r="L41" s="26" t="s">
        <v>186</v>
      </c>
    </row>
    <row r="42" spans="1:13" ht="15" customHeight="1">
      <c r="A42" s="24" t="s">
        <v>187</v>
      </c>
      <c r="B42" t="s">
        <v>147</v>
      </c>
      <c r="C42">
        <v>864.14791000000002</v>
      </c>
      <c r="I42" s="26" t="s">
        <v>188</v>
      </c>
      <c r="L42" s="26" t="s">
        <v>188</v>
      </c>
    </row>
    <row r="43" spans="1:13" ht="15" customHeight="1">
      <c r="A43" s="24" t="s">
        <v>189</v>
      </c>
      <c r="B43" t="s">
        <v>147</v>
      </c>
      <c r="C43">
        <v>871.38263700000005</v>
      </c>
      <c r="I43" s="26" t="s">
        <v>190</v>
      </c>
      <c r="J43" s="26" t="s">
        <v>191</v>
      </c>
      <c r="L43" s="26" t="s">
        <v>190</v>
      </c>
      <c r="M43" s="26" t="s">
        <v>191</v>
      </c>
    </row>
    <row r="44" spans="1:13" ht="15" customHeight="1">
      <c r="A44" s="24" t="s">
        <v>192</v>
      </c>
      <c r="B44" t="s">
        <v>147</v>
      </c>
      <c r="C44">
        <v>875.401929</v>
      </c>
      <c r="L44" s="2"/>
    </row>
    <row r="45" spans="1:13" ht="15" customHeight="1">
      <c r="A45" s="24" t="s">
        <v>193</v>
      </c>
      <c r="B45" t="s">
        <v>147</v>
      </c>
      <c r="C45">
        <v>881.83279700000003</v>
      </c>
      <c r="L45" s="2"/>
    </row>
    <row r="46" spans="1:13" ht="15" customHeight="1">
      <c r="A46" s="24" t="s">
        <v>194</v>
      </c>
      <c r="B46" t="s">
        <v>147</v>
      </c>
      <c r="C46">
        <v>890.67524100000003</v>
      </c>
      <c r="K46">
        <v>1996</v>
      </c>
      <c r="L46" s="12">
        <v>1</v>
      </c>
      <c r="M46" s="12">
        <f t="shared" ref="M46:M63" si="0">J48/J$48</f>
        <v>1</v>
      </c>
    </row>
    <row r="47" spans="1:13" ht="15" customHeight="1">
      <c r="A47" s="24" t="s">
        <v>195</v>
      </c>
      <c r="B47" t="s">
        <v>147</v>
      </c>
      <c r="C47">
        <v>897.90996800000005</v>
      </c>
      <c r="K47">
        <v>1997</v>
      </c>
      <c r="L47" s="12">
        <v>1.0162523900573615</v>
      </c>
      <c r="M47" s="12">
        <f t="shared" si="0"/>
        <v>1.0202360877739112</v>
      </c>
    </row>
    <row r="48" spans="1:13" ht="15" customHeight="1">
      <c r="A48" s="24" t="s">
        <v>196</v>
      </c>
      <c r="B48" t="s">
        <v>147</v>
      </c>
      <c r="C48">
        <v>903.53697699999998</v>
      </c>
      <c r="H48">
        <v>1996</v>
      </c>
      <c r="J48">
        <f>AVERAGE(C5:C8)</f>
        <v>726.02626624999994</v>
      </c>
      <c r="K48">
        <v>1998</v>
      </c>
      <c r="L48" s="12">
        <v>1.0272466539196941</v>
      </c>
      <c r="M48" s="12">
        <f t="shared" si="0"/>
        <v>1.0428812340506697</v>
      </c>
    </row>
    <row r="49" spans="1:13" ht="15" customHeight="1">
      <c r="A49" s="24" t="s">
        <v>197</v>
      </c>
      <c r="B49" t="s">
        <v>147</v>
      </c>
      <c r="C49">
        <v>909.16398700000002</v>
      </c>
      <c r="H49">
        <v>1997</v>
      </c>
      <c r="J49">
        <f>AVERAGE(C9:C12)</f>
        <v>740.71819749999997</v>
      </c>
      <c r="K49">
        <v>1999</v>
      </c>
      <c r="L49" s="12">
        <v>1.0387189292543022</v>
      </c>
      <c r="M49" s="12">
        <f t="shared" si="0"/>
        <v>1.0619127920566469</v>
      </c>
    </row>
    <row r="50" spans="1:13" ht="15" customHeight="1">
      <c r="A50" s="24" t="s">
        <v>198</v>
      </c>
      <c r="B50" t="s">
        <v>147</v>
      </c>
      <c r="C50">
        <v>918.81028900000001</v>
      </c>
      <c r="H50">
        <v>1998</v>
      </c>
      <c r="J50">
        <f>AVERAGE(C13:C16)</f>
        <v>757.15916849999996</v>
      </c>
      <c r="K50">
        <v>2000</v>
      </c>
      <c r="L50" s="12">
        <v>1.0552103250478011</v>
      </c>
      <c r="M50" s="12">
        <f t="shared" si="0"/>
        <v>1.0770898583175055</v>
      </c>
    </row>
    <row r="51" spans="1:13" ht="15" customHeight="1">
      <c r="A51" s="24" t="s">
        <v>199</v>
      </c>
      <c r="B51" t="s">
        <v>147</v>
      </c>
      <c r="C51">
        <v>926.84887500000002</v>
      </c>
      <c r="H51">
        <v>1999</v>
      </c>
      <c r="J51">
        <f>AVERAGE(C17:C20)</f>
        <v>770.97657949999996</v>
      </c>
      <c r="K51">
        <v>2001</v>
      </c>
      <c r="L51" s="12">
        <v>1.0685946462715106</v>
      </c>
      <c r="M51" s="12">
        <f t="shared" si="0"/>
        <v>1.0946759817038507</v>
      </c>
    </row>
    <row r="52" spans="1:13" ht="15" customHeight="1">
      <c r="A52" s="24" t="s">
        <v>200</v>
      </c>
      <c r="B52" t="s">
        <v>147</v>
      </c>
      <c r="C52">
        <v>932.47588399999995</v>
      </c>
      <c r="H52">
        <v>2000</v>
      </c>
      <c r="J52">
        <f>AVERAGE(C21:C24)</f>
        <v>781.99552825000001</v>
      </c>
      <c r="K52">
        <v>2002</v>
      </c>
      <c r="L52" s="12">
        <v>1.0938502130350343</v>
      </c>
      <c r="M52" s="12">
        <f t="shared" si="0"/>
        <v>1.1164500121141452</v>
      </c>
    </row>
    <row r="53" spans="1:13" ht="15" customHeight="1">
      <c r="A53" s="24" t="s">
        <v>201</v>
      </c>
      <c r="B53" t="s">
        <v>147</v>
      </c>
      <c r="C53">
        <v>938.90675199999998</v>
      </c>
      <c r="H53">
        <v>2001</v>
      </c>
      <c r="J53">
        <f>AVERAGE(C25:C28)</f>
        <v>794.76351575000001</v>
      </c>
      <c r="K53">
        <v>2003</v>
      </c>
      <c r="L53" s="12">
        <v>1.1270833019677509</v>
      </c>
      <c r="M53" s="12">
        <f t="shared" si="0"/>
        <v>1.1406959768516503</v>
      </c>
    </row>
    <row r="54" spans="1:13" ht="15" customHeight="1">
      <c r="A54" s="24" t="s">
        <v>202</v>
      </c>
      <c r="B54" t="s">
        <v>147</v>
      </c>
      <c r="C54">
        <v>946.94533799999999</v>
      </c>
      <c r="H54">
        <v>2002</v>
      </c>
      <c r="J54">
        <f>AVERAGE(C29:C32)</f>
        <v>810.57203374999995</v>
      </c>
      <c r="K54">
        <v>2004</v>
      </c>
      <c r="L54" s="12">
        <v>1.1577849831173328</v>
      </c>
      <c r="M54" s="12">
        <f t="shared" si="0"/>
        <v>1.1669920502686773</v>
      </c>
    </row>
    <row r="55" spans="1:13" ht="15" customHeight="1">
      <c r="A55" s="24" t="s">
        <v>203</v>
      </c>
      <c r="B55" t="s">
        <v>147</v>
      </c>
      <c r="C55">
        <v>957.39549799999998</v>
      </c>
      <c r="H55">
        <v>2003</v>
      </c>
      <c r="J55">
        <f>AVERAGE(C33:C36)</f>
        <v>828.17524100000003</v>
      </c>
      <c r="K55">
        <v>2005</v>
      </c>
      <c r="L55" s="12">
        <v>1.1863487573718723</v>
      </c>
      <c r="M55" s="12">
        <f t="shared" si="0"/>
        <v>1.1946721273322805</v>
      </c>
    </row>
    <row r="56" spans="1:13" ht="15" customHeight="1">
      <c r="A56" s="24" t="s">
        <v>204</v>
      </c>
      <c r="B56" t="s">
        <v>147</v>
      </c>
      <c r="C56">
        <v>964.630225</v>
      </c>
      <c r="H56">
        <v>2004</v>
      </c>
      <c r="J56">
        <f>AVERAGE(C37:C40)</f>
        <v>847.26688100000001</v>
      </c>
      <c r="K56">
        <v>2006</v>
      </c>
      <c r="L56" s="12">
        <v>1.2236176818754141</v>
      </c>
      <c r="M56" s="12">
        <f t="shared" si="0"/>
        <v>1.2306562273083601</v>
      </c>
    </row>
    <row r="57" spans="1:13" ht="15" customHeight="1">
      <c r="A57" s="24" t="s">
        <v>205</v>
      </c>
      <c r="B57" t="s">
        <v>147</v>
      </c>
      <c r="C57">
        <v>972.66881000000001</v>
      </c>
      <c r="H57">
        <v>2005</v>
      </c>
      <c r="J57">
        <f>AVERAGE(C41:C44)</f>
        <v>867.3633440000001</v>
      </c>
      <c r="K57">
        <v>2007</v>
      </c>
      <c r="L57" s="12">
        <v>1.2714960082449278</v>
      </c>
      <c r="M57" s="12">
        <f t="shared" si="0"/>
        <v>1.2696851362021919</v>
      </c>
    </row>
    <row r="58" spans="1:13" ht="15" customHeight="1">
      <c r="A58" s="24" t="s">
        <v>206</v>
      </c>
      <c r="B58" t="s">
        <v>147</v>
      </c>
      <c r="C58">
        <v>984.72668799999997</v>
      </c>
      <c r="H58">
        <v>2006</v>
      </c>
      <c r="J58">
        <f>AVERAGE(C45:C48)</f>
        <v>893.48874574999991</v>
      </c>
      <c r="K58">
        <v>2008</v>
      </c>
      <c r="L58" s="12">
        <v>1.3351524194407582</v>
      </c>
      <c r="M58" s="12">
        <f t="shared" si="0"/>
        <v>1.3112052517975963</v>
      </c>
    </row>
    <row r="59" spans="1:13" ht="15" customHeight="1">
      <c r="A59" s="24" t="s">
        <v>207</v>
      </c>
      <c r="B59" t="s">
        <v>147</v>
      </c>
      <c r="C59">
        <v>991.157556</v>
      </c>
      <c r="H59">
        <v>2007</v>
      </c>
      <c r="J59">
        <f>AVERAGE(C49:C52)</f>
        <v>921.82475875</v>
      </c>
      <c r="K59">
        <v>2009</v>
      </c>
      <c r="L59" s="12">
        <f>L58*AVERAGE(C57:C60)/AVERAGE(C53:C56)</f>
        <v>1.38334981518317</v>
      </c>
      <c r="M59" s="12">
        <f t="shared" si="0"/>
        <v>1.358538183603905</v>
      </c>
    </row>
    <row r="60" spans="1:13" ht="15" customHeight="1">
      <c r="A60" s="24" t="s">
        <v>208</v>
      </c>
      <c r="B60" t="s">
        <v>147</v>
      </c>
      <c r="C60">
        <v>996.78456600000004</v>
      </c>
      <c r="H60">
        <v>2008</v>
      </c>
      <c r="J60">
        <f>AVERAGE(C53:C56)</f>
        <v>951.9694532499999</v>
      </c>
      <c r="K60">
        <v>2010</v>
      </c>
      <c r="L60" s="12">
        <f>L59*AVERAGE(C61:C64)/AVERAGE(C57:C60)</f>
        <v>1.4116323854503083</v>
      </c>
      <c r="M60" s="12">
        <f t="shared" si="0"/>
        <v>1.3863134803630117</v>
      </c>
    </row>
    <row r="61" spans="1:13" ht="15" customHeight="1">
      <c r="A61" s="24" t="s">
        <v>209</v>
      </c>
      <c r="B61">
        <v>1000</v>
      </c>
      <c r="C61">
        <v>1000</v>
      </c>
      <c r="H61" s="24" t="s">
        <v>210</v>
      </c>
      <c r="J61">
        <f>AVERAGE(C57:C60)</f>
        <v>986.33440500000006</v>
      </c>
      <c r="K61">
        <v>2011</v>
      </c>
      <c r="L61" s="12">
        <f t="shared" ref="L61:L70" si="1">L60*I63/I62</f>
        <v>1.4368714050064102</v>
      </c>
      <c r="M61" s="12">
        <f t="shared" si="0"/>
        <v>1.4097286111788798</v>
      </c>
    </row>
    <row r="62" spans="1:13" ht="15" customHeight="1">
      <c r="A62" s="24" t="s">
        <v>211</v>
      </c>
      <c r="B62">
        <v>1005</v>
      </c>
      <c r="C62">
        <v>1005</v>
      </c>
      <c r="H62" s="24" t="s">
        <v>212</v>
      </c>
      <c r="I62">
        <f>AVERAGE(B61:B64)</f>
        <v>1006.75</v>
      </c>
      <c r="J62">
        <f>AVERAGE(C61:C64)</f>
        <v>1006.5</v>
      </c>
      <c r="K62">
        <v>2012</v>
      </c>
      <c r="L62" s="12">
        <f t="shared" si="1"/>
        <v>1.4635125923156289</v>
      </c>
      <c r="M62" s="12">
        <f t="shared" si="0"/>
        <v>1.4376201640624873</v>
      </c>
    </row>
    <row r="63" spans="1:13" ht="15" customHeight="1">
      <c r="A63" s="24" t="s">
        <v>213</v>
      </c>
      <c r="B63">
        <v>1010</v>
      </c>
      <c r="C63">
        <v>1009</v>
      </c>
      <c r="H63" s="24" t="s">
        <v>214</v>
      </c>
      <c r="I63">
        <f>AVERAGE(B65:B68)</f>
        <v>1024.75</v>
      </c>
      <c r="J63">
        <f>AVERAGE(C65:C68)</f>
        <v>1023.5</v>
      </c>
      <c r="K63">
        <v>2013</v>
      </c>
      <c r="L63" s="12">
        <f t="shared" si="1"/>
        <v>1.4992678700201065</v>
      </c>
      <c r="M63" s="12">
        <f t="shared" si="0"/>
        <v>1.4644786964689243</v>
      </c>
    </row>
    <row r="64" spans="1:13" ht="15" customHeight="1">
      <c r="A64" s="24" t="s">
        <v>215</v>
      </c>
      <c r="B64">
        <v>1012</v>
      </c>
      <c r="C64">
        <v>1012</v>
      </c>
      <c r="H64" s="24" t="s">
        <v>216</v>
      </c>
      <c r="I64">
        <f>AVERAGE(B69:B72)</f>
        <v>1043.75</v>
      </c>
      <c r="J64">
        <f>AVERAGE(C69:C72)</f>
        <v>1043.75</v>
      </c>
      <c r="K64">
        <v>2014</v>
      </c>
      <c r="L64" s="22">
        <f t="shared" si="1"/>
        <v>1.5371263993542592</v>
      </c>
    </row>
    <row r="65" spans="1:13" ht="15" customHeight="1">
      <c r="A65" s="24" t="s">
        <v>217</v>
      </c>
      <c r="B65">
        <v>1015</v>
      </c>
      <c r="C65">
        <v>1016</v>
      </c>
      <c r="H65" s="24" t="s">
        <v>218</v>
      </c>
      <c r="I65">
        <f>AVERAGE(B73:B76)</f>
        <v>1069.25</v>
      </c>
      <c r="J65">
        <f>AVERAGE(C73:C76)</f>
        <v>1063.25</v>
      </c>
      <c r="K65">
        <v>2015</v>
      </c>
      <c r="L65" s="22">
        <f t="shared" si="1"/>
        <v>1.571128967367341</v>
      </c>
    </row>
    <row r="66" spans="1:13" ht="15" customHeight="1">
      <c r="A66" s="24" t="s">
        <v>219</v>
      </c>
      <c r="B66">
        <v>1024</v>
      </c>
      <c r="C66">
        <v>1021</v>
      </c>
      <c r="H66" s="27" t="s">
        <v>220</v>
      </c>
      <c r="I66" s="9">
        <f>AVERAGE(B77:B80)</f>
        <v>1096.25</v>
      </c>
      <c r="K66">
        <v>2016</v>
      </c>
      <c r="L66" s="22">
        <f t="shared" si="1"/>
        <v>1.5942647352937676</v>
      </c>
    </row>
    <row r="67" spans="1:13" ht="15" customHeight="1">
      <c r="A67" s="24" t="s">
        <v>221</v>
      </c>
      <c r="B67">
        <v>1029</v>
      </c>
      <c r="C67">
        <v>1026</v>
      </c>
      <c r="H67" s="27" t="s">
        <v>222</v>
      </c>
      <c r="I67" s="9">
        <f>AVERAGE(B81:B84)</f>
        <v>1120.5</v>
      </c>
      <c r="K67">
        <v>2017</v>
      </c>
      <c r="L67" s="22">
        <f t="shared" si="1"/>
        <v>1.6166994193436359</v>
      </c>
    </row>
    <row r="68" spans="1:13" ht="15" customHeight="1">
      <c r="A68" s="24" t="s">
        <v>223</v>
      </c>
      <c r="B68">
        <v>1031</v>
      </c>
      <c r="C68">
        <v>1031</v>
      </c>
      <c r="H68" s="27" t="s">
        <v>224</v>
      </c>
      <c r="I68" s="9">
        <f>AVERAGE(B85:B88)</f>
        <v>1137</v>
      </c>
      <c r="K68">
        <v>2018</v>
      </c>
      <c r="L68" s="22">
        <f t="shared" si="1"/>
        <v>1.6401857292083417</v>
      </c>
    </row>
    <row r="69" spans="1:13" ht="15" customHeight="1">
      <c r="A69" s="24" t="s">
        <v>225</v>
      </c>
      <c r="B69">
        <v>1033</v>
      </c>
      <c r="C69">
        <v>1035</v>
      </c>
      <c r="H69" s="27" t="s">
        <v>226</v>
      </c>
      <c r="I69" s="9">
        <f>AVERAGE(B89:B92)</f>
        <v>1153</v>
      </c>
      <c r="K69">
        <v>2019</v>
      </c>
      <c r="L69" s="22">
        <f t="shared" si="1"/>
        <v>1.666125832641002</v>
      </c>
    </row>
    <row r="70" spans="1:13" ht="15" customHeight="1">
      <c r="A70" s="24" t="s">
        <v>227</v>
      </c>
      <c r="B70">
        <v>1037</v>
      </c>
      <c r="C70">
        <v>1041</v>
      </c>
      <c r="H70" s="27" t="s">
        <v>228</v>
      </c>
      <c r="I70" s="9">
        <f>AVERAGE(B93:B96)</f>
        <v>1169.75</v>
      </c>
      <c r="K70" s="142">
        <v>2020</v>
      </c>
      <c r="L70" s="22">
        <f t="shared" si="1"/>
        <v>1.6997778587158046</v>
      </c>
    </row>
    <row r="71" spans="1:13" ht="15" customHeight="1">
      <c r="A71" s="24" t="s">
        <v>229</v>
      </c>
      <c r="B71">
        <v>1051</v>
      </c>
      <c r="C71">
        <v>1047</v>
      </c>
      <c r="H71" s="27" t="s">
        <v>230</v>
      </c>
      <c r="I71" s="9">
        <f>AVERAGE(B97:B100)</f>
        <v>1188.25</v>
      </c>
      <c r="K71" s="142">
        <v>2021</v>
      </c>
      <c r="L71" s="22"/>
    </row>
    <row r="72" spans="1:13" ht="15" customHeight="1">
      <c r="A72" s="24" t="s">
        <v>231</v>
      </c>
      <c r="B72">
        <v>1054</v>
      </c>
      <c r="C72">
        <v>1052</v>
      </c>
      <c r="H72" s="27" t="s">
        <v>414</v>
      </c>
      <c r="I72" s="9">
        <f>AVERAGE(B101:B104)</f>
        <v>1212.25</v>
      </c>
    </row>
    <row r="73" spans="1:13" ht="15" customHeight="1">
      <c r="A73" s="24" t="s">
        <v>232</v>
      </c>
      <c r="B73">
        <v>1057</v>
      </c>
      <c r="C73">
        <v>1056</v>
      </c>
      <c r="H73" s="27" t="s">
        <v>415</v>
      </c>
      <c r="I73" s="9"/>
    </row>
    <row r="74" spans="1:13" ht="15" customHeight="1">
      <c r="A74" s="24" t="s">
        <v>233</v>
      </c>
      <c r="B74">
        <v>1066</v>
      </c>
      <c r="C74">
        <v>1061</v>
      </c>
      <c r="H74">
        <v>2012</v>
      </c>
      <c r="K74" t="s">
        <v>234</v>
      </c>
      <c r="L74" s="21">
        <f>LN(L63/L46)/17</f>
        <v>2.3822170723637563E-2</v>
      </c>
      <c r="M74" s="21">
        <f>LN(M63/M46)/17</f>
        <v>2.2441137679746617E-2</v>
      </c>
    </row>
    <row r="75" spans="1:13" ht="15" customHeight="1">
      <c r="A75" s="24" t="s">
        <v>235</v>
      </c>
      <c r="B75">
        <v>1077</v>
      </c>
      <c r="C75">
        <v>1066</v>
      </c>
      <c r="H75">
        <v>2013</v>
      </c>
      <c r="K75" t="s">
        <v>236</v>
      </c>
      <c r="L75" s="21">
        <f>LN(L54/L46)/8</f>
        <v>1.8313585298939575E-2</v>
      </c>
      <c r="M75" s="21">
        <f>LN(M54/M46)/8</f>
        <v>1.9303692646514225E-2</v>
      </c>
    </row>
    <row r="76" spans="1:13" ht="15" customHeight="1">
      <c r="A76" s="24" t="s">
        <v>237</v>
      </c>
      <c r="B76">
        <v>1077</v>
      </c>
      <c r="C76">
        <v>1070</v>
      </c>
      <c r="K76" t="s">
        <v>238</v>
      </c>
      <c r="L76" s="21">
        <f>LN(L63/L54)/9</f>
        <v>2.8718691101146894E-2</v>
      </c>
      <c r="M76" s="21">
        <f>LN(M63/M54)/9</f>
        <v>2.5229977709286523E-2</v>
      </c>
    </row>
    <row r="77" spans="1:13" ht="15" customHeight="1">
      <c r="A77" s="24" t="s">
        <v>239</v>
      </c>
      <c r="B77">
        <v>1080</v>
      </c>
      <c r="C77">
        <v>1074</v>
      </c>
    </row>
    <row r="78" spans="1:13" ht="15" customHeight="1">
      <c r="A78" s="24" t="s">
        <v>240</v>
      </c>
      <c r="B78">
        <v>1094</v>
      </c>
      <c r="C78">
        <v>1079</v>
      </c>
    </row>
    <row r="79" spans="1:13" ht="15" customHeight="1">
      <c r="A79" s="24" t="s">
        <v>241</v>
      </c>
      <c r="B79">
        <v>1105</v>
      </c>
      <c r="C79">
        <v>1083</v>
      </c>
    </row>
    <row r="80" spans="1:13" ht="15" customHeight="1">
      <c r="A80" s="24" t="s">
        <v>242</v>
      </c>
      <c r="B80">
        <v>1106</v>
      </c>
      <c r="C80">
        <v>1087</v>
      </c>
    </row>
    <row r="81" spans="1:3" ht="15" customHeight="1">
      <c r="A81" s="27" t="s">
        <v>243</v>
      </c>
      <c r="B81" s="9">
        <v>1111</v>
      </c>
      <c r="C81" s="9">
        <v>1092</v>
      </c>
    </row>
    <row r="82" spans="1:3" ht="15" customHeight="1">
      <c r="A82" s="27" t="s">
        <v>244</v>
      </c>
      <c r="B82" s="9">
        <v>1118</v>
      </c>
      <c r="C82" s="9">
        <v>1096</v>
      </c>
    </row>
    <row r="83" spans="1:3" ht="15" customHeight="1">
      <c r="A83" s="27" t="s">
        <v>245</v>
      </c>
      <c r="B83" s="9">
        <v>1126</v>
      </c>
      <c r="C83" s="9">
        <v>1102</v>
      </c>
    </row>
    <row r="84" spans="1:3" ht="15" customHeight="1">
      <c r="A84" s="27" t="s">
        <v>246</v>
      </c>
      <c r="B84" s="9">
        <v>1127</v>
      </c>
      <c r="C84" s="9">
        <v>1105</v>
      </c>
    </row>
    <row r="85" spans="1:3" ht="15" customHeight="1">
      <c r="A85" s="27" t="s">
        <v>247</v>
      </c>
      <c r="B85" s="9">
        <v>1129</v>
      </c>
      <c r="C85" s="9">
        <v>1110</v>
      </c>
    </row>
    <row r="86" spans="1:3" ht="15" customHeight="1">
      <c r="A86" s="27" t="s">
        <v>248</v>
      </c>
      <c r="B86" s="9">
        <v>1136</v>
      </c>
      <c r="C86" s="9">
        <v>1114</v>
      </c>
    </row>
    <row r="87" spans="1:3" ht="15" customHeight="1">
      <c r="A87" s="27" t="s">
        <v>249</v>
      </c>
      <c r="B87" s="9">
        <v>1141</v>
      </c>
      <c r="C87" s="9">
        <v>1119</v>
      </c>
    </row>
    <row r="88" spans="1:3" ht="15" customHeight="1">
      <c r="A88" s="27" t="s">
        <v>250</v>
      </c>
      <c r="B88" s="9">
        <v>1142</v>
      </c>
      <c r="C88" s="9">
        <v>1123</v>
      </c>
    </row>
    <row r="89" spans="1:3" ht="15" customHeight="1">
      <c r="A89" s="27" t="s">
        <v>251</v>
      </c>
      <c r="B89" s="9">
        <v>1144</v>
      </c>
      <c r="C89" s="9">
        <v>1127</v>
      </c>
    </row>
    <row r="90" spans="1:3" ht="15" customHeight="1">
      <c r="A90" s="27" t="s">
        <v>252</v>
      </c>
      <c r="B90" s="9">
        <v>1150</v>
      </c>
      <c r="C90" s="9">
        <v>1132</v>
      </c>
    </row>
    <row r="91" spans="1:3" ht="15" customHeight="1">
      <c r="A91" s="27" t="s">
        <v>253</v>
      </c>
      <c r="B91" s="9">
        <v>1156</v>
      </c>
      <c r="C91" s="9">
        <v>1137</v>
      </c>
    </row>
    <row r="92" spans="1:3" ht="15" customHeight="1">
      <c r="A92" s="27" t="s">
        <v>254</v>
      </c>
      <c r="B92" s="9">
        <v>1162</v>
      </c>
      <c r="C92" s="9">
        <v>1141</v>
      </c>
    </row>
    <row r="93" spans="1:3" ht="15" customHeight="1">
      <c r="A93" s="27" t="s">
        <v>255</v>
      </c>
      <c r="B93" s="9">
        <v>1163</v>
      </c>
      <c r="C93" s="9">
        <v>1146</v>
      </c>
    </row>
    <row r="94" spans="1:3" ht="15" customHeight="1">
      <c r="A94" s="27" t="s">
        <v>256</v>
      </c>
      <c r="B94" s="9">
        <v>1170</v>
      </c>
      <c r="C94" s="9">
        <v>1153</v>
      </c>
    </row>
    <row r="95" spans="1:3" ht="15" customHeight="1">
      <c r="A95" s="27" t="s">
        <v>257</v>
      </c>
      <c r="B95" s="9">
        <v>1172</v>
      </c>
      <c r="C95" s="9">
        <v>1158</v>
      </c>
    </row>
    <row r="96" spans="1:3" ht="15" customHeight="1">
      <c r="A96" s="143" t="s">
        <v>258</v>
      </c>
      <c r="B96" s="142">
        <v>1174</v>
      </c>
      <c r="C96" s="142">
        <v>1161</v>
      </c>
    </row>
    <row r="97" spans="1:3" ht="15" customHeight="1">
      <c r="A97" s="143" t="s">
        <v>259</v>
      </c>
      <c r="B97" s="142">
        <v>1177</v>
      </c>
      <c r="C97" s="142">
        <v>1167</v>
      </c>
    </row>
    <row r="98" spans="1:3" ht="15" customHeight="1">
      <c r="A98" s="143" t="s">
        <v>260</v>
      </c>
      <c r="B98" s="142">
        <v>1186</v>
      </c>
      <c r="C98" s="142">
        <v>1173</v>
      </c>
    </row>
    <row r="99" spans="1:3" ht="15" customHeight="1">
      <c r="A99" s="143" t="s">
        <v>261</v>
      </c>
      <c r="B99" s="142">
        <v>1193</v>
      </c>
      <c r="C99" s="142">
        <v>1179</v>
      </c>
    </row>
    <row r="100" spans="1:3" ht="15" customHeight="1">
      <c r="A100" s="143" t="s">
        <v>262</v>
      </c>
      <c r="B100" s="142">
        <v>1197</v>
      </c>
      <c r="C100" s="142">
        <v>1184</v>
      </c>
    </row>
    <row r="101" spans="1:3" ht="15" customHeight="1">
      <c r="A101" s="143" t="s">
        <v>407</v>
      </c>
      <c r="B101" s="142">
        <v>1202</v>
      </c>
      <c r="C101" s="142">
        <v>1192</v>
      </c>
    </row>
    <row r="102" spans="1:3" ht="15" customHeight="1">
      <c r="A102" s="143" t="s">
        <v>408</v>
      </c>
      <c r="B102" s="142">
        <v>1208</v>
      </c>
      <c r="C102" s="142">
        <v>1202</v>
      </c>
    </row>
    <row r="103" spans="1:3" ht="15" customHeight="1">
      <c r="A103" s="143" t="s">
        <v>409</v>
      </c>
      <c r="B103" s="142">
        <v>1218</v>
      </c>
      <c r="C103" s="142">
        <v>1210</v>
      </c>
    </row>
    <row r="104" spans="1:3" ht="15" customHeight="1">
      <c r="A104" s="143" t="s">
        <v>410</v>
      </c>
      <c r="B104" s="142">
        <v>1221</v>
      </c>
      <c r="C104" s="142">
        <v>1214</v>
      </c>
    </row>
    <row r="105" spans="1:3" ht="15" customHeight="1">
      <c r="A105" s="143" t="s">
        <v>411</v>
      </c>
      <c r="B105" s="142">
        <v>1222</v>
      </c>
      <c r="C105" s="142">
        <v>1217</v>
      </c>
    </row>
    <row r="106" spans="1:3" ht="15" customHeight="1">
      <c r="A106" s="143" t="s">
        <v>412</v>
      </c>
      <c r="B106" s="142">
        <v>1226</v>
      </c>
      <c r="C106" s="142">
        <v>1224</v>
      </c>
    </row>
    <row r="107" spans="1:3" ht="15" customHeight="1">
      <c r="A107" s="143" t="s">
        <v>413</v>
      </c>
      <c r="B107" s="142">
        <v>1231</v>
      </c>
      <c r="C107" s="142">
        <v>1229</v>
      </c>
    </row>
    <row r="108" spans="1:3" ht="15" customHeight="1">
      <c r="A108" s="141"/>
      <c r="B108" s="139"/>
      <c r="C108" s="9"/>
    </row>
    <row r="109" spans="1:3" ht="15" customHeight="1">
      <c r="A109" s="141"/>
      <c r="B109" s="139"/>
      <c r="C109" s="9"/>
    </row>
    <row r="110" spans="1:3" ht="15" customHeight="1">
      <c r="A110" s="141"/>
      <c r="B110" s="139"/>
      <c r="C110" s="9"/>
    </row>
    <row r="111" spans="1:3" ht="15" customHeight="1">
      <c r="A111" s="141"/>
      <c r="B111" s="139"/>
      <c r="C111" s="9"/>
    </row>
    <row r="112" spans="1:3" ht="15" customHeight="1">
      <c r="A112" s="24"/>
    </row>
    <row r="113" spans="1:3" ht="15" customHeight="1">
      <c r="A113" s="24"/>
    </row>
    <row r="114" spans="1:3" ht="15" customHeight="1">
      <c r="A114" s="28" t="s">
        <v>263</v>
      </c>
    </row>
    <row r="115" spans="1:3" ht="15" customHeight="1">
      <c r="A115" s="28" t="s">
        <v>264</v>
      </c>
    </row>
    <row r="116" spans="1:3" ht="15" customHeight="1">
      <c r="A116" s="24"/>
    </row>
    <row r="117" spans="1:3" ht="15" customHeight="1">
      <c r="A117" s="147" t="s">
        <v>265</v>
      </c>
      <c r="B117" s="147"/>
      <c r="C117" s="147"/>
    </row>
    <row r="118" spans="1:3" ht="15" customHeight="1">
      <c r="A118" s="145" t="s">
        <v>266</v>
      </c>
      <c r="B118" s="145"/>
      <c r="C118" s="145"/>
    </row>
    <row r="119" spans="1:3" ht="15" customHeight="1">
      <c r="A119" s="145" t="s">
        <v>267</v>
      </c>
      <c r="B119" s="145"/>
      <c r="C119" s="145"/>
    </row>
    <row r="120" spans="1:3" ht="15" customHeight="1">
      <c r="A120" s="145"/>
      <c r="B120" s="145"/>
      <c r="C120" s="145"/>
    </row>
    <row r="121" spans="1:3" ht="15" customHeight="1">
      <c r="A121" s="147" t="s">
        <v>268</v>
      </c>
      <c r="B121" s="147"/>
      <c r="C121" s="147"/>
    </row>
    <row r="122" spans="1:3" ht="15" customHeight="1">
      <c r="A122" s="145" t="s">
        <v>269</v>
      </c>
      <c r="B122" s="145"/>
      <c r="C122" s="145"/>
    </row>
    <row r="123" spans="1:3" ht="15" customHeight="1">
      <c r="A123" s="145" t="s">
        <v>270</v>
      </c>
      <c r="B123" s="145"/>
      <c r="C123" s="145"/>
    </row>
    <row r="124" spans="1:3" ht="15" customHeight="1">
      <c r="A124" s="145" t="s">
        <v>271</v>
      </c>
      <c r="B124" s="145"/>
      <c r="C124" s="145"/>
    </row>
    <row r="125" spans="1:3" ht="15" customHeight="1">
      <c r="A125" s="145"/>
      <c r="B125" s="145"/>
      <c r="C125" s="145"/>
    </row>
    <row r="126" spans="1:3" ht="15" customHeight="1">
      <c r="A126" s="145" t="s">
        <v>272</v>
      </c>
      <c r="B126" s="145"/>
      <c r="C126" s="145"/>
    </row>
    <row r="127" spans="1:3" ht="15" customHeight="1">
      <c r="A127" s="145" t="s">
        <v>273</v>
      </c>
      <c r="B127" s="145"/>
      <c r="C127" s="145"/>
    </row>
    <row r="128" spans="1:3" ht="15" customHeight="1">
      <c r="A128" s="145" t="s">
        <v>274</v>
      </c>
      <c r="B128" s="145"/>
      <c r="C128" s="145"/>
    </row>
    <row r="129" spans="1:3" ht="15" customHeight="1">
      <c r="A129" s="145" t="s">
        <v>275</v>
      </c>
      <c r="B129" s="145"/>
      <c r="C129" s="145"/>
    </row>
    <row r="130" spans="1:3" ht="15" customHeight="1">
      <c r="A130" s="145" t="s">
        <v>276</v>
      </c>
      <c r="B130" s="145"/>
      <c r="C130" s="145"/>
    </row>
    <row r="131" spans="1:3" ht="15" customHeight="1">
      <c r="A131" s="145" t="s">
        <v>277</v>
      </c>
      <c r="B131" s="145"/>
      <c r="C131" s="145"/>
    </row>
    <row r="132" spans="1:3" ht="15" customHeight="1">
      <c r="A132" s="145" t="s">
        <v>278</v>
      </c>
      <c r="B132" s="145"/>
      <c r="C132" s="145"/>
    </row>
    <row r="133" spans="1:3" ht="15" customHeight="1">
      <c r="A133" s="145"/>
      <c r="B133" s="145"/>
      <c r="C133" s="145"/>
    </row>
    <row r="134" spans="1:3" ht="15" customHeight="1">
      <c r="A134" s="145" t="s">
        <v>279</v>
      </c>
      <c r="B134" s="145"/>
      <c r="C134" s="145"/>
    </row>
    <row r="135" spans="1:3" ht="15" customHeight="1">
      <c r="A135" s="145"/>
      <c r="B135" s="145"/>
      <c r="C135" s="145"/>
    </row>
    <row r="136" spans="1:3" ht="15" customHeight="1">
      <c r="A136" s="145" t="s">
        <v>280</v>
      </c>
      <c r="B136" s="145"/>
      <c r="C136" s="145"/>
    </row>
    <row r="137" spans="1:3">
      <c r="A137" s="145" t="s">
        <v>281</v>
      </c>
      <c r="B137" s="145"/>
      <c r="C137" s="145"/>
    </row>
    <row r="138" spans="1:3">
      <c r="A138" s="145"/>
      <c r="B138" s="145"/>
      <c r="C138" s="145"/>
    </row>
    <row r="139" spans="1:3">
      <c r="A139" s="145" t="s">
        <v>282</v>
      </c>
      <c r="B139" s="145"/>
      <c r="C139" s="145"/>
    </row>
    <row r="140" spans="1:3">
      <c r="A140" s="145" t="s">
        <v>283</v>
      </c>
      <c r="B140" s="145"/>
      <c r="C140" s="145"/>
    </row>
    <row r="141" spans="1:3">
      <c r="A141" s="145" t="s">
        <v>284</v>
      </c>
      <c r="B141" s="145"/>
      <c r="C141" s="145"/>
    </row>
    <row r="142" spans="1:3">
      <c r="A142" s="145"/>
      <c r="B142" s="145"/>
      <c r="C142" s="145"/>
    </row>
    <row r="143" spans="1:3">
      <c r="A143" s="145" t="s">
        <v>285</v>
      </c>
      <c r="B143" s="145"/>
      <c r="C143" s="145"/>
    </row>
    <row r="144" spans="1:3">
      <c r="A144" s="145" t="s">
        <v>286</v>
      </c>
      <c r="B144" s="145"/>
      <c r="C144" s="145"/>
    </row>
    <row r="145" spans="1:3">
      <c r="A145" s="145" t="s">
        <v>287</v>
      </c>
      <c r="B145" s="145"/>
      <c r="C145" s="145"/>
    </row>
    <row r="146" spans="1:3">
      <c r="A146" s="146" t="s">
        <v>288</v>
      </c>
      <c r="B146" s="146"/>
      <c r="C146" s="146"/>
    </row>
    <row r="147" spans="1:3">
      <c r="A147" s="145"/>
      <c r="B147" s="145"/>
      <c r="C147" s="145"/>
    </row>
    <row r="148" spans="1:3">
      <c r="A148" s="145"/>
      <c r="B148" s="145"/>
      <c r="C148" s="145"/>
    </row>
  </sheetData>
  <mergeCells count="35">
    <mergeCell ref="A121:C121"/>
    <mergeCell ref="A122:C122"/>
    <mergeCell ref="A123:C123"/>
    <mergeCell ref="A118:C118"/>
    <mergeCell ref="A1:C1"/>
    <mergeCell ref="A2:A3"/>
    <mergeCell ref="B2:C2"/>
    <mergeCell ref="A117:C117"/>
    <mergeCell ref="A148:C148"/>
    <mergeCell ref="A143:C143"/>
    <mergeCell ref="A144:C144"/>
    <mergeCell ref="A145:C145"/>
    <mergeCell ref="A119:C119"/>
    <mergeCell ref="A124:C124"/>
    <mergeCell ref="A125:C125"/>
    <mergeCell ref="A126:C126"/>
    <mergeCell ref="A138:C138"/>
    <mergeCell ref="A139:C139"/>
    <mergeCell ref="A128:C128"/>
    <mergeCell ref="A129:C129"/>
    <mergeCell ref="A130:C130"/>
    <mergeCell ref="A131:C131"/>
    <mergeCell ref="A127:C127"/>
    <mergeCell ref="A120:C120"/>
    <mergeCell ref="A137:C137"/>
    <mergeCell ref="A146:C146"/>
    <mergeCell ref="A147:C147"/>
    <mergeCell ref="A142:C142"/>
    <mergeCell ref="A140:C140"/>
    <mergeCell ref="A141:C141"/>
    <mergeCell ref="A132:C132"/>
    <mergeCell ref="A133:C133"/>
    <mergeCell ref="A134:C134"/>
    <mergeCell ref="A135:C135"/>
    <mergeCell ref="A136:C136"/>
  </mergeCells>
  <phoneticPr fontId="10" type="noConversion"/>
  <hyperlinks>
    <hyperlink ref="A146" r:id="rId1" display="mailto:info@stats.govt.nz" xr:uid="{00000000-0004-0000-0400-000000000000}"/>
  </hyperlinks>
  <pageMargins left="0.7" right="0.7" top="0.75" bottom="0.75" header="0.3" footer="0.3"/>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142"/>
  <sheetViews>
    <sheetView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8.83203125" defaultRowHeight="15"/>
  <cols>
    <col min="1" max="1" width="7.1640625" customWidth="1"/>
    <col min="2" max="2" width="12.1640625" customWidth="1"/>
    <col min="3" max="3" width="20.5" customWidth="1"/>
    <col min="6" max="6" width="9.5" customWidth="1"/>
    <col min="11" max="12" width="9.83203125" customWidth="1"/>
    <col min="15" max="16" width="2.83203125" customWidth="1"/>
    <col min="17" max="17" width="19.5" customWidth="1"/>
    <col min="18" max="18" width="33.5" customWidth="1"/>
    <col min="20" max="20" width="7.5" customWidth="1"/>
    <col min="21" max="21" width="36.5" bestFit="1" customWidth="1"/>
  </cols>
  <sheetData>
    <row r="1" spans="1:24" ht="52.5" customHeight="1">
      <c r="A1" s="148" t="s">
        <v>289</v>
      </c>
      <c r="B1" s="148"/>
      <c r="C1" s="148"/>
      <c r="E1" s="154" t="s">
        <v>290</v>
      </c>
      <c r="F1" s="154"/>
      <c r="G1">
        <v>0.38</v>
      </c>
      <c r="I1">
        <v>0.62</v>
      </c>
      <c r="Q1" s="151" t="s">
        <v>289</v>
      </c>
      <c r="R1" s="151"/>
      <c r="T1" s="151" t="s">
        <v>289</v>
      </c>
      <c r="U1" s="151"/>
    </row>
    <row r="2" spans="1:24" ht="70">
      <c r="A2" s="29"/>
      <c r="B2" s="23" t="s">
        <v>291</v>
      </c>
      <c r="C2" s="23" t="s">
        <v>292</v>
      </c>
      <c r="F2" s="23" t="s">
        <v>293</v>
      </c>
      <c r="G2" s="23" t="s">
        <v>294</v>
      </c>
      <c r="H2" s="23"/>
      <c r="I2" s="23" t="s">
        <v>295</v>
      </c>
      <c r="K2" s="23" t="s">
        <v>296</v>
      </c>
      <c r="L2" s="23" t="s">
        <v>297</v>
      </c>
      <c r="M2" s="23" t="s">
        <v>298</v>
      </c>
      <c r="Q2" s="29"/>
      <c r="R2" s="30" t="s">
        <v>191</v>
      </c>
      <c r="S2" t="s">
        <v>299</v>
      </c>
      <c r="T2" s="29"/>
      <c r="U2" s="30" t="s">
        <v>144</v>
      </c>
      <c r="V2" t="s">
        <v>299</v>
      </c>
    </row>
    <row r="3" spans="1:24" ht="20" customHeight="1">
      <c r="A3" s="24" t="s">
        <v>146</v>
      </c>
      <c r="B3">
        <v>651.19363399999997</v>
      </c>
      <c r="C3">
        <v>768</v>
      </c>
      <c r="Q3" s="24" t="s">
        <v>146</v>
      </c>
      <c r="R3">
        <v>651.19363399999997</v>
      </c>
      <c r="S3" t="str">
        <f t="shared" ref="S3:S34" si="0">IF(R3=B3,"same","DIFF")</f>
        <v>same</v>
      </c>
      <c r="T3" s="24" t="s">
        <v>146</v>
      </c>
      <c r="U3">
        <v>768</v>
      </c>
      <c r="V3" t="str">
        <f t="shared" ref="V3:V34" si="1">IF(U3=C3,"same","DIFF")</f>
        <v>same</v>
      </c>
    </row>
    <row r="4" spans="1:24" ht="20" customHeight="1">
      <c r="A4" s="24" t="s">
        <v>148</v>
      </c>
      <c r="B4">
        <v>651.856764</v>
      </c>
      <c r="C4">
        <v>767</v>
      </c>
      <c r="E4" s="24" t="s">
        <v>300</v>
      </c>
      <c r="F4">
        <f>AVERAGE(B4:B7)</f>
        <v>654.3435015</v>
      </c>
      <c r="G4" s="5">
        <f t="shared" ref="G4:G28" si="2">F4/F$4</f>
        <v>1</v>
      </c>
      <c r="H4" s="5"/>
      <c r="I4" s="5">
        <f>'NZ LCI'!L46</f>
        <v>1</v>
      </c>
      <c r="K4" s="31">
        <v>1</v>
      </c>
      <c r="L4" s="31">
        <v>1</v>
      </c>
      <c r="Q4" s="24" t="s">
        <v>148</v>
      </c>
      <c r="R4">
        <v>651.856764</v>
      </c>
      <c r="S4" t="str">
        <f t="shared" si="0"/>
        <v>same</v>
      </c>
      <c r="T4" s="24" t="s">
        <v>148</v>
      </c>
      <c r="U4">
        <v>767</v>
      </c>
      <c r="V4" t="str">
        <f t="shared" si="1"/>
        <v>same</v>
      </c>
    </row>
    <row r="5" spans="1:24" ht="20" customHeight="1">
      <c r="A5" s="24" t="s">
        <v>149</v>
      </c>
      <c r="B5">
        <v>653.84615399999996</v>
      </c>
      <c r="C5">
        <v>766</v>
      </c>
      <c r="E5" s="24" t="s">
        <v>301</v>
      </c>
      <c r="F5">
        <f>AVERAGE(B8:B11)</f>
        <v>656.83023899999989</v>
      </c>
      <c r="G5" s="5">
        <f t="shared" si="2"/>
        <v>1.003800354850777</v>
      </c>
      <c r="H5" s="5"/>
      <c r="I5" s="5">
        <f>'NZ LCI'!L47</f>
        <v>1.0162523900573615</v>
      </c>
      <c r="K5" s="31">
        <v>1.0115000000000001</v>
      </c>
      <c r="L5" s="31">
        <f t="shared" ref="L5:L28" si="3">L4*K5</f>
        <v>1.0115000000000001</v>
      </c>
      <c r="Q5" s="24" t="s">
        <v>149</v>
      </c>
      <c r="R5">
        <v>653.84615399999996</v>
      </c>
      <c r="S5" t="str">
        <f t="shared" si="0"/>
        <v>same</v>
      </c>
      <c r="T5" s="24" t="s">
        <v>149</v>
      </c>
      <c r="U5">
        <v>766</v>
      </c>
      <c r="V5" t="str">
        <f t="shared" si="1"/>
        <v>same</v>
      </c>
    </row>
    <row r="6" spans="1:24" ht="20" customHeight="1">
      <c r="A6" s="24" t="s">
        <v>150</v>
      </c>
      <c r="B6">
        <v>654.50928399999998</v>
      </c>
      <c r="C6">
        <v>764</v>
      </c>
      <c r="E6" s="24" t="s">
        <v>302</v>
      </c>
      <c r="F6">
        <f>AVERAGE(B12:B15)</f>
        <v>659.98010650000003</v>
      </c>
      <c r="G6" s="5">
        <f t="shared" si="2"/>
        <v>1.0086141376617614</v>
      </c>
      <c r="H6" s="5"/>
      <c r="I6" s="5">
        <f>'NZ LCI'!L48</f>
        <v>1.0272466539196941</v>
      </c>
      <c r="K6" s="31">
        <f t="shared" ref="K6:K28" si="4">0.38*G6/G5+0.62*I6/I5</f>
        <v>1.0085297438325906</v>
      </c>
      <c r="L6" s="31">
        <f t="shared" si="3"/>
        <v>1.0201278358866654</v>
      </c>
      <c r="Q6" s="24" t="s">
        <v>150</v>
      </c>
      <c r="R6">
        <v>654.50928399999998</v>
      </c>
      <c r="S6" t="str">
        <f t="shared" si="0"/>
        <v>same</v>
      </c>
      <c r="T6" s="24" t="s">
        <v>150</v>
      </c>
      <c r="U6">
        <v>764</v>
      </c>
      <c r="V6" t="str">
        <f t="shared" si="1"/>
        <v>same</v>
      </c>
    </row>
    <row r="7" spans="1:24" ht="20" customHeight="1">
      <c r="A7" s="24" t="s">
        <v>151</v>
      </c>
      <c r="B7">
        <v>657.16180399999996</v>
      </c>
      <c r="C7">
        <v>760</v>
      </c>
      <c r="E7" s="24" t="s">
        <v>303</v>
      </c>
      <c r="F7">
        <f>AVERAGE(B16:B19)</f>
        <v>663.29575575000001</v>
      </c>
      <c r="G7" s="5">
        <f t="shared" si="2"/>
        <v>1.0136812763166105</v>
      </c>
      <c r="H7" s="5"/>
      <c r="I7" s="5">
        <f>'NZ LCI'!L49</f>
        <v>1.0387189292543022</v>
      </c>
      <c r="K7" s="31">
        <f t="shared" si="4"/>
        <v>1.0088332184845241</v>
      </c>
      <c r="L7" s="31">
        <f t="shared" si="3"/>
        <v>1.0291388479431971</v>
      </c>
      <c r="Q7" s="24" t="s">
        <v>151</v>
      </c>
      <c r="R7">
        <v>657.16180399999996</v>
      </c>
      <c r="S7" t="str">
        <f t="shared" si="0"/>
        <v>same</v>
      </c>
      <c r="T7" s="24" t="s">
        <v>151</v>
      </c>
      <c r="U7">
        <v>760</v>
      </c>
      <c r="V7" t="str">
        <f t="shared" si="1"/>
        <v>same</v>
      </c>
    </row>
    <row r="8" spans="1:24" ht="20" customHeight="1">
      <c r="A8" s="24" t="s">
        <v>152</v>
      </c>
      <c r="B8">
        <v>655.83554400000003</v>
      </c>
      <c r="C8">
        <v>760</v>
      </c>
      <c r="E8" s="24" t="s">
        <v>304</v>
      </c>
      <c r="F8">
        <f>AVERAGE(B20:B23)</f>
        <v>679.04509274999998</v>
      </c>
      <c r="G8" s="5">
        <f t="shared" si="2"/>
        <v>1.0377501896074075</v>
      </c>
      <c r="H8" s="5"/>
      <c r="I8" s="5">
        <f>'NZ LCI'!L50</f>
        <v>1.0552103250478011</v>
      </c>
      <c r="K8" s="31">
        <f t="shared" si="4"/>
        <v>1.0188662786757501</v>
      </c>
      <c r="L8" s="31">
        <f t="shared" si="3"/>
        <v>1.0485548682445338</v>
      </c>
      <c r="Q8" s="24" t="s">
        <v>152</v>
      </c>
      <c r="R8">
        <v>655.83554400000003</v>
      </c>
      <c r="S8" t="str">
        <f t="shared" si="0"/>
        <v>same</v>
      </c>
      <c r="T8" s="24" t="s">
        <v>152</v>
      </c>
      <c r="U8">
        <v>760</v>
      </c>
      <c r="V8" t="str">
        <f t="shared" si="1"/>
        <v>same</v>
      </c>
    </row>
    <row r="9" spans="1:24" ht="20" customHeight="1">
      <c r="A9" s="24" t="s">
        <v>153</v>
      </c>
      <c r="B9">
        <v>656.49867400000005</v>
      </c>
      <c r="C9">
        <v>761</v>
      </c>
      <c r="E9" s="24" t="s">
        <v>305</v>
      </c>
      <c r="F9">
        <f>AVERAGE(B24:B27)</f>
        <v>735.41114074999996</v>
      </c>
      <c r="G9" s="5">
        <f t="shared" si="2"/>
        <v>1.1238915631685233</v>
      </c>
      <c r="H9" s="5"/>
      <c r="I9" s="5">
        <f>'NZ LCI'!L51</f>
        <v>1.0685946462715106</v>
      </c>
      <c r="K9" s="31">
        <f t="shared" si="4"/>
        <v>1.0394070685568462</v>
      </c>
      <c r="L9" s="31">
        <f t="shared" si="3"/>
        <v>1.0898753418230609</v>
      </c>
      <c r="Q9" s="24" t="s">
        <v>153</v>
      </c>
      <c r="R9">
        <v>656.49867400000005</v>
      </c>
      <c r="S9" t="str">
        <f t="shared" si="0"/>
        <v>same</v>
      </c>
      <c r="T9" s="24" t="s">
        <v>153</v>
      </c>
      <c r="U9">
        <v>761</v>
      </c>
      <c r="V9" t="str">
        <f t="shared" si="1"/>
        <v>same</v>
      </c>
      <c r="X9" t="s">
        <v>101</v>
      </c>
    </row>
    <row r="10" spans="1:24" ht="20" customHeight="1">
      <c r="A10" s="24" t="s">
        <v>154</v>
      </c>
      <c r="B10">
        <v>657.16180399999996</v>
      </c>
      <c r="C10">
        <v>762</v>
      </c>
      <c r="E10" s="24" t="s">
        <v>306</v>
      </c>
      <c r="F10">
        <f>AVERAGE(B28:B31)</f>
        <v>769.89389925</v>
      </c>
      <c r="G10" s="5">
        <f t="shared" si="2"/>
        <v>1.1765898148069251</v>
      </c>
      <c r="H10" s="5"/>
      <c r="I10" s="5">
        <f>'NZ LCI'!L52</f>
        <v>1.0938502130350343</v>
      </c>
      <c r="K10" s="31">
        <f t="shared" si="4"/>
        <v>1.0324711664550108</v>
      </c>
      <c r="L10" s="31">
        <f t="shared" si="3"/>
        <v>1.1252648654626094</v>
      </c>
      <c r="Q10" s="24" t="s">
        <v>154</v>
      </c>
      <c r="R10">
        <v>657.16180399999996</v>
      </c>
      <c r="S10" t="str">
        <f t="shared" si="0"/>
        <v>same</v>
      </c>
      <c r="T10" s="24" t="s">
        <v>154</v>
      </c>
      <c r="U10">
        <v>762</v>
      </c>
      <c r="V10" t="str">
        <f t="shared" si="1"/>
        <v>same</v>
      </c>
    </row>
    <row r="11" spans="1:24" ht="20" customHeight="1">
      <c r="A11" s="24" t="s">
        <v>155</v>
      </c>
      <c r="B11">
        <v>657.82493399999998</v>
      </c>
      <c r="C11">
        <v>764</v>
      </c>
      <c r="E11" s="24" t="s">
        <v>307</v>
      </c>
      <c r="F11">
        <f>AVERAGE(B32:B35)</f>
        <v>762.93103474999998</v>
      </c>
      <c r="G11" s="5">
        <f t="shared" si="2"/>
        <v>1.1659488219888741</v>
      </c>
      <c r="H11" s="5"/>
      <c r="I11" s="5">
        <f>'NZ LCI'!L53</f>
        <v>1.1270833019677509</v>
      </c>
      <c r="K11" s="31">
        <f t="shared" si="4"/>
        <v>1.0153999955633966</v>
      </c>
      <c r="L11" s="31">
        <f t="shared" si="3"/>
        <v>1.1425939393983795</v>
      </c>
      <c r="Q11" s="24" t="s">
        <v>155</v>
      </c>
      <c r="R11">
        <v>657.82493399999998</v>
      </c>
      <c r="S11" t="str">
        <f t="shared" si="0"/>
        <v>same</v>
      </c>
      <c r="T11" s="24" t="s">
        <v>155</v>
      </c>
      <c r="U11">
        <v>764</v>
      </c>
      <c r="V11" t="str">
        <f t="shared" si="1"/>
        <v>same</v>
      </c>
    </row>
    <row r="12" spans="1:24" ht="20" customHeight="1">
      <c r="A12" s="24" t="s">
        <v>156</v>
      </c>
      <c r="B12">
        <v>656.49867400000005</v>
      </c>
      <c r="C12">
        <v>770</v>
      </c>
      <c r="E12" s="24" t="s">
        <v>308</v>
      </c>
      <c r="F12">
        <f>AVERAGE(B36:B39)</f>
        <v>759.1180374999999</v>
      </c>
      <c r="G12" s="5">
        <f t="shared" si="2"/>
        <v>1.1601216115997446</v>
      </c>
      <c r="H12" s="5"/>
      <c r="I12" s="5">
        <f>'NZ LCI'!L54</f>
        <v>1.1577849831173328</v>
      </c>
      <c r="K12" s="31">
        <f t="shared" si="4"/>
        <v>1.0149895883730662</v>
      </c>
      <c r="L12" s="31">
        <f t="shared" si="3"/>
        <v>1.1597209522275214</v>
      </c>
      <c r="Q12" s="24" t="s">
        <v>156</v>
      </c>
      <c r="R12">
        <v>656.49867400000005</v>
      </c>
      <c r="S12" t="str">
        <f t="shared" si="0"/>
        <v>same</v>
      </c>
      <c r="T12" s="24" t="s">
        <v>156</v>
      </c>
      <c r="U12">
        <v>770</v>
      </c>
      <c r="V12" t="str">
        <f t="shared" si="1"/>
        <v>same</v>
      </c>
    </row>
    <row r="13" spans="1:24" ht="20" customHeight="1">
      <c r="A13" s="24" t="s">
        <v>157</v>
      </c>
      <c r="B13">
        <v>659.81432400000006</v>
      </c>
      <c r="C13">
        <v>767</v>
      </c>
      <c r="E13" s="24" t="s">
        <v>309</v>
      </c>
      <c r="F13">
        <f>AVERAGE(B40:B43)</f>
        <v>781.1671087499999</v>
      </c>
      <c r="G13" s="5">
        <f t="shared" si="2"/>
        <v>1.1938180893663233</v>
      </c>
      <c r="H13" s="5"/>
      <c r="I13" s="5">
        <f>'NZ LCI'!L55</f>
        <v>1.1863487573718723</v>
      </c>
      <c r="K13" s="31">
        <f t="shared" si="4"/>
        <v>1.0263333968403838</v>
      </c>
      <c r="L13" s="31">
        <f t="shared" si="3"/>
        <v>1.1902603442866364</v>
      </c>
      <c r="Q13" s="24" t="s">
        <v>157</v>
      </c>
      <c r="R13">
        <v>659.81432400000006</v>
      </c>
      <c r="S13" t="str">
        <f t="shared" si="0"/>
        <v>same</v>
      </c>
      <c r="T13" s="24" t="s">
        <v>157</v>
      </c>
      <c r="U13">
        <v>767</v>
      </c>
      <c r="V13" t="str">
        <f t="shared" si="1"/>
        <v>same</v>
      </c>
    </row>
    <row r="14" spans="1:24" ht="20" customHeight="1">
      <c r="A14" s="24" t="s">
        <v>158</v>
      </c>
      <c r="B14">
        <v>663.12997399999995</v>
      </c>
      <c r="C14">
        <v>770</v>
      </c>
      <c r="E14" s="24" t="s">
        <v>310</v>
      </c>
      <c r="F14">
        <f>AVERAGE(B44:B47)</f>
        <v>823.11007949999998</v>
      </c>
      <c r="G14" s="5">
        <f t="shared" si="2"/>
        <v>1.2579174051749942</v>
      </c>
      <c r="H14" s="5"/>
      <c r="I14" s="5">
        <f>'NZ LCI'!L56</f>
        <v>1.2236176818754141</v>
      </c>
      <c r="K14" s="31">
        <f t="shared" si="4"/>
        <v>1.0398804099034566</v>
      </c>
      <c r="L14" s="31">
        <f t="shared" si="3"/>
        <v>1.2377284147086169</v>
      </c>
      <c r="M14" s="32">
        <f t="shared" ref="M14:M28" si="5">L14/L$14</f>
        <v>1</v>
      </c>
      <c r="Q14" s="24" t="s">
        <v>158</v>
      </c>
      <c r="R14">
        <v>663.12997399999995</v>
      </c>
      <c r="S14" t="str">
        <f t="shared" si="0"/>
        <v>same</v>
      </c>
      <c r="T14" s="24" t="s">
        <v>158</v>
      </c>
      <c r="U14">
        <v>770</v>
      </c>
      <c r="V14" t="str">
        <f t="shared" si="1"/>
        <v>same</v>
      </c>
    </row>
    <row r="15" spans="1:24" ht="20" customHeight="1">
      <c r="A15" s="24" t="s">
        <v>159</v>
      </c>
      <c r="B15">
        <v>660.47745399999997</v>
      </c>
      <c r="C15">
        <v>764</v>
      </c>
      <c r="E15" s="24" t="s">
        <v>311</v>
      </c>
      <c r="F15">
        <f>AVERAGE(B48:B51)</f>
        <v>865.55039800000009</v>
      </c>
      <c r="G15" s="5">
        <f t="shared" si="2"/>
        <v>1.3227767923358831</v>
      </c>
      <c r="H15" s="5"/>
      <c r="I15" s="5">
        <f>'NZ LCI'!L57</f>
        <v>1.2714960082449278</v>
      </c>
      <c r="K15" s="31">
        <f t="shared" si="4"/>
        <v>1.0438528231223547</v>
      </c>
      <c r="L15" s="31">
        <f t="shared" si="3"/>
        <v>1.2920062999523465</v>
      </c>
      <c r="M15" s="32">
        <f t="shared" si="5"/>
        <v>1.0438528231223547</v>
      </c>
      <c r="Q15" s="24" t="s">
        <v>159</v>
      </c>
      <c r="R15">
        <v>660.47745399999997</v>
      </c>
      <c r="S15" t="str">
        <f t="shared" si="0"/>
        <v>same</v>
      </c>
      <c r="T15" s="24" t="s">
        <v>159</v>
      </c>
      <c r="U15">
        <v>764</v>
      </c>
      <c r="V15" t="str">
        <f t="shared" si="1"/>
        <v>same</v>
      </c>
    </row>
    <row r="16" spans="1:24" ht="20" customHeight="1">
      <c r="A16" s="24" t="s">
        <v>160</v>
      </c>
      <c r="B16">
        <v>665.11936300000002</v>
      </c>
      <c r="C16">
        <v>762</v>
      </c>
      <c r="E16" s="24" t="s">
        <v>312</v>
      </c>
      <c r="F16">
        <f>AVERAGE(B52:B55)</f>
        <v>896.38594149999994</v>
      </c>
      <c r="G16" s="5">
        <f t="shared" si="2"/>
        <v>1.369901190193145</v>
      </c>
      <c r="H16" s="5"/>
      <c r="I16" s="5">
        <f>'NZ LCI'!L58</f>
        <v>1.3351524194407582</v>
      </c>
      <c r="K16" s="31">
        <f t="shared" si="4"/>
        <v>1.0445774309576383</v>
      </c>
      <c r="L16" s="31">
        <f t="shared" si="3"/>
        <v>1.349600621585306</v>
      </c>
      <c r="M16" s="32">
        <f t="shared" si="5"/>
        <v>1.0903851002750273</v>
      </c>
      <c r="Q16" s="24" t="s">
        <v>160</v>
      </c>
      <c r="R16">
        <v>665.11936300000002</v>
      </c>
      <c r="S16" t="str">
        <f t="shared" si="0"/>
        <v>same</v>
      </c>
      <c r="T16" s="24" t="s">
        <v>160</v>
      </c>
      <c r="U16">
        <v>762</v>
      </c>
      <c r="V16" t="str">
        <f t="shared" si="1"/>
        <v>same</v>
      </c>
    </row>
    <row r="17" spans="1:22" ht="20" customHeight="1">
      <c r="A17" s="24" t="s">
        <v>161</v>
      </c>
      <c r="B17">
        <v>665.11936300000002</v>
      </c>
      <c r="C17">
        <v>770</v>
      </c>
      <c r="E17" s="24" t="s">
        <v>210</v>
      </c>
      <c r="F17">
        <f>AVERAGE(B56:B59)</f>
        <v>986.07427025000004</v>
      </c>
      <c r="G17" s="5">
        <f t="shared" si="2"/>
        <v>1.5069673160802377</v>
      </c>
      <c r="H17" s="5"/>
      <c r="I17" s="5">
        <f>'NZ LCI'!L59</f>
        <v>1.38334981518317</v>
      </c>
      <c r="K17" s="31">
        <f t="shared" si="4"/>
        <v>1.06040233766667</v>
      </c>
      <c r="L17" s="31">
        <f t="shared" si="3"/>
        <v>1.4311196540454494</v>
      </c>
      <c r="M17" s="32">
        <f t="shared" si="5"/>
        <v>1.1562469092885455</v>
      </c>
      <c r="Q17" s="24" t="s">
        <v>161</v>
      </c>
      <c r="R17">
        <v>665.11936300000002</v>
      </c>
      <c r="S17" t="str">
        <f t="shared" si="0"/>
        <v>same</v>
      </c>
      <c r="T17" s="24" t="s">
        <v>161</v>
      </c>
      <c r="U17">
        <v>770</v>
      </c>
      <c r="V17" t="str">
        <f t="shared" si="1"/>
        <v>same</v>
      </c>
    </row>
    <row r="18" spans="1:22" ht="20" customHeight="1">
      <c r="A18" s="24" t="s">
        <v>162</v>
      </c>
      <c r="B18">
        <v>663.79310299999997</v>
      </c>
      <c r="C18">
        <v>770</v>
      </c>
      <c r="E18" s="24" t="s">
        <v>212</v>
      </c>
      <c r="F18">
        <f>AVERAGE(B60:B63)</f>
        <v>962.03580899999997</v>
      </c>
      <c r="G18" s="5">
        <f t="shared" si="2"/>
        <v>1.4702305544330372</v>
      </c>
      <c r="H18" s="5"/>
      <c r="I18" s="5">
        <f>'NZ LCI'!L60</f>
        <v>1.4116323854503083</v>
      </c>
      <c r="K18" s="31">
        <f t="shared" si="4"/>
        <v>1.003412274598765</v>
      </c>
      <c r="L18" s="31">
        <f t="shared" si="3"/>
        <v>1.4360030272887421</v>
      </c>
      <c r="M18" s="32">
        <f t="shared" si="5"/>
        <v>1.1601923412470114</v>
      </c>
      <c r="Q18" s="24" t="s">
        <v>162</v>
      </c>
      <c r="R18">
        <v>663.79310299999997</v>
      </c>
      <c r="S18" t="str">
        <f t="shared" si="0"/>
        <v>same</v>
      </c>
      <c r="T18" s="24" t="s">
        <v>162</v>
      </c>
      <c r="U18">
        <v>770</v>
      </c>
      <c r="V18" t="str">
        <f t="shared" si="1"/>
        <v>same</v>
      </c>
    </row>
    <row r="19" spans="1:22" ht="20" customHeight="1">
      <c r="A19" s="24" t="s">
        <v>163</v>
      </c>
      <c r="B19">
        <v>659.15119400000003</v>
      </c>
      <c r="C19">
        <v>771</v>
      </c>
      <c r="E19" s="24" t="s">
        <v>214</v>
      </c>
      <c r="F19">
        <f>AVERAGE(B64:B67)</f>
        <v>999.20026525000003</v>
      </c>
      <c r="G19" s="5">
        <f t="shared" si="2"/>
        <v>1.5270271087883647</v>
      </c>
      <c r="H19" s="5"/>
      <c r="I19" s="5">
        <f>'NZ LCI'!L61</f>
        <v>1.4368714050064102</v>
      </c>
      <c r="K19" s="31">
        <f t="shared" si="4"/>
        <v>1.0257649751785156</v>
      </c>
      <c r="L19" s="31">
        <f t="shared" si="3"/>
        <v>1.4730016096431098</v>
      </c>
      <c r="M19" s="32">
        <f t="shared" si="5"/>
        <v>1.1900846681215445</v>
      </c>
      <c r="Q19" s="24" t="s">
        <v>163</v>
      </c>
      <c r="R19">
        <v>659.15119400000003</v>
      </c>
      <c r="S19" t="str">
        <f t="shared" si="0"/>
        <v>same</v>
      </c>
      <c r="T19" s="24" t="s">
        <v>163</v>
      </c>
      <c r="U19">
        <v>771</v>
      </c>
      <c r="V19" t="str">
        <f t="shared" si="1"/>
        <v>same</v>
      </c>
    </row>
    <row r="20" spans="1:22" ht="20" customHeight="1">
      <c r="A20" s="24" t="s">
        <v>164</v>
      </c>
      <c r="B20">
        <v>663.79310299999997</v>
      </c>
      <c r="C20">
        <v>768</v>
      </c>
      <c r="E20" s="24" t="s">
        <v>216</v>
      </c>
      <c r="F20">
        <f>AVERAGE(B68:B71)</f>
        <v>1038.75</v>
      </c>
      <c r="G20" s="5">
        <f t="shared" si="2"/>
        <v>1.58746896334845</v>
      </c>
      <c r="H20" s="5"/>
      <c r="I20" s="5">
        <f>'NZ LCI'!L62</f>
        <v>1.4635125923156289</v>
      </c>
      <c r="K20" s="31">
        <f t="shared" si="4"/>
        <v>1.0265364146618343</v>
      </c>
      <c r="L20" s="31">
        <f t="shared" si="3"/>
        <v>1.5120897911541487</v>
      </c>
      <c r="M20" s="32">
        <f t="shared" si="5"/>
        <v>1.2216652483575092</v>
      </c>
      <c r="Q20" s="24" t="s">
        <v>164</v>
      </c>
      <c r="R20">
        <v>663.79310299999997</v>
      </c>
      <c r="S20" t="str">
        <f t="shared" si="0"/>
        <v>same</v>
      </c>
      <c r="T20" s="24" t="s">
        <v>164</v>
      </c>
      <c r="U20">
        <v>768</v>
      </c>
      <c r="V20" t="str">
        <f t="shared" si="1"/>
        <v>same</v>
      </c>
    </row>
    <row r="21" spans="1:22" ht="20" customHeight="1">
      <c r="A21" s="24" t="s">
        <v>165</v>
      </c>
      <c r="B21">
        <v>673.74005299999999</v>
      </c>
      <c r="C21">
        <v>749</v>
      </c>
      <c r="E21" s="24" t="s">
        <v>218</v>
      </c>
      <c r="F21">
        <f>AVERAGE(B72:B75)</f>
        <v>1043.25</v>
      </c>
      <c r="G21" s="5">
        <f t="shared" si="2"/>
        <v>1.5943460852113314</v>
      </c>
      <c r="H21" s="5"/>
      <c r="I21" s="5">
        <f>'NZ LCI'!L63</f>
        <v>1.4992678700201065</v>
      </c>
      <c r="K21" s="31">
        <f t="shared" si="4"/>
        <v>1.0167935147755029</v>
      </c>
      <c r="L21" s="31">
        <f t="shared" si="3"/>
        <v>1.5374830934037831</v>
      </c>
      <c r="M21" s="32">
        <f t="shared" si="5"/>
        <v>1.2421813017565195</v>
      </c>
      <c r="Q21" s="24" t="s">
        <v>165</v>
      </c>
      <c r="R21">
        <v>673.74005299999999</v>
      </c>
      <c r="S21" t="str">
        <f t="shared" si="0"/>
        <v>same</v>
      </c>
      <c r="T21" s="24" t="s">
        <v>165</v>
      </c>
      <c r="U21">
        <v>749</v>
      </c>
      <c r="V21" t="str">
        <f t="shared" si="1"/>
        <v>same</v>
      </c>
    </row>
    <row r="22" spans="1:22" ht="20" customHeight="1">
      <c r="A22" s="24" t="s">
        <v>166</v>
      </c>
      <c r="B22">
        <v>684.35013300000003</v>
      </c>
      <c r="C22">
        <v>735</v>
      </c>
      <c r="E22" s="27" t="s">
        <v>220</v>
      </c>
      <c r="F22" s="33">
        <f>AVERAGE(B76:B79)</f>
        <v>1067</v>
      </c>
      <c r="G22" s="34">
        <f t="shared" si="2"/>
        <v>1.6306420061543165</v>
      </c>
      <c r="H22" s="34"/>
      <c r="I22" s="34">
        <f>'NZ LCI'!L64</f>
        <v>1.5371263993542592</v>
      </c>
      <c r="K22" s="35">
        <f t="shared" si="4"/>
        <v>1.0243066842350994</v>
      </c>
      <c r="L22" s="35">
        <f t="shared" si="3"/>
        <v>1.5748542094719526</v>
      </c>
      <c r="M22" s="36">
        <f t="shared" si="5"/>
        <v>1.27237461042106</v>
      </c>
      <c r="Q22" s="24" t="s">
        <v>166</v>
      </c>
      <c r="R22">
        <v>684.35013300000003</v>
      </c>
      <c r="S22" t="str">
        <f t="shared" si="0"/>
        <v>same</v>
      </c>
      <c r="T22" s="24" t="s">
        <v>166</v>
      </c>
      <c r="U22">
        <v>735</v>
      </c>
      <c r="V22" t="str">
        <f t="shared" si="1"/>
        <v>same</v>
      </c>
    </row>
    <row r="23" spans="1:22" ht="20" customHeight="1">
      <c r="A23" s="24" t="s">
        <v>167</v>
      </c>
      <c r="B23">
        <v>694.29708200000005</v>
      </c>
      <c r="C23">
        <v>721</v>
      </c>
      <c r="E23" s="27" t="s">
        <v>222</v>
      </c>
      <c r="F23" s="33">
        <f>AVERAGE(B80:B83)</f>
        <v>1049</v>
      </c>
      <c r="G23" s="34">
        <f t="shared" si="2"/>
        <v>1.6031335187027911</v>
      </c>
      <c r="H23" s="34"/>
      <c r="I23" s="34">
        <f>'NZ LCI'!L65</f>
        <v>1.571128967367341</v>
      </c>
      <c r="K23" s="35">
        <f t="shared" si="4"/>
        <v>1.007304440566428</v>
      </c>
      <c r="L23" s="35">
        <f t="shared" si="3"/>
        <v>1.5863576384458296</v>
      </c>
      <c r="M23" s="36">
        <f t="shared" si="5"/>
        <v>1.2816685951411126</v>
      </c>
      <c r="Q23" s="24" t="s">
        <v>167</v>
      </c>
      <c r="R23">
        <v>694.29708200000005</v>
      </c>
      <c r="S23" t="str">
        <f t="shared" si="0"/>
        <v>same</v>
      </c>
      <c r="T23" s="24" t="s">
        <v>167</v>
      </c>
      <c r="U23">
        <v>721</v>
      </c>
      <c r="V23" t="str">
        <f t="shared" si="1"/>
        <v>same</v>
      </c>
    </row>
    <row r="24" spans="1:22" ht="20" customHeight="1">
      <c r="A24" s="24" t="s">
        <v>168</v>
      </c>
      <c r="B24">
        <v>702.91777200000001</v>
      </c>
      <c r="C24">
        <v>720</v>
      </c>
      <c r="E24" s="27" t="s">
        <v>224</v>
      </c>
      <c r="F24" s="33">
        <f>AVERAGE(B84:B87)</f>
        <v>1034.75</v>
      </c>
      <c r="G24" s="34">
        <f t="shared" si="2"/>
        <v>1.581355966137</v>
      </c>
      <c r="H24" s="34"/>
      <c r="I24" s="34">
        <f>'NZ LCI'!L66</f>
        <v>1.5942647352937676</v>
      </c>
      <c r="K24" s="35">
        <f t="shared" si="4"/>
        <v>1.0039677936404021</v>
      </c>
      <c r="L24" s="35">
        <f t="shared" si="3"/>
        <v>1.5926519781950583</v>
      </c>
      <c r="M24" s="36">
        <f t="shared" si="5"/>
        <v>1.2867539916420168</v>
      </c>
      <c r="Q24" s="24" t="s">
        <v>168</v>
      </c>
      <c r="R24">
        <v>702.91777200000001</v>
      </c>
      <c r="S24" t="str">
        <f t="shared" si="0"/>
        <v>same</v>
      </c>
      <c r="T24" s="24" t="s">
        <v>168</v>
      </c>
      <c r="U24">
        <v>720</v>
      </c>
      <c r="V24" t="str">
        <f t="shared" si="1"/>
        <v>same</v>
      </c>
    </row>
    <row r="25" spans="1:22" ht="20" customHeight="1">
      <c r="A25" s="24" t="s">
        <v>169</v>
      </c>
      <c r="B25">
        <v>730.76923099999999</v>
      </c>
      <c r="C25">
        <v>720</v>
      </c>
      <c r="E25" s="27" t="s">
        <v>226</v>
      </c>
      <c r="F25" s="33">
        <f>AVERAGE(B88:B91)</f>
        <v>1052.5</v>
      </c>
      <c r="G25" s="34">
        <f t="shared" si="2"/>
        <v>1.6084823912628099</v>
      </c>
      <c r="H25" s="34"/>
      <c r="I25" s="34">
        <f>'NZ LCI'!L67</f>
        <v>1.6166994193436359</v>
      </c>
      <c r="K25" s="35">
        <f t="shared" si="4"/>
        <v>1.0152431968853661</v>
      </c>
      <c r="L25" s="35">
        <f t="shared" si="3"/>
        <v>1.6169290858685534</v>
      </c>
      <c r="M25" s="36">
        <f t="shared" si="5"/>
        <v>1.3063682360796467</v>
      </c>
      <c r="Q25" s="24" t="s">
        <v>169</v>
      </c>
      <c r="R25">
        <v>730.76923099999999</v>
      </c>
      <c r="S25" t="str">
        <f t="shared" si="0"/>
        <v>same</v>
      </c>
      <c r="T25" s="24" t="s">
        <v>169</v>
      </c>
      <c r="U25">
        <v>720</v>
      </c>
      <c r="V25" t="str">
        <f t="shared" si="1"/>
        <v>same</v>
      </c>
    </row>
    <row r="26" spans="1:22" ht="20" customHeight="1">
      <c r="A26" s="24" t="s">
        <v>170</v>
      </c>
      <c r="B26">
        <v>757.95755999999994</v>
      </c>
      <c r="C26">
        <v>732</v>
      </c>
      <c r="E26" s="27" t="s">
        <v>228</v>
      </c>
      <c r="F26" s="33">
        <f>AVERAGE(B92:B95)</f>
        <v>1099.75</v>
      </c>
      <c r="G26" s="34">
        <f t="shared" si="2"/>
        <v>1.6806921708230642</v>
      </c>
      <c r="I26" s="34">
        <f>'NZ LCI'!L68</f>
        <v>1.6401857292083417</v>
      </c>
      <c r="K26" s="35">
        <f t="shared" si="4"/>
        <v>1.0260663208443119</v>
      </c>
      <c r="L26" s="35">
        <f t="shared" si="3"/>
        <v>1.6590764782033032</v>
      </c>
      <c r="M26" s="36">
        <f t="shared" si="5"/>
        <v>1.3404204496621166</v>
      </c>
      <c r="Q26" s="24" t="s">
        <v>170</v>
      </c>
      <c r="R26">
        <v>757.95755999999994</v>
      </c>
      <c r="S26" t="str">
        <f t="shared" si="0"/>
        <v>same</v>
      </c>
      <c r="T26" s="24" t="s">
        <v>170</v>
      </c>
      <c r="U26">
        <v>732</v>
      </c>
      <c r="V26" t="str">
        <f t="shared" si="1"/>
        <v>same</v>
      </c>
    </row>
    <row r="27" spans="1:22" ht="20" customHeight="1">
      <c r="A27" s="24" t="s">
        <v>171</v>
      </c>
      <c r="B27">
        <v>750</v>
      </c>
      <c r="C27">
        <v>754</v>
      </c>
      <c r="E27" s="27" t="s">
        <v>230</v>
      </c>
      <c r="F27" s="33">
        <f>AVERAGE(B96:B99)</f>
        <v>1144</v>
      </c>
      <c r="G27" s="34">
        <f t="shared" si="2"/>
        <v>1.7483172024747311</v>
      </c>
      <c r="I27" s="34">
        <f>'NZ LCI'!L69</f>
        <v>1.666125832641002</v>
      </c>
      <c r="K27" s="35">
        <f t="shared" si="4"/>
        <v>1.0250953525983997</v>
      </c>
      <c r="L27" s="35">
        <f t="shared" si="3"/>
        <v>1.7007115874115262</v>
      </c>
      <c r="M27" s="36">
        <f t="shared" si="5"/>
        <v>1.3740587734764929</v>
      </c>
      <c r="Q27" s="24" t="s">
        <v>171</v>
      </c>
      <c r="R27">
        <v>750</v>
      </c>
      <c r="S27" t="str">
        <f t="shared" si="0"/>
        <v>same</v>
      </c>
      <c r="T27" s="24" t="s">
        <v>171</v>
      </c>
      <c r="U27">
        <v>754</v>
      </c>
      <c r="V27" t="str">
        <f t="shared" si="1"/>
        <v>same</v>
      </c>
    </row>
    <row r="28" spans="1:22" ht="20" customHeight="1">
      <c r="A28" s="24" t="s">
        <v>172</v>
      </c>
      <c r="B28">
        <v>760.61008000000004</v>
      </c>
      <c r="C28">
        <v>822</v>
      </c>
      <c r="E28" s="27" t="s">
        <v>414</v>
      </c>
      <c r="F28" s="33">
        <f>AVERAGE(B100:B103)</f>
        <v>1163.25</v>
      </c>
      <c r="G28" s="34">
        <f t="shared" si="2"/>
        <v>1.7777360015548347</v>
      </c>
      <c r="I28" s="34">
        <f>'NZ LCI'!L70</f>
        <v>1.6997778587158046</v>
      </c>
      <c r="K28" s="35">
        <f t="shared" si="4"/>
        <v>1.0189168480635713</v>
      </c>
      <c r="L28" s="35">
        <f t="shared" si="3"/>
        <v>1.7328836901105451</v>
      </c>
      <c r="M28" s="36">
        <f t="shared" si="5"/>
        <v>1.4000516345247649</v>
      </c>
      <c r="Q28" s="24" t="s">
        <v>172</v>
      </c>
      <c r="R28">
        <v>760.61008000000004</v>
      </c>
      <c r="S28" t="str">
        <f t="shared" si="0"/>
        <v>same</v>
      </c>
      <c r="T28" s="24" t="s">
        <v>172</v>
      </c>
      <c r="U28">
        <v>822</v>
      </c>
      <c r="V28" t="str">
        <f t="shared" si="1"/>
        <v>same</v>
      </c>
    </row>
    <row r="29" spans="1:22" ht="20" customHeight="1">
      <c r="A29" s="24" t="s">
        <v>173</v>
      </c>
      <c r="B29">
        <v>775.86206900000002</v>
      </c>
      <c r="C29">
        <v>941</v>
      </c>
      <c r="Q29" s="24" t="s">
        <v>173</v>
      </c>
      <c r="R29">
        <v>775.86206900000002</v>
      </c>
      <c r="S29" t="str">
        <f t="shared" si="0"/>
        <v>same</v>
      </c>
      <c r="T29" s="24" t="s">
        <v>173</v>
      </c>
      <c r="U29">
        <v>941</v>
      </c>
      <c r="V29" t="str">
        <f t="shared" si="1"/>
        <v>same</v>
      </c>
    </row>
    <row r="30" spans="1:22" ht="20" customHeight="1">
      <c r="A30" s="24" t="s">
        <v>174</v>
      </c>
      <c r="B30">
        <v>771.88328899999999</v>
      </c>
      <c r="C30">
        <v>950</v>
      </c>
      <c r="Q30" s="24" t="s">
        <v>174</v>
      </c>
      <c r="R30">
        <v>771.88328899999999</v>
      </c>
      <c r="S30" t="str">
        <f t="shared" si="0"/>
        <v>same</v>
      </c>
      <c r="T30" s="24" t="s">
        <v>174</v>
      </c>
      <c r="U30">
        <v>950</v>
      </c>
      <c r="V30" t="str">
        <f t="shared" si="1"/>
        <v>same</v>
      </c>
    </row>
    <row r="31" spans="1:22" ht="20" customHeight="1">
      <c r="A31" s="24" t="s">
        <v>175</v>
      </c>
      <c r="B31">
        <v>771.22015899999997</v>
      </c>
      <c r="C31">
        <v>961</v>
      </c>
      <c r="Q31" s="24" t="s">
        <v>175</v>
      </c>
      <c r="R31">
        <v>771.22015899999997</v>
      </c>
      <c r="S31" t="str">
        <f t="shared" si="0"/>
        <v>same</v>
      </c>
      <c r="T31" s="24" t="s">
        <v>175</v>
      </c>
      <c r="U31">
        <v>961</v>
      </c>
      <c r="V31" t="str">
        <f t="shared" si="1"/>
        <v>same</v>
      </c>
    </row>
    <row r="32" spans="1:22" ht="20" customHeight="1">
      <c r="A32" s="24" t="s">
        <v>176</v>
      </c>
      <c r="B32">
        <v>771.22015899999997</v>
      </c>
      <c r="C32">
        <v>934</v>
      </c>
      <c r="Q32" s="24" t="s">
        <v>176</v>
      </c>
      <c r="R32">
        <v>771.22015899999997</v>
      </c>
      <c r="S32" t="str">
        <f t="shared" si="0"/>
        <v>same</v>
      </c>
      <c r="T32" s="24" t="s">
        <v>176</v>
      </c>
      <c r="U32">
        <v>934</v>
      </c>
      <c r="V32" t="str">
        <f t="shared" si="1"/>
        <v>same</v>
      </c>
    </row>
    <row r="33" spans="1:22" ht="20" customHeight="1">
      <c r="A33" s="24" t="s">
        <v>177</v>
      </c>
      <c r="B33">
        <v>759.28381999999999</v>
      </c>
      <c r="C33">
        <v>811</v>
      </c>
      <c r="Q33" s="24" t="s">
        <v>177</v>
      </c>
      <c r="R33">
        <v>759.28381999999999</v>
      </c>
      <c r="S33" t="str">
        <f t="shared" si="0"/>
        <v>same</v>
      </c>
      <c r="T33" s="24" t="s">
        <v>177</v>
      </c>
      <c r="U33">
        <v>811</v>
      </c>
      <c r="V33" t="str">
        <f t="shared" si="1"/>
        <v>same</v>
      </c>
    </row>
    <row r="34" spans="1:22" ht="20" customHeight="1">
      <c r="A34" s="24" t="s">
        <v>178</v>
      </c>
      <c r="B34">
        <v>760.61008000000004</v>
      </c>
      <c r="C34">
        <v>804</v>
      </c>
      <c r="Q34" s="24" t="s">
        <v>178</v>
      </c>
      <c r="R34">
        <v>760.61008000000004</v>
      </c>
      <c r="S34" t="str">
        <f t="shared" si="0"/>
        <v>same</v>
      </c>
      <c r="T34" s="24" t="s">
        <v>178</v>
      </c>
      <c r="U34">
        <v>804</v>
      </c>
      <c r="V34" t="str">
        <f t="shared" si="1"/>
        <v>same</v>
      </c>
    </row>
    <row r="35" spans="1:22" ht="20" customHeight="1">
      <c r="A35" s="24" t="s">
        <v>179</v>
      </c>
      <c r="B35">
        <v>760.61008000000004</v>
      </c>
      <c r="C35">
        <v>931</v>
      </c>
      <c r="Q35" s="24" t="s">
        <v>179</v>
      </c>
      <c r="R35">
        <v>760.61008000000004</v>
      </c>
      <c r="S35" t="str">
        <f t="shared" ref="S35:S66" si="6">IF(R35=B35,"same","DIFF")</f>
        <v>same</v>
      </c>
      <c r="T35" s="24" t="s">
        <v>179</v>
      </c>
      <c r="U35">
        <v>931</v>
      </c>
      <c r="V35" t="str">
        <f t="shared" ref="V35:V66" si="7">IF(U35=C35,"same","DIFF")</f>
        <v>same</v>
      </c>
    </row>
    <row r="36" spans="1:22" ht="20" customHeight="1">
      <c r="A36" s="24" t="s">
        <v>180</v>
      </c>
      <c r="B36">
        <v>756.63130000000001</v>
      </c>
      <c r="C36">
        <v>1023</v>
      </c>
      <c r="Q36" s="24" t="s">
        <v>180</v>
      </c>
      <c r="R36">
        <v>756.63130000000001</v>
      </c>
      <c r="S36" t="str">
        <f t="shared" si="6"/>
        <v>same</v>
      </c>
      <c r="T36" s="24" t="s">
        <v>180</v>
      </c>
      <c r="U36">
        <v>1023</v>
      </c>
      <c r="V36" t="str">
        <f t="shared" si="7"/>
        <v>same</v>
      </c>
    </row>
    <row r="37" spans="1:22" ht="20" customHeight="1">
      <c r="A37" s="24" t="s">
        <v>181</v>
      </c>
      <c r="B37">
        <v>760.61008000000004</v>
      </c>
      <c r="C37">
        <v>1099</v>
      </c>
      <c r="Q37" s="24" t="s">
        <v>181</v>
      </c>
      <c r="R37">
        <v>760.61008000000004</v>
      </c>
      <c r="S37" t="str">
        <f t="shared" si="6"/>
        <v>same</v>
      </c>
      <c r="T37" s="24" t="s">
        <v>181</v>
      </c>
      <c r="U37">
        <v>1099</v>
      </c>
      <c r="V37" t="str">
        <f t="shared" si="7"/>
        <v>same</v>
      </c>
    </row>
    <row r="38" spans="1:22" ht="20" customHeight="1">
      <c r="A38" s="24" t="s">
        <v>182</v>
      </c>
      <c r="B38">
        <v>761.27320999999995</v>
      </c>
      <c r="C38">
        <v>1118</v>
      </c>
      <c r="Q38" s="24" t="s">
        <v>182</v>
      </c>
      <c r="R38">
        <v>761.27320999999995</v>
      </c>
      <c r="S38" t="str">
        <f t="shared" si="6"/>
        <v>same</v>
      </c>
      <c r="T38" s="24" t="s">
        <v>182</v>
      </c>
      <c r="U38">
        <v>1118</v>
      </c>
      <c r="V38" t="str">
        <f t="shared" si="7"/>
        <v>same</v>
      </c>
    </row>
    <row r="39" spans="1:22" ht="20" customHeight="1">
      <c r="A39" s="24" t="s">
        <v>183</v>
      </c>
      <c r="B39">
        <v>757.95755999999994</v>
      </c>
      <c r="C39">
        <v>1011</v>
      </c>
      <c r="Q39" s="24" t="s">
        <v>183</v>
      </c>
      <c r="R39">
        <v>757.95755999999994</v>
      </c>
      <c r="S39" t="str">
        <f t="shared" si="6"/>
        <v>same</v>
      </c>
      <c r="T39" s="24" t="s">
        <v>183</v>
      </c>
      <c r="U39">
        <v>1011</v>
      </c>
      <c r="V39" t="str">
        <f t="shared" si="7"/>
        <v>same</v>
      </c>
    </row>
    <row r="40" spans="1:22" ht="20" customHeight="1">
      <c r="A40" s="24" t="s">
        <v>184</v>
      </c>
      <c r="B40">
        <v>772.54641900000001</v>
      </c>
      <c r="C40">
        <v>915</v>
      </c>
      <c r="Q40" s="24" t="s">
        <v>184</v>
      </c>
      <c r="R40">
        <v>772.54641900000001</v>
      </c>
      <c r="S40" t="str">
        <f t="shared" si="6"/>
        <v>same</v>
      </c>
      <c r="T40" s="24" t="s">
        <v>184</v>
      </c>
      <c r="U40">
        <v>915</v>
      </c>
      <c r="V40" t="str">
        <f t="shared" si="7"/>
        <v>same</v>
      </c>
    </row>
    <row r="41" spans="1:22" ht="20" customHeight="1">
      <c r="A41" s="24" t="s">
        <v>187</v>
      </c>
      <c r="B41">
        <v>779.84084900000005</v>
      </c>
      <c r="C41">
        <v>855</v>
      </c>
      <c r="Q41" s="24" t="s">
        <v>187</v>
      </c>
      <c r="R41">
        <v>779.84084900000005</v>
      </c>
      <c r="S41" t="str">
        <f t="shared" si="6"/>
        <v>same</v>
      </c>
      <c r="T41" s="24" t="s">
        <v>187</v>
      </c>
      <c r="U41">
        <v>855</v>
      </c>
      <c r="V41" t="str">
        <f t="shared" si="7"/>
        <v>same</v>
      </c>
    </row>
    <row r="42" spans="1:22" ht="20" customHeight="1">
      <c r="A42" s="24" t="s">
        <v>189</v>
      </c>
      <c r="B42">
        <v>786.47214799999995</v>
      </c>
      <c r="C42">
        <v>850</v>
      </c>
      <c r="Q42" s="24" t="s">
        <v>189</v>
      </c>
      <c r="R42">
        <v>786.47214799999995</v>
      </c>
      <c r="S42" t="str">
        <f t="shared" si="6"/>
        <v>same</v>
      </c>
      <c r="T42" s="24" t="s">
        <v>189</v>
      </c>
      <c r="U42">
        <v>850</v>
      </c>
      <c r="V42" t="str">
        <f t="shared" si="7"/>
        <v>same</v>
      </c>
    </row>
    <row r="43" spans="1:22" ht="20" customHeight="1">
      <c r="A43" s="24" t="s">
        <v>192</v>
      </c>
      <c r="B43">
        <v>785.80901900000003</v>
      </c>
      <c r="C43">
        <v>883</v>
      </c>
      <c r="Q43" s="24" t="s">
        <v>192</v>
      </c>
      <c r="R43">
        <v>785.80901900000003</v>
      </c>
      <c r="S43" t="str">
        <f t="shared" si="6"/>
        <v>same</v>
      </c>
      <c r="T43" s="24" t="s">
        <v>192</v>
      </c>
      <c r="U43">
        <v>883</v>
      </c>
      <c r="V43" t="str">
        <f t="shared" si="7"/>
        <v>same</v>
      </c>
    </row>
    <row r="44" spans="1:22" ht="20" customHeight="1">
      <c r="A44" s="24" t="s">
        <v>193</v>
      </c>
      <c r="B44">
        <v>802.38726799999995</v>
      </c>
      <c r="C44">
        <v>930</v>
      </c>
      <c r="Q44" s="24" t="s">
        <v>193</v>
      </c>
      <c r="R44">
        <v>802.38726799999995</v>
      </c>
      <c r="S44" t="str">
        <f t="shared" si="6"/>
        <v>same</v>
      </c>
      <c r="T44" s="24" t="s">
        <v>193</v>
      </c>
      <c r="U44">
        <v>930</v>
      </c>
      <c r="V44" t="str">
        <f t="shared" si="7"/>
        <v>same</v>
      </c>
    </row>
    <row r="45" spans="1:22" ht="20" customHeight="1">
      <c r="A45" s="24" t="s">
        <v>194</v>
      </c>
      <c r="B45">
        <v>822.28116699999998</v>
      </c>
      <c r="C45">
        <v>1044</v>
      </c>
      <c r="Q45" s="24" t="s">
        <v>194</v>
      </c>
      <c r="R45">
        <v>822.28116699999998</v>
      </c>
      <c r="S45" t="str">
        <f t="shared" si="6"/>
        <v>same</v>
      </c>
      <c r="T45" s="24" t="s">
        <v>194</v>
      </c>
      <c r="U45">
        <v>1044</v>
      </c>
      <c r="V45" t="str">
        <f t="shared" si="7"/>
        <v>same</v>
      </c>
    </row>
    <row r="46" spans="1:22" ht="20" customHeight="1">
      <c r="A46" s="24" t="s">
        <v>195</v>
      </c>
      <c r="B46">
        <v>829.57559700000002</v>
      </c>
      <c r="C46">
        <v>1149</v>
      </c>
      <c r="Q46" s="24" t="s">
        <v>195</v>
      </c>
      <c r="R46">
        <v>829.57559700000002</v>
      </c>
      <c r="S46" t="str">
        <f t="shared" si="6"/>
        <v>same</v>
      </c>
      <c r="T46" s="24" t="s">
        <v>195</v>
      </c>
      <c r="U46">
        <v>1149</v>
      </c>
      <c r="V46" t="str">
        <f t="shared" si="7"/>
        <v>same</v>
      </c>
    </row>
    <row r="47" spans="1:22" ht="20" customHeight="1">
      <c r="A47" s="24" t="s">
        <v>196</v>
      </c>
      <c r="B47">
        <v>838.19628599999999</v>
      </c>
      <c r="C47">
        <v>1244</v>
      </c>
      <c r="Q47" s="24" t="s">
        <v>196</v>
      </c>
      <c r="R47">
        <v>838.19628599999999</v>
      </c>
      <c r="S47" t="str">
        <f t="shared" si="6"/>
        <v>same</v>
      </c>
      <c r="T47" s="24" t="s">
        <v>196</v>
      </c>
      <c r="U47">
        <v>1244</v>
      </c>
      <c r="V47" t="str">
        <f t="shared" si="7"/>
        <v>same</v>
      </c>
    </row>
    <row r="48" spans="1:22" ht="20" customHeight="1">
      <c r="A48" s="24" t="s">
        <v>197</v>
      </c>
      <c r="B48">
        <v>862.73209599999996</v>
      </c>
      <c r="C48">
        <v>1137</v>
      </c>
      <c r="Q48" s="24" t="s">
        <v>197</v>
      </c>
      <c r="R48">
        <v>862.73209599999996</v>
      </c>
      <c r="S48" t="str">
        <f t="shared" si="6"/>
        <v>same</v>
      </c>
      <c r="T48" s="24" t="s">
        <v>197</v>
      </c>
      <c r="U48">
        <v>1137</v>
      </c>
      <c r="V48" t="str">
        <f t="shared" si="7"/>
        <v>same</v>
      </c>
    </row>
    <row r="49" spans="1:22" ht="20" customHeight="1">
      <c r="A49" s="24" t="s">
        <v>198</v>
      </c>
      <c r="B49">
        <v>874.66843500000004</v>
      </c>
      <c r="C49">
        <v>1013</v>
      </c>
      <c r="Q49" s="24" t="s">
        <v>198</v>
      </c>
      <c r="R49">
        <v>874.66843500000004</v>
      </c>
      <c r="S49" t="str">
        <f t="shared" si="6"/>
        <v>same</v>
      </c>
      <c r="T49" s="24" t="s">
        <v>198</v>
      </c>
      <c r="U49">
        <v>1013</v>
      </c>
      <c r="V49" t="str">
        <f t="shared" si="7"/>
        <v>same</v>
      </c>
    </row>
    <row r="50" spans="1:22" ht="20" customHeight="1">
      <c r="A50" s="24" t="s">
        <v>199</v>
      </c>
      <c r="B50">
        <v>865.38461500000005</v>
      </c>
      <c r="C50">
        <v>913</v>
      </c>
      <c r="Q50" s="24" t="s">
        <v>199</v>
      </c>
      <c r="R50">
        <v>865.38461500000005</v>
      </c>
      <c r="S50" t="str">
        <f t="shared" si="6"/>
        <v>same</v>
      </c>
      <c r="T50" s="24" t="s">
        <v>199</v>
      </c>
      <c r="U50">
        <v>913</v>
      </c>
      <c r="V50" t="str">
        <f t="shared" si="7"/>
        <v>same</v>
      </c>
    </row>
    <row r="51" spans="1:22" ht="20" customHeight="1">
      <c r="A51" s="24" t="s">
        <v>200</v>
      </c>
      <c r="B51">
        <v>859.41644599999995</v>
      </c>
      <c r="C51">
        <v>905</v>
      </c>
      <c r="Q51" s="24" t="s">
        <v>200</v>
      </c>
      <c r="R51">
        <v>859.41644599999995</v>
      </c>
      <c r="S51" t="str">
        <f t="shared" si="6"/>
        <v>same</v>
      </c>
      <c r="T51" s="24" t="s">
        <v>200</v>
      </c>
      <c r="U51">
        <v>905</v>
      </c>
      <c r="V51" t="str">
        <f t="shared" si="7"/>
        <v>same</v>
      </c>
    </row>
    <row r="52" spans="1:22" ht="20" customHeight="1">
      <c r="A52" s="24" t="s">
        <v>201</v>
      </c>
      <c r="B52">
        <v>870.02652499999999</v>
      </c>
      <c r="C52">
        <v>1008</v>
      </c>
      <c r="Q52" s="24" t="s">
        <v>201</v>
      </c>
      <c r="R52">
        <v>870.02652499999999</v>
      </c>
      <c r="S52" t="str">
        <f t="shared" si="6"/>
        <v>same</v>
      </c>
      <c r="T52" s="24" t="s">
        <v>201</v>
      </c>
      <c r="U52">
        <v>1008</v>
      </c>
      <c r="V52" t="str">
        <f t="shared" si="7"/>
        <v>same</v>
      </c>
    </row>
    <row r="53" spans="1:22" ht="20" customHeight="1">
      <c r="A53" s="24" t="s">
        <v>202</v>
      </c>
      <c r="B53">
        <v>891.24668399999996</v>
      </c>
      <c r="C53">
        <v>963</v>
      </c>
      <c r="Q53" s="24" t="s">
        <v>202</v>
      </c>
      <c r="R53">
        <v>891.24668399999996</v>
      </c>
      <c r="S53" t="str">
        <f t="shared" si="6"/>
        <v>same</v>
      </c>
      <c r="T53" s="24" t="s">
        <v>202</v>
      </c>
      <c r="U53">
        <v>963</v>
      </c>
      <c r="V53" t="str">
        <f t="shared" si="7"/>
        <v>same</v>
      </c>
    </row>
    <row r="54" spans="1:22" ht="20" customHeight="1">
      <c r="A54" s="24" t="s">
        <v>203</v>
      </c>
      <c r="B54">
        <v>902.51989400000002</v>
      </c>
      <c r="C54">
        <v>902</v>
      </c>
      <c r="Q54" s="24" t="s">
        <v>203</v>
      </c>
      <c r="R54">
        <v>902.51989400000002</v>
      </c>
      <c r="S54" t="str">
        <f t="shared" si="6"/>
        <v>same</v>
      </c>
      <c r="T54" s="24" t="s">
        <v>203</v>
      </c>
      <c r="U54">
        <v>902</v>
      </c>
      <c r="V54" t="str">
        <f t="shared" si="7"/>
        <v>same</v>
      </c>
    </row>
    <row r="55" spans="1:22" ht="20" customHeight="1">
      <c r="A55" s="24" t="s">
        <v>204</v>
      </c>
      <c r="B55">
        <v>921.75066300000003</v>
      </c>
      <c r="C55">
        <v>1211</v>
      </c>
      <c r="Q55" s="24" t="s">
        <v>204</v>
      </c>
      <c r="R55">
        <v>921.75066300000003</v>
      </c>
      <c r="S55" t="str">
        <f t="shared" si="6"/>
        <v>same</v>
      </c>
      <c r="T55" s="24" t="s">
        <v>204</v>
      </c>
      <c r="U55">
        <v>1211</v>
      </c>
      <c r="V55" t="str">
        <f t="shared" si="7"/>
        <v>same</v>
      </c>
    </row>
    <row r="56" spans="1:22" ht="20" customHeight="1">
      <c r="A56" s="24" t="s">
        <v>205</v>
      </c>
      <c r="B56">
        <v>976.79045099999996</v>
      </c>
      <c r="C56">
        <v>1754</v>
      </c>
      <c r="Q56" s="24" t="s">
        <v>205</v>
      </c>
      <c r="R56">
        <v>976.79045099999996</v>
      </c>
      <c r="S56" t="str">
        <f t="shared" si="6"/>
        <v>same</v>
      </c>
      <c r="T56" s="24" t="s">
        <v>205</v>
      </c>
      <c r="U56">
        <v>1754</v>
      </c>
      <c r="V56" t="str">
        <f t="shared" si="7"/>
        <v>same</v>
      </c>
    </row>
    <row r="57" spans="1:22" ht="20" customHeight="1">
      <c r="A57" s="24" t="s">
        <v>206</v>
      </c>
      <c r="B57">
        <v>1012.599469</v>
      </c>
      <c r="C57">
        <v>1257</v>
      </c>
      <c r="Q57" s="24" t="s">
        <v>206</v>
      </c>
      <c r="R57">
        <v>1012.599469</v>
      </c>
      <c r="S57" t="str">
        <f t="shared" si="6"/>
        <v>same</v>
      </c>
      <c r="T57" s="24" t="s">
        <v>206</v>
      </c>
      <c r="U57">
        <v>1257</v>
      </c>
      <c r="V57" t="str">
        <f t="shared" si="7"/>
        <v>same</v>
      </c>
    </row>
    <row r="58" spans="1:22" ht="20" customHeight="1">
      <c r="A58" s="24" t="s">
        <v>207</v>
      </c>
      <c r="B58">
        <v>990.05304999999998</v>
      </c>
      <c r="C58">
        <v>915</v>
      </c>
      <c r="Q58" s="24" t="s">
        <v>207</v>
      </c>
      <c r="R58">
        <v>990.05304999999998</v>
      </c>
      <c r="S58" t="str">
        <f t="shared" si="6"/>
        <v>same</v>
      </c>
      <c r="T58" s="24" t="s">
        <v>207</v>
      </c>
      <c r="U58">
        <v>915</v>
      </c>
      <c r="V58" t="str">
        <f t="shared" si="7"/>
        <v>same</v>
      </c>
    </row>
    <row r="59" spans="1:22" ht="20" customHeight="1">
      <c r="A59" s="24" t="s">
        <v>208</v>
      </c>
      <c r="B59">
        <v>964.85411099999999</v>
      </c>
      <c r="C59">
        <v>904</v>
      </c>
      <c r="Q59" s="24" t="s">
        <v>208</v>
      </c>
      <c r="R59">
        <v>964.85411099999999</v>
      </c>
      <c r="S59" t="str">
        <f t="shared" si="6"/>
        <v>same</v>
      </c>
      <c r="T59" s="24" t="s">
        <v>208</v>
      </c>
      <c r="U59">
        <v>904</v>
      </c>
      <c r="V59" t="str">
        <f t="shared" si="7"/>
        <v>same</v>
      </c>
    </row>
    <row r="60" spans="1:22" ht="20" customHeight="1">
      <c r="A60" s="24" t="s">
        <v>209</v>
      </c>
      <c r="B60">
        <v>964.85411099999999</v>
      </c>
      <c r="C60">
        <v>988</v>
      </c>
      <c r="Q60" s="24" t="s">
        <v>209</v>
      </c>
      <c r="R60">
        <v>964.85411099999999</v>
      </c>
      <c r="S60" t="str">
        <f t="shared" si="6"/>
        <v>same</v>
      </c>
      <c r="T60" s="24" t="s">
        <v>209</v>
      </c>
      <c r="U60">
        <v>988</v>
      </c>
      <c r="V60" t="str">
        <f t="shared" si="7"/>
        <v>same</v>
      </c>
    </row>
    <row r="61" spans="1:22" ht="20" customHeight="1">
      <c r="A61" s="24" t="s">
        <v>211</v>
      </c>
      <c r="B61">
        <v>954.24403199999995</v>
      </c>
      <c r="C61">
        <v>910</v>
      </c>
      <c r="Q61" s="24" t="s">
        <v>211</v>
      </c>
      <c r="R61">
        <v>954.24403199999995</v>
      </c>
      <c r="S61" t="str">
        <f t="shared" si="6"/>
        <v>same</v>
      </c>
      <c r="T61" s="24" t="s">
        <v>211</v>
      </c>
      <c r="U61">
        <v>910</v>
      </c>
      <c r="V61" t="str">
        <f t="shared" si="7"/>
        <v>same</v>
      </c>
    </row>
    <row r="62" spans="1:22" ht="20" customHeight="1">
      <c r="A62" s="24" t="s">
        <v>213</v>
      </c>
      <c r="B62">
        <v>958.22281199999998</v>
      </c>
      <c r="C62">
        <v>961</v>
      </c>
      <c r="Q62" s="24" t="s">
        <v>213</v>
      </c>
      <c r="R62">
        <v>958.22281199999998</v>
      </c>
      <c r="S62" t="str">
        <f t="shared" si="6"/>
        <v>same</v>
      </c>
      <c r="T62" s="24" t="s">
        <v>213</v>
      </c>
      <c r="U62">
        <v>961</v>
      </c>
      <c r="V62" t="str">
        <f t="shared" si="7"/>
        <v>same</v>
      </c>
    </row>
    <row r="63" spans="1:22" ht="20" customHeight="1">
      <c r="A63" s="24" t="s">
        <v>215</v>
      </c>
      <c r="B63">
        <v>970.82228099999998</v>
      </c>
      <c r="C63">
        <v>1092</v>
      </c>
      <c r="Q63" s="24" t="s">
        <v>215</v>
      </c>
      <c r="R63">
        <v>970.82228099999998</v>
      </c>
      <c r="S63" t="str">
        <f t="shared" si="6"/>
        <v>same</v>
      </c>
      <c r="T63" s="24" t="s">
        <v>215</v>
      </c>
      <c r="U63">
        <v>1092</v>
      </c>
      <c r="V63" t="str">
        <f t="shared" si="7"/>
        <v>same</v>
      </c>
    </row>
    <row r="64" spans="1:22" ht="20" customHeight="1">
      <c r="A64" s="24" t="s">
        <v>217</v>
      </c>
      <c r="B64">
        <v>984.084881</v>
      </c>
      <c r="C64">
        <v>1045</v>
      </c>
      <c r="Q64" s="24" t="s">
        <v>217</v>
      </c>
      <c r="R64">
        <v>984.084881</v>
      </c>
      <c r="S64" t="str">
        <f t="shared" si="6"/>
        <v>same</v>
      </c>
      <c r="T64" s="24" t="s">
        <v>217</v>
      </c>
      <c r="U64">
        <v>1045</v>
      </c>
      <c r="V64" t="str">
        <f t="shared" si="7"/>
        <v>same</v>
      </c>
    </row>
    <row r="65" spans="1:22" ht="20" customHeight="1">
      <c r="A65" s="24" t="s">
        <v>219</v>
      </c>
      <c r="B65">
        <v>990.71618000000001</v>
      </c>
      <c r="C65">
        <v>1001</v>
      </c>
      <c r="Q65" s="24" t="s">
        <v>219</v>
      </c>
      <c r="R65">
        <v>990.71618000000001</v>
      </c>
      <c r="S65" t="str">
        <f t="shared" si="6"/>
        <v>same</v>
      </c>
      <c r="T65" s="24" t="s">
        <v>219</v>
      </c>
      <c r="U65">
        <v>1001</v>
      </c>
      <c r="V65" t="str">
        <f t="shared" si="7"/>
        <v>same</v>
      </c>
    </row>
    <row r="66" spans="1:22" ht="20" customHeight="1">
      <c r="A66" s="24" t="s">
        <v>221</v>
      </c>
      <c r="B66">
        <v>1000</v>
      </c>
      <c r="C66">
        <v>1000</v>
      </c>
      <c r="Q66" s="24" t="s">
        <v>221</v>
      </c>
      <c r="R66">
        <v>1000</v>
      </c>
      <c r="S66" t="str">
        <f t="shared" si="6"/>
        <v>same</v>
      </c>
      <c r="T66" s="24" t="s">
        <v>221</v>
      </c>
      <c r="U66">
        <v>1000</v>
      </c>
      <c r="V66" t="str">
        <f t="shared" si="7"/>
        <v>same</v>
      </c>
    </row>
    <row r="67" spans="1:22" ht="20" customHeight="1">
      <c r="A67" s="24" t="s">
        <v>223</v>
      </c>
      <c r="B67">
        <v>1022</v>
      </c>
      <c r="C67">
        <v>1022</v>
      </c>
      <c r="Q67" s="24" t="s">
        <v>223</v>
      </c>
      <c r="R67">
        <v>1022</v>
      </c>
      <c r="S67" t="str">
        <f t="shared" ref="S67:S76" si="8">IF(R67=B67,"same","DIFF")</f>
        <v>same</v>
      </c>
      <c r="T67" s="24" t="s">
        <v>223</v>
      </c>
      <c r="U67">
        <v>1022</v>
      </c>
      <c r="V67" t="str">
        <f t="shared" ref="V67:V76" si="9">IF(U67=C67,"same","DIFF")</f>
        <v>same</v>
      </c>
    </row>
    <row r="68" spans="1:22" ht="20" customHeight="1">
      <c r="A68" s="24" t="s">
        <v>225</v>
      </c>
      <c r="B68">
        <v>1031</v>
      </c>
      <c r="C68">
        <v>1006</v>
      </c>
      <c r="Q68" s="24" t="s">
        <v>225</v>
      </c>
      <c r="R68">
        <v>1031</v>
      </c>
      <c r="S68" t="str">
        <f t="shared" si="8"/>
        <v>same</v>
      </c>
      <c r="T68" s="24" t="s">
        <v>225</v>
      </c>
      <c r="U68">
        <v>1006</v>
      </c>
      <c r="V68" t="str">
        <f t="shared" si="9"/>
        <v>same</v>
      </c>
    </row>
    <row r="69" spans="1:22" ht="20" customHeight="1">
      <c r="A69" s="24" t="s">
        <v>227</v>
      </c>
      <c r="B69">
        <v>1037</v>
      </c>
      <c r="C69">
        <v>1180</v>
      </c>
      <c r="Q69" s="24" t="s">
        <v>227</v>
      </c>
      <c r="R69">
        <v>1037</v>
      </c>
      <c r="S69" t="str">
        <f t="shared" si="8"/>
        <v>same</v>
      </c>
      <c r="T69" s="24" t="s">
        <v>227</v>
      </c>
      <c r="U69">
        <v>1180</v>
      </c>
      <c r="V69" t="str">
        <f t="shared" si="9"/>
        <v>same</v>
      </c>
    </row>
    <row r="70" spans="1:22" ht="20" customHeight="1">
      <c r="A70" s="24" t="s">
        <v>229</v>
      </c>
      <c r="B70">
        <v>1042</v>
      </c>
      <c r="C70">
        <v>1141</v>
      </c>
      <c r="Q70" s="24" t="s">
        <v>229</v>
      </c>
      <c r="R70">
        <v>1042</v>
      </c>
      <c r="S70" t="str">
        <f t="shared" si="8"/>
        <v>same</v>
      </c>
      <c r="T70" s="24" t="s">
        <v>229</v>
      </c>
      <c r="U70">
        <v>1141</v>
      </c>
      <c r="V70" t="str">
        <f t="shared" si="9"/>
        <v>same</v>
      </c>
    </row>
    <row r="71" spans="1:22" ht="20" customHeight="1">
      <c r="A71" s="24" t="s">
        <v>231</v>
      </c>
      <c r="B71">
        <v>1045</v>
      </c>
      <c r="C71">
        <v>1224</v>
      </c>
      <c r="Q71" s="24" t="s">
        <v>231</v>
      </c>
      <c r="R71">
        <v>1045</v>
      </c>
      <c r="S71" t="str">
        <f t="shared" si="8"/>
        <v>same</v>
      </c>
      <c r="T71" s="24" t="s">
        <v>231</v>
      </c>
      <c r="U71">
        <v>1224</v>
      </c>
      <c r="V71" t="str">
        <f t="shared" si="9"/>
        <v>same</v>
      </c>
    </row>
    <row r="72" spans="1:22" ht="20" customHeight="1">
      <c r="A72" s="24" t="s">
        <v>232</v>
      </c>
      <c r="B72">
        <v>1051</v>
      </c>
      <c r="C72">
        <v>1311</v>
      </c>
      <c r="Q72" s="24" t="s">
        <v>232</v>
      </c>
      <c r="R72">
        <v>1051</v>
      </c>
      <c r="S72" t="str">
        <f t="shared" si="8"/>
        <v>same</v>
      </c>
      <c r="T72" s="24" t="s">
        <v>232</v>
      </c>
      <c r="U72">
        <v>1311</v>
      </c>
      <c r="V72" t="str">
        <f t="shared" si="9"/>
        <v>same</v>
      </c>
    </row>
    <row r="73" spans="1:22" ht="20" customHeight="1">
      <c r="A73" s="24" t="s">
        <v>233</v>
      </c>
      <c r="B73">
        <v>1040</v>
      </c>
      <c r="C73">
        <v>1140</v>
      </c>
      <c r="Q73" s="24" t="s">
        <v>233</v>
      </c>
      <c r="R73">
        <v>1040</v>
      </c>
      <c r="S73" t="str">
        <f t="shared" si="8"/>
        <v>same</v>
      </c>
      <c r="T73" s="24" t="s">
        <v>233</v>
      </c>
      <c r="U73">
        <v>1140</v>
      </c>
      <c r="V73" t="str">
        <f t="shared" si="9"/>
        <v>same</v>
      </c>
    </row>
    <row r="74" spans="1:22" ht="20" customHeight="1">
      <c r="A74" s="24" t="s">
        <v>235</v>
      </c>
      <c r="B74">
        <v>1037</v>
      </c>
      <c r="C74">
        <v>1083</v>
      </c>
      <c r="Q74" s="24" t="s">
        <v>235</v>
      </c>
      <c r="R74">
        <v>1037</v>
      </c>
      <c r="S74" t="str">
        <f t="shared" si="8"/>
        <v>same</v>
      </c>
      <c r="T74" s="24" t="s">
        <v>235</v>
      </c>
      <c r="U74">
        <v>1083</v>
      </c>
      <c r="V74" t="str">
        <f t="shared" si="9"/>
        <v>same</v>
      </c>
    </row>
    <row r="75" spans="1:22" ht="20" customHeight="1">
      <c r="A75" s="24" t="s">
        <v>237</v>
      </c>
      <c r="B75">
        <v>1045</v>
      </c>
      <c r="C75">
        <v>1223</v>
      </c>
      <c r="Q75" s="24" t="s">
        <v>237</v>
      </c>
      <c r="R75">
        <v>1045</v>
      </c>
      <c r="S75" t="str">
        <f t="shared" si="8"/>
        <v>same</v>
      </c>
      <c r="T75" s="24" t="s">
        <v>237</v>
      </c>
      <c r="U75">
        <v>1223</v>
      </c>
      <c r="V75" t="str">
        <f t="shared" si="9"/>
        <v>same</v>
      </c>
    </row>
    <row r="76" spans="1:22" ht="20" customHeight="1">
      <c r="A76" s="24" t="s">
        <v>239</v>
      </c>
      <c r="B76">
        <v>1051</v>
      </c>
      <c r="C76">
        <v>1215</v>
      </c>
      <c r="Q76" s="24" t="s">
        <v>239</v>
      </c>
      <c r="R76">
        <v>1051</v>
      </c>
      <c r="S76" t="str">
        <f t="shared" si="8"/>
        <v>same</v>
      </c>
      <c r="T76" s="24" t="s">
        <v>239</v>
      </c>
      <c r="U76">
        <v>1215</v>
      </c>
      <c r="V76" t="str">
        <f t="shared" si="9"/>
        <v>same</v>
      </c>
    </row>
    <row r="77" spans="1:22" ht="20" customHeight="1">
      <c r="A77" s="27" t="s">
        <v>240</v>
      </c>
      <c r="B77" s="9">
        <f t="shared" ref="B77:B95" si="10">R77</f>
        <v>1074</v>
      </c>
      <c r="C77" s="9">
        <f t="shared" ref="C77:C95" si="11">U77</f>
        <v>1155</v>
      </c>
      <c r="Q77" s="27" t="s">
        <v>240</v>
      </c>
      <c r="R77" s="9">
        <v>1074</v>
      </c>
      <c r="S77" s="9" t="str">
        <f t="shared" ref="S77:S95" si="12">IF(R77=B115,"same","DIFF")</f>
        <v>DIFF</v>
      </c>
      <c r="T77" s="27" t="s">
        <v>240</v>
      </c>
      <c r="U77" s="9">
        <v>1155</v>
      </c>
      <c r="V77" s="9" t="str">
        <f t="shared" ref="V77:V95" si="13">IF(U77=C115,"same","DIFF")</f>
        <v>DIFF</v>
      </c>
    </row>
    <row r="78" spans="1:22" ht="20" customHeight="1">
      <c r="A78" s="27" t="s">
        <v>241</v>
      </c>
      <c r="B78" s="9">
        <f t="shared" si="10"/>
        <v>1066</v>
      </c>
      <c r="C78" s="9">
        <f t="shared" si="11"/>
        <v>1056</v>
      </c>
      <c r="Q78" s="27" t="s">
        <v>241</v>
      </c>
      <c r="R78" s="9">
        <v>1066</v>
      </c>
      <c r="S78" s="9" t="str">
        <f t="shared" si="12"/>
        <v>DIFF</v>
      </c>
      <c r="T78" s="27" t="s">
        <v>241</v>
      </c>
      <c r="U78" s="9">
        <v>1056</v>
      </c>
      <c r="V78" s="9" t="str">
        <f t="shared" si="13"/>
        <v>DIFF</v>
      </c>
    </row>
    <row r="79" spans="1:22" ht="20" customHeight="1">
      <c r="A79" s="27" t="s">
        <v>242</v>
      </c>
      <c r="B79" s="9">
        <f t="shared" si="10"/>
        <v>1077</v>
      </c>
      <c r="C79" s="9">
        <f t="shared" si="11"/>
        <v>1233</v>
      </c>
      <c r="Q79" s="27" t="s">
        <v>242</v>
      </c>
      <c r="R79" s="9">
        <v>1077</v>
      </c>
      <c r="S79" s="9" t="str">
        <f t="shared" si="12"/>
        <v>DIFF</v>
      </c>
      <c r="T79" s="27" t="s">
        <v>242</v>
      </c>
      <c r="U79" s="9">
        <v>1233</v>
      </c>
      <c r="V79" s="9" t="str">
        <f t="shared" si="13"/>
        <v>DIFF</v>
      </c>
    </row>
    <row r="80" spans="1:22" ht="20" customHeight="1">
      <c r="A80" s="27" t="s">
        <v>243</v>
      </c>
      <c r="B80" s="9">
        <f t="shared" si="10"/>
        <v>1066</v>
      </c>
      <c r="C80" s="9">
        <f t="shared" si="11"/>
        <v>1144</v>
      </c>
      <c r="Q80" s="27" t="s">
        <v>243</v>
      </c>
      <c r="R80" s="9">
        <v>1066</v>
      </c>
      <c r="S80" s="9" t="str">
        <f t="shared" si="12"/>
        <v>DIFF</v>
      </c>
      <c r="T80" s="27" t="s">
        <v>243</v>
      </c>
      <c r="U80" s="9">
        <v>1144</v>
      </c>
      <c r="V80" s="9" t="str">
        <f t="shared" si="13"/>
        <v>DIFF</v>
      </c>
    </row>
    <row r="81" spans="1:22" ht="20" customHeight="1">
      <c r="A81" s="27" t="s">
        <v>244</v>
      </c>
      <c r="B81" s="9">
        <f t="shared" si="10"/>
        <v>1050</v>
      </c>
      <c r="C81" s="9">
        <f t="shared" si="11"/>
        <v>1144</v>
      </c>
      <c r="Q81" s="27" t="s">
        <v>244</v>
      </c>
      <c r="R81" s="9">
        <v>1050</v>
      </c>
      <c r="S81" s="9" t="str">
        <f t="shared" si="12"/>
        <v>DIFF</v>
      </c>
      <c r="T81" s="27" t="s">
        <v>244</v>
      </c>
      <c r="U81" s="9">
        <v>1144</v>
      </c>
      <c r="V81" s="9" t="str">
        <f t="shared" si="13"/>
        <v>DIFF</v>
      </c>
    </row>
    <row r="82" spans="1:22" ht="20" customHeight="1">
      <c r="A82" s="27" t="s">
        <v>245</v>
      </c>
      <c r="B82" s="9">
        <f t="shared" si="10"/>
        <v>1046</v>
      </c>
      <c r="C82" s="9">
        <f t="shared" si="11"/>
        <v>1168</v>
      </c>
      <c r="Q82" s="27" t="s">
        <v>245</v>
      </c>
      <c r="R82" s="9">
        <v>1046</v>
      </c>
      <c r="S82" s="9" t="str">
        <f t="shared" si="12"/>
        <v>DIFF</v>
      </c>
      <c r="T82" s="27" t="s">
        <v>245</v>
      </c>
      <c r="U82" s="9">
        <v>1168</v>
      </c>
      <c r="V82" s="9" t="str">
        <f t="shared" si="13"/>
        <v>DIFF</v>
      </c>
    </row>
    <row r="83" spans="1:22" ht="20" customHeight="1">
      <c r="A83" s="27" t="s">
        <v>246</v>
      </c>
      <c r="B83" s="9">
        <f t="shared" si="10"/>
        <v>1034</v>
      </c>
      <c r="C83" s="9">
        <f t="shared" si="11"/>
        <v>1195</v>
      </c>
      <c r="Q83" s="27" t="s">
        <v>246</v>
      </c>
      <c r="R83" s="9">
        <v>1034</v>
      </c>
      <c r="S83" s="9" t="str">
        <f t="shared" si="12"/>
        <v>DIFF</v>
      </c>
      <c r="T83" s="27" t="s">
        <v>246</v>
      </c>
      <c r="U83" s="9">
        <v>1195</v>
      </c>
      <c r="V83" s="9" t="str">
        <f t="shared" si="13"/>
        <v>DIFF</v>
      </c>
    </row>
    <row r="84" spans="1:22" ht="20" customHeight="1">
      <c r="A84" s="27" t="s">
        <v>247</v>
      </c>
      <c r="B84" s="9">
        <f t="shared" si="10"/>
        <v>1031</v>
      </c>
      <c r="C84" s="9">
        <f t="shared" si="11"/>
        <v>1107</v>
      </c>
      <c r="Q84" s="27" t="s">
        <v>247</v>
      </c>
      <c r="R84" s="9">
        <v>1031</v>
      </c>
      <c r="S84" s="9" t="str">
        <f t="shared" si="12"/>
        <v>DIFF</v>
      </c>
      <c r="T84" s="27" t="s">
        <v>247</v>
      </c>
      <c r="U84" s="9">
        <v>1107</v>
      </c>
      <c r="V84" s="9" t="str">
        <f t="shared" si="13"/>
        <v>DIFF</v>
      </c>
    </row>
    <row r="85" spans="1:22" ht="20" customHeight="1">
      <c r="A85" s="27" t="s">
        <v>248</v>
      </c>
      <c r="B85" s="9">
        <f t="shared" si="10"/>
        <v>1048</v>
      </c>
      <c r="C85" s="9">
        <f t="shared" si="11"/>
        <v>1099</v>
      </c>
      <c r="Q85" s="27" t="s">
        <v>248</v>
      </c>
      <c r="R85" s="9">
        <v>1048</v>
      </c>
      <c r="S85" s="9" t="str">
        <f t="shared" si="12"/>
        <v>DIFF</v>
      </c>
      <c r="T85" s="27" t="s">
        <v>248</v>
      </c>
      <c r="U85" s="9">
        <v>1099</v>
      </c>
      <c r="V85" s="9" t="str">
        <f t="shared" si="13"/>
        <v>DIFF</v>
      </c>
    </row>
    <row r="86" spans="1:22" ht="20" customHeight="1">
      <c r="A86" s="27" t="s">
        <v>249</v>
      </c>
      <c r="B86" s="9">
        <f t="shared" si="10"/>
        <v>1035</v>
      </c>
      <c r="C86" s="9">
        <f t="shared" si="11"/>
        <v>1114</v>
      </c>
      <c r="Q86" s="27" t="s">
        <v>249</v>
      </c>
      <c r="R86" s="9">
        <v>1035</v>
      </c>
      <c r="S86" s="9" t="str">
        <f t="shared" si="12"/>
        <v>DIFF</v>
      </c>
      <c r="T86" s="27" t="s">
        <v>249</v>
      </c>
      <c r="U86" s="9">
        <v>1114</v>
      </c>
      <c r="V86" s="9" t="str">
        <f t="shared" si="13"/>
        <v>DIFF</v>
      </c>
    </row>
    <row r="87" spans="1:22" ht="20" customHeight="1">
      <c r="A87" s="27" t="s">
        <v>250</v>
      </c>
      <c r="B87" s="9">
        <f t="shared" si="10"/>
        <v>1025</v>
      </c>
      <c r="C87" s="9">
        <f t="shared" si="11"/>
        <v>1115</v>
      </c>
      <c r="Q87" s="27" t="s">
        <v>250</v>
      </c>
      <c r="R87" s="9">
        <v>1025</v>
      </c>
      <c r="S87" s="9" t="str">
        <f t="shared" si="12"/>
        <v>DIFF</v>
      </c>
      <c r="T87" s="27" t="s">
        <v>250</v>
      </c>
      <c r="U87" s="9">
        <v>1115</v>
      </c>
      <c r="V87" s="9" t="str">
        <f t="shared" si="13"/>
        <v>DIFF</v>
      </c>
    </row>
    <row r="88" spans="1:22" ht="20" customHeight="1">
      <c r="A88" s="27" t="s">
        <v>251</v>
      </c>
      <c r="B88" s="9">
        <f t="shared" si="10"/>
        <v>1034</v>
      </c>
      <c r="C88" s="9">
        <f t="shared" si="11"/>
        <v>1114</v>
      </c>
      <c r="Q88" s="27" t="s">
        <v>251</v>
      </c>
      <c r="R88" s="9">
        <v>1034</v>
      </c>
      <c r="S88" s="9" t="str">
        <f t="shared" si="12"/>
        <v>DIFF</v>
      </c>
      <c r="T88" s="27" t="s">
        <v>251</v>
      </c>
      <c r="U88" s="9">
        <v>1114</v>
      </c>
      <c r="V88" s="9" t="str">
        <f t="shared" si="13"/>
        <v>DIFF</v>
      </c>
    </row>
    <row r="89" spans="1:22" ht="20" customHeight="1">
      <c r="A89" s="27" t="s">
        <v>252</v>
      </c>
      <c r="B89" s="9">
        <f t="shared" si="10"/>
        <v>1049</v>
      </c>
      <c r="C89" s="9">
        <f t="shared" si="11"/>
        <v>1105</v>
      </c>
      <c r="Q89" s="27" t="s">
        <v>252</v>
      </c>
      <c r="R89" s="9">
        <v>1049</v>
      </c>
      <c r="S89" s="9" t="str">
        <f t="shared" si="12"/>
        <v>DIFF</v>
      </c>
      <c r="T89" s="27" t="s">
        <v>252</v>
      </c>
      <c r="U89" s="9">
        <v>1105</v>
      </c>
      <c r="V89" s="9" t="str">
        <f t="shared" si="13"/>
        <v>DIFF</v>
      </c>
    </row>
    <row r="90" spans="1:22" ht="20" customHeight="1">
      <c r="A90" s="27" t="s">
        <v>253</v>
      </c>
      <c r="B90" s="9">
        <f t="shared" si="10"/>
        <v>1059</v>
      </c>
      <c r="C90" s="9">
        <f t="shared" si="11"/>
        <v>1073</v>
      </c>
      <c r="Q90" s="27" t="s">
        <v>253</v>
      </c>
      <c r="R90" s="9">
        <v>1059</v>
      </c>
      <c r="S90" s="9" t="str">
        <f t="shared" si="12"/>
        <v>DIFF</v>
      </c>
      <c r="T90" s="27" t="s">
        <v>253</v>
      </c>
      <c r="U90" s="9">
        <v>1073</v>
      </c>
      <c r="V90" s="9" t="str">
        <f t="shared" si="13"/>
        <v>DIFF</v>
      </c>
    </row>
    <row r="91" spans="1:22" ht="20" customHeight="1">
      <c r="A91" s="27" t="s">
        <v>254</v>
      </c>
      <c r="B91" s="9">
        <f t="shared" si="10"/>
        <v>1068</v>
      </c>
      <c r="C91" s="9">
        <f t="shared" si="11"/>
        <v>1103</v>
      </c>
      <c r="Q91" s="27" t="s">
        <v>254</v>
      </c>
      <c r="R91" s="9">
        <v>1068</v>
      </c>
      <c r="S91" s="9" t="str">
        <f t="shared" si="12"/>
        <v>DIFF</v>
      </c>
      <c r="T91" s="27" t="s">
        <v>254</v>
      </c>
      <c r="U91" s="9">
        <v>1103</v>
      </c>
      <c r="V91" s="9" t="str">
        <f t="shared" si="13"/>
        <v>DIFF</v>
      </c>
    </row>
    <row r="92" spans="1:22" ht="20" customHeight="1">
      <c r="A92" s="27" t="s">
        <v>255</v>
      </c>
      <c r="B92" s="9">
        <f t="shared" si="10"/>
        <v>1084</v>
      </c>
      <c r="C92" s="9">
        <f t="shared" si="11"/>
        <v>1182</v>
      </c>
      <c r="Q92" s="27" t="s">
        <v>255</v>
      </c>
      <c r="R92" s="9">
        <v>1084</v>
      </c>
      <c r="S92" s="9" t="str">
        <f t="shared" si="12"/>
        <v>DIFF</v>
      </c>
      <c r="T92" s="27" t="s">
        <v>255</v>
      </c>
      <c r="U92" s="9">
        <v>1182</v>
      </c>
      <c r="V92" s="9" t="str">
        <f t="shared" si="13"/>
        <v>DIFF</v>
      </c>
    </row>
    <row r="93" spans="1:22" ht="20" customHeight="1">
      <c r="A93" s="27" t="s">
        <v>256</v>
      </c>
      <c r="B93" s="9">
        <f t="shared" si="10"/>
        <v>1096</v>
      </c>
      <c r="C93" s="9">
        <f t="shared" si="11"/>
        <v>1241</v>
      </c>
      <c r="Q93" s="27" t="s">
        <v>256</v>
      </c>
      <c r="R93" s="9">
        <v>1096</v>
      </c>
      <c r="S93" s="9" t="str">
        <f t="shared" si="12"/>
        <v>DIFF</v>
      </c>
      <c r="T93" s="27" t="s">
        <v>256</v>
      </c>
      <c r="U93" s="9">
        <v>1241</v>
      </c>
      <c r="V93" s="9" t="str">
        <f t="shared" si="13"/>
        <v>DIFF</v>
      </c>
    </row>
    <row r="94" spans="1:22" ht="20" customHeight="1">
      <c r="A94" s="27" t="s">
        <v>257</v>
      </c>
      <c r="B94" s="9">
        <f t="shared" si="10"/>
        <v>1106</v>
      </c>
      <c r="C94" s="9">
        <f t="shared" si="11"/>
        <v>1239</v>
      </c>
      <c r="Q94" s="27" t="s">
        <v>100</v>
      </c>
      <c r="R94" s="9">
        <v>1106</v>
      </c>
      <c r="S94" s="9" t="str">
        <f t="shared" si="12"/>
        <v>DIFF</v>
      </c>
      <c r="T94" s="27" t="s">
        <v>257</v>
      </c>
      <c r="U94" s="9">
        <v>1239</v>
      </c>
      <c r="V94" s="9" t="str">
        <f t="shared" si="13"/>
        <v>DIFF</v>
      </c>
    </row>
    <row r="95" spans="1:22" ht="20" customHeight="1">
      <c r="A95" s="27" t="s">
        <v>258</v>
      </c>
      <c r="B95" s="9">
        <f t="shared" si="10"/>
        <v>1113</v>
      </c>
      <c r="C95" s="9">
        <f t="shared" si="11"/>
        <v>1219</v>
      </c>
      <c r="Q95" s="27" t="s">
        <v>258</v>
      </c>
      <c r="R95" s="9">
        <v>1113</v>
      </c>
      <c r="S95" s="9" t="str">
        <f t="shared" si="12"/>
        <v>DIFF</v>
      </c>
      <c r="T95" s="27" t="s">
        <v>258</v>
      </c>
      <c r="U95" s="9">
        <v>1219</v>
      </c>
      <c r="V95" s="9" t="str">
        <f t="shared" si="13"/>
        <v>DIFF</v>
      </c>
    </row>
    <row r="96" spans="1:22" ht="20" customHeight="1">
      <c r="A96" s="140" t="s">
        <v>259</v>
      </c>
      <c r="B96" s="139">
        <v>1124</v>
      </c>
      <c r="C96" s="139">
        <v>1202</v>
      </c>
      <c r="Q96" s="7" t="s">
        <v>265</v>
      </c>
      <c r="R96" s="9"/>
      <c r="S96" s="9"/>
      <c r="T96" s="27" t="s">
        <v>265</v>
      </c>
      <c r="U96" s="9"/>
      <c r="V96" s="9"/>
    </row>
    <row r="97" spans="1:22" ht="20" customHeight="1">
      <c r="A97" s="140" t="s">
        <v>260</v>
      </c>
      <c r="B97" s="139">
        <v>1140</v>
      </c>
      <c r="C97" s="139">
        <v>1240</v>
      </c>
      <c r="Q97" s="7" t="s">
        <v>266</v>
      </c>
      <c r="R97" s="9"/>
      <c r="S97" s="9"/>
      <c r="T97" s="27" t="s">
        <v>266</v>
      </c>
      <c r="U97" s="9"/>
      <c r="V97" s="9"/>
    </row>
    <row r="98" spans="1:22" ht="20" customHeight="1">
      <c r="A98" s="140" t="s">
        <v>261</v>
      </c>
      <c r="B98" s="139">
        <v>1161</v>
      </c>
      <c r="C98" s="139">
        <v>1552</v>
      </c>
      <c r="Q98" s="7" t="s">
        <v>267</v>
      </c>
      <c r="R98" s="9"/>
      <c r="S98" s="9"/>
      <c r="T98" s="27" t="s">
        <v>267</v>
      </c>
      <c r="U98" s="9"/>
      <c r="V98" s="9"/>
    </row>
    <row r="99" spans="1:22" ht="20" customHeight="1">
      <c r="A99" s="140" t="s">
        <v>262</v>
      </c>
      <c r="B99" s="139">
        <v>1151</v>
      </c>
      <c r="C99" s="139">
        <v>1403</v>
      </c>
      <c r="Q99" s="7"/>
      <c r="R99" s="9"/>
      <c r="S99" s="9"/>
      <c r="T99" s="27"/>
      <c r="U99" s="9"/>
      <c r="V99" s="9"/>
    </row>
    <row r="100" spans="1:22" ht="32">
      <c r="A100" s="140" t="s">
        <v>407</v>
      </c>
      <c r="B100" s="139">
        <v>1154</v>
      </c>
      <c r="C100" s="139">
        <v>1274</v>
      </c>
      <c r="Q100" s="152" t="s">
        <v>268</v>
      </c>
      <c r="R100" s="152"/>
      <c r="T100" s="152" t="s">
        <v>268</v>
      </c>
      <c r="U100" s="152"/>
    </row>
    <row r="101" spans="1:22" ht="32">
      <c r="A101" s="140" t="s">
        <v>408</v>
      </c>
      <c r="B101" s="139">
        <v>1166</v>
      </c>
      <c r="C101" s="139">
        <v>1299</v>
      </c>
      <c r="Q101" s="145"/>
      <c r="R101" s="145"/>
      <c r="T101" s="145"/>
      <c r="U101" s="145"/>
    </row>
    <row r="102" spans="1:22" ht="32">
      <c r="A102" s="140" t="s">
        <v>409</v>
      </c>
      <c r="B102" s="139">
        <v>1168</v>
      </c>
      <c r="C102" s="139">
        <v>1240</v>
      </c>
      <c r="Q102" s="145" t="s">
        <v>272</v>
      </c>
      <c r="R102" s="145"/>
      <c r="T102" s="145" t="s">
        <v>272</v>
      </c>
      <c r="U102" s="145"/>
    </row>
    <row r="103" spans="1:22" ht="32">
      <c r="A103" s="140" t="s">
        <v>410</v>
      </c>
      <c r="B103" s="139">
        <v>1165</v>
      </c>
      <c r="C103" s="139">
        <v>1191</v>
      </c>
      <c r="Q103" s="145" t="s">
        <v>273</v>
      </c>
      <c r="R103" s="145"/>
      <c r="T103" s="145" t="s">
        <v>273</v>
      </c>
      <c r="U103" s="145"/>
    </row>
    <row r="104" spans="1:22" ht="32">
      <c r="A104" s="140" t="s">
        <v>411</v>
      </c>
      <c r="B104" s="139">
        <v>1154</v>
      </c>
      <c r="C104" s="139">
        <v>1233</v>
      </c>
      <c r="Q104" s="145" t="s">
        <v>274</v>
      </c>
      <c r="R104" s="145"/>
      <c r="T104" s="145" t="s">
        <v>274</v>
      </c>
      <c r="U104" s="145"/>
    </row>
    <row r="105" spans="1:22" ht="32">
      <c r="A105" s="140" t="s">
        <v>412</v>
      </c>
      <c r="B105" s="139">
        <v>1161</v>
      </c>
      <c r="C105" s="139">
        <v>1269</v>
      </c>
      <c r="Q105" s="145" t="s">
        <v>275</v>
      </c>
      <c r="R105" s="145"/>
      <c r="T105" s="145" t="s">
        <v>275</v>
      </c>
      <c r="U105" s="145"/>
    </row>
    <row r="106" spans="1:22" ht="32">
      <c r="A106" s="27" t="s">
        <v>413</v>
      </c>
      <c r="B106" s="9">
        <v>1161</v>
      </c>
      <c r="C106" s="9">
        <v>1240</v>
      </c>
      <c r="Q106" s="145" t="s">
        <v>276</v>
      </c>
      <c r="R106" s="145"/>
      <c r="T106" s="145" t="s">
        <v>276</v>
      </c>
      <c r="U106" s="145"/>
    </row>
    <row r="107" spans="1:22">
      <c r="A107" s="27"/>
      <c r="B107" s="9"/>
      <c r="C107" s="9"/>
      <c r="Q107" s="145" t="s">
        <v>277</v>
      </c>
      <c r="R107" s="145"/>
      <c r="T107" s="145" t="s">
        <v>277</v>
      </c>
      <c r="U107" s="145"/>
    </row>
    <row r="108" spans="1:22">
      <c r="A108" s="27"/>
      <c r="B108" s="9"/>
      <c r="C108" s="9"/>
      <c r="Q108" s="145" t="s">
        <v>278</v>
      </c>
      <c r="R108" s="145"/>
      <c r="T108" s="145" t="s">
        <v>278</v>
      </c>
      <c r="U108" s="145"/>
    </row>
    <row r="109" spans="1:22">
      <c r="A109" s="27"/>
      <c r="B109" s="9"/>
      <c r="C109" s="9"/>
      <c r="Q109" s="145"/>
      <c r="R109" s="145"/>
      <c r="T109" s="145"/>
      <c r="U109" s="145"/>
    </row>
    <row r="110" spans="1:22">
      <c r="A110" s="27"/>
      <c r="B110" s="9"/>
      <c r="C110" s="9"/>
      <c r="Q110" s="145" t="s">
        <v>279</v>
      </c>
      <c r="R110" s="145"/>
      <c r="T110" s="145" t="s">
        <v>279</v>
      </c>
      <c r="U110" s="145"/>
    </row>
    <row r="111" spans="1:22">
      <c r="A111" s="27"/>
      <c r="B111" s="9"/>
      <c r="C111" s="9"/>
      <c r="Q111" s="145"/>
      <c r="R111" s="145"/>
      <c r="T111" s="145"/>
      <c r="U111" s="145"/>
    </row>
    <row r="112" spans="1:22">
      <c r="A112" s="24"/>
      <c r="Q112" s="145" t="s">
        <v>280</v>
      </c>
      <c r="R112" s="145"/>
      <c r="T112" s="145" t="s">
        <v>280</v>
      </c>
      <c r="U112" s="145"/>
    </row>
    <row r="113" spans="1:21">
      <c r="A113" s="24"/>
      <c r="Q113" s="145" t="s">
        <v>313</v>
      </c>
      <c r="R113" s="145"/>
      <c r="T113" s="145" t="s">
        <v>313</v>
      </c>
      <c r="U113" s="145"/>
    </row>
    <row r="114" spans="1:21">
      <c r="A114" s="24"/>
      <c r="Q114" s="145"/>
      <c r="R114" s="145"/>
      <c r="T114" s="145"/>
      <c r="U114" s="145"/>
    </row>
    <row r="115" spans="1:21">
      <c r="A115" s="147" t="s">
        <v>265</v>
      </c>
      <c r="B115" s="147"/>
      <c r="C115" s="147"/>
      <c r="Q115" s="145" t="s">
        <v>282</v>
      </c>
      <c r="R115" s="145"/>
      <c r="T115" s="145" t="s">
        <v>282</v>
      </c>
      <c r="U115" s="145"/>
    </row>
    <row r="116" spans="1:21">
      <c r="A116" s="145" t="s">
        <v>266</v>
      </c>
      <c r="B116" s="145"/>
      <c r="C116" s="145"/>
      <c r="Q116" s="145" t="s">
        <v>314</v>
      </c>
      <c r="R116" s="145"/>
      <c r="T116" s="145" t="s">
        <v>314</v>
      </c>
      <c r="U116" s="145"/>
    </row>
    <row r="117" spans="1:21">
      <c r="A117" s="145" t="s">
        <v>267</v>
      </c>
      <c r="B117" s="145"/>
      <c r="C117" s="145"/>
      <c r="Q117" s="145"/>
      <c r="R117" s="145"/>
      <c r="T117" s="145"/>
      <c r="U117" s="145"/>
    </row>
    <row r="118" spans="1:21">
      <c r="A118" s="145"/>
      <c r="B118" s="145"/>
      <c r="C118" s="145"/>
      <c r="Q118" s="145" t="s">
        <v>285</v>
      </c>
      <c r="R118" s="145"/>
      <c r="T118" s="145" t="s">
        <v>285</v>
      </c>
      <c r="U118" s="145"/>
    </row>
    <row r="119" spans="1:21">
      <c r="A119" s="147" t="s">
        <v>268</v>
      </c>
      <c r="B119" s="147"/>
      <c r="C119" s="147"/>
      <c r="Q119" s="145" t="s">
        <v>286</v>
      </c>
      <c r="R119" s="145"/>
      <c r="T119" s="145" t="s">
        <v>286</v>
      </c>
      <c r="U119" s="145"/>
    </row>
    <row r="120" spans="1:21">
      <c r="A120" s="145"/>
      <c r="B120" s="145"/>
      <c r="C120" s="145"/>
      <c r="Q120" s="145" t="s">
        <v>287</v>
      </c>
      <c r="R120" s="145"/>
      <c r="T120" s="145" t="s">
        <v>287</v>
      </c>
      <c r="U120" s="145"/>
    </row>
    <row r="121" spans="1:21">
      <c r="A121" s="145" t="s">
        <v>272</v>
      </c>
      <c r="B121" s="145"/>
      <c r="C121" s="145"/>
      <c r="Q121" s="153" t="s">
        <v>288</v>
      </c>
      <c r="R121" s="153"/>
      <c r="T121" s="153" t="s">
        <v>288</v>
      </c>
      <c r="U121" s="153"/>
    </row>
    <row r="122" spans="1:21">
      <c r="A122" s="145" t="s">
        <v>273</v>
      </c>
      <c r="B122" s="145"/>
      <c r="C122" s="145"/>
      <c r="Q122" s="145"/>
      <c r="R122" s="145"/>
      <c r="T122" s="145"/>
      <c r="U122" s="145"/>
    </row>
    <row r="123" spans="1:21">
      <c r="A123" s="145" t="s">
        <v>274</v>
      </c>
      <c r="B123" s="145"/>
      <c r="C123" s="145"/>
      <c r="Q123" s="145"/>
      <c r="R123" s="145"/>
      <c r="T123" s="145"/>
      <c r="U123" s="145"/>
    </row>
    <row r="124" spans="1:21">
      <c r="A124" s="145" t="s">
        <v>275</v>
      </c>
      <c r="B124" s="145"/>
      <c r="C124" s="145"/>
    </row>
    <row r="125" spans="1:21">
      <c r="A125" s="145" t="s">
        <v>276</v>
      </c>
      <c r="B125" s="145"/>
      <c r="C125" s="145"/>
    </row>
    <row r="126" spans="1:21">
      <c r="A126" s="145" t="s">
        <v>277</v>
      </c>
      <c r="B126" s="145"/>
      <c r="C126" s="145"/>
    </row>
    <row r="127" spans="1:21">
      <c r="A127" s="145" t="s">
        <v>278</v>
      </c>
      <c r="B127" s="145"/>
      <c r="C127" s="145"/>
    </row>
    <row r="128" spans="1:21">
      <c r="A128" s="145"/>
      <c r="B128" s="145"/>
      <c r="C128" s="145"/>
    </row>
    <row r="129" spans="1:3">
      <c r="A129" s="145" t="s">
        <v>279</v>
      </c>
      <c r="B129" s="145"/>
      <c r="C129" s="145"/>
    </row>
    <row r="130" spans="1:3">
      <c r="A130" s="145"/>
      <c r="B130" s="145"/>
      <c r="C130" s="145"/>
    </row>
    <row r="131" spans="1:3">
      <c r="A131" s="145" t="s">
        <v>280</v>
      </c>
      <c r="B131" s="145"/>
      <c r="C131" s="145"/>
    </row>
    <row r="132" spans="1:3">
      <c r="A132" s="145" t="s">
        <v>313</v>
      </c>
      <c r="B132" s="145"/>
      <c r="C132" s="145"/>
    </row>
    <row r="133" spans="1:3">
      <c r="A133" s="145"/>
      <c r="B133" s="145"/>
      <c r="C133" s="145"/>
    </row>
    <row r="134" spans="1:3">
      <c r="A134" s="145" t="s">
        <v>282</v>
      </c>
      <c r="B134" s="145"/>
      <c r="C134" s="145"/>
    </row>
    <row r="135" spans="1:3">
      <c r="A135" s="145" t="s">
        <v>315</v>
      </c>
      <c r="B135" s="145"/>
      <c r="C135" s="145"/>
    </row>
    <row r="136" spans="1:3">
      <c r="A136" s="145"/>
      <c r="B136" s="145"/>
      <c r="C136" s="145"/>
    </row>
    <row r="137" spans="1:3">
      <c r="A137" s="145" t="s">
        <v>285</v>
      </c>
      <c r="B137" s="145"/>
      <c r="C137" s="145"/>
    </row>
    <row r="138" spans="1:3">
      <c r="A138" s="145" t="s">
        <v>286</v>
      </c>
      <c r="B138" s="145"/>
      <c r="C138" s="145"/>
    </row>
    <row r="139" spans="1:3">
      <c r="A139" s="145" t="s">
        <v>287</v>
      </c>
      <c r="B139" s="145"/>
      <c r="C139" s="145"/>
    </row>
    <row r="140" spans="1:3">
      <c r="A140" s="146" t="s">
        <v>288</v>
      </c>
      <c r="B140" s="146"/>
      <c r="C140" s="146"/>
    </row>
    <row r="141" spans="1:3">
      <c r="A141" s="145"/>
      <c r="B141" s="145"/>
      <c r="C141" s="145"/>
    </row>
    <row r="142" spans="1:3">
      <c r="A142" s="145"/>
      <c r="B142" s="145"/>
      <c r="C142" s="145"/>
    </row>
  </sheetData>
  <mergeCells count="80">
    <mergeCell ref="T115:U115"/>
    <mergeCell ref="T123:U123"/>
    <mergeCell ref="E1:F1"/>
    <mergeCell ref="T117:U117"/>
    <mergeCell ref="T118:U118"/>
    <mergeCell ref="T119:U119"/>
    <mergeCell ref="T120:U120"/>
    <mergeCell ref="T121:U121"/>
    <mergeCell ref="T112:U112"/>
    <mergeCell ref="Q116:R116"/>
    <mergeCell ref="Q117:R117"/>
    <mergeCell ref="Q122:R122"/>
    <mergeCell ref="Q118:R118"/>
    <mergeCell ref="Q119:R119"/>
    <mergeCell ref="T122:U122"/>
    <mergeCell ref="T113:U113"/>
    <mergeCell ref="T116:U116"/>
    <mergeCell ref="T114:U114"/>
    <mergeCell ref="Q108:R108"/>
    <mergeCell ref="Q109:R109"/>
    <mergeCell ref="T104:U104"/>
    <mergeCell ref="T105:U105"/>
    <mergeCell ref="T106:U106"/>
    <mergeCell ref="T107:U107"/>
    <mergeCell ref="T108:U108"/>
    <mergeCell ref="T109:U109"/>
    <mergeCell ref="T110:U110"/>
    <mergeCell ref="T111:U111"/>
    <mergeCell ref="Q110:R110"/>
    <mergeCell ref="Q111:R111"/>
    <mergeCell ref="Q112:R112"/>
    <mergeCell ref="Q113:R113"/>
    <mergeCell ref="T1:U1"/>
    <mergeCell ref="T100:U100"/>
    <mergeCell ref="T101:U101"/>
    <mergeCell ref="T102:U102"/>
    <mergeCell ref="T103:U103"/>
    <mergeCell ref="A120:C120"/>
    <mergeCell ref="A121:C121"/>
    <mergeCell ref="A129:C129"/>
    <mergeCell ref="A132:C132"/>
    <mergeCell ref="A133:C133"/>
    <mergeCell ref="A122:C122"/>
    <mergeCell ref="A123:C123"/>
    <mergeCell ref="A124:C124"/>
    <mergeCell ref="A125:C125"/>
    <mergeCell ref="A126:C126"/>
    <mergeCell ref="A127:C127"/>
    <mergeCell ref="A128:C128"/>
    <mergeCell ref="Q123:R123"/>
    <mergeCell ref="Q114:R114"/>
    <mergeCell ref="Q120:R120"/>
    <mergeCell ref="Q121:R121"/>
    <mergeCell ref="Q115:R115"/>
    <mergeCell ref="Q1:R1"/>
    <mergeCell ref="Q100:R100"/>
    <mergeCell ref="Q101:R101"/>
    <mergeCell ref="A118:C118"/>
    <mergeCell ref="A119:C119"/>
    <mergeCell ref="Q102:R102"/>
    <mergeCell ref="Q103:R103"/>
    <mergeCell ref="Q106:R106"/>
    <mergeCell ref="Q107:R107"/>
    <mergeCell ref="A1:C1"/>
    <mergeCell ref="A115:C115"/>
    <mergeCell ref="A116:C116"/>
    <mergeCell ref="A117:C117"/>
    <mergeCell ref="Q104:R104"/>
    <mergeCell ref="Q105:R105"/>
    <mergeCell ref="A141:C141"/>
    <mergeCell ref="A142:C142"/>
    <mergeCell ref="A137:C137"/>
    <mergeCell ref="A130:C130"/>
    <mergeCell ref="A131:C131"/>
    <mergeCell ref="A138:C138"/>
    <mergeCell ref="A139:C139"/>
    <mergeCell ref="A140:C140"/>
    <mergeCell ref="A135:C135"/>
    <mergeCell ref="A136:C136"/>
    <mergeCell ref="A134:C134"/>
  </mergeCells>
  <phoneticPr fontId="10" type="noConversion"/>
  <hyperlinks>
    <hyperlink ref="A140" r:id="rId1" display="mailto:info@stats.govt.nz" xr:uid="{00000000-0004-0000-0500-000000000000}"/>
    <hyperlink ref="Q121" r:id="rId2" display="mailto:info@stats.govt.nz" xr:uid="{00000000-0004-0000-0500-000001000000}"/>
    <hyperlink ref="T121" r:id="rId3" display="mailto:info@stats.govt.nz" xr:uid="{00000000-0004-0000-0500-000002000000}"/>
  </hyperlinks>
  <pageMargins left="0.7" right="0.7" top="0.75" bottom="0.75" header="0.3" footer="0.3"/>
  <pageSetup paperSize="9" orientation="portrait" verticalDpi="0" r:id="rId4"/>
  <headerFooter alignWithMargins="0"/>
  <legacy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FDB76-A743-4924-8E29-5D1123555D2C}">
  <dimension ref="A1:Y37"/>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8.83203125" defaultRowHeight="15"/>
  <cols>
    <col min="1" max="1" width="25.5" customWidth="1"/>
    <col min="2" max="2" width="15.83203125" customWidth="1"/>
    <col min="3" max="3" width="23.1640625" customWidth="1"/>
    <col min="4" max="4" width="15.83203125" hidden="1" customWidth="1"/>
    <col min="5" max="5" width="1.1640625" customWidth="1"/>
    <col min="6" max="7" width="15.83203125" customWidth="1"/>
    <col min="8" max="8" width="15.83203125" hidden="1" customWidth="1"/>
    <col min="9" max="9" width="1.1640625" customWidth="1"/>
    <col min="10" max="11" width="15.83203125" customWidth="1"/>
    <col min="12" max="12" width="15.83203125" hidden="1" customWidth="1"/>
    <col min="13" max="13" width="1.83203125" customWidth="1"/>
    <col min="17" max="17" width="11.1640625" customWidth="1"/>
    <col min="18" max="18" width="1.83203125" customWidth="1"/>
    <col min="19" max="19" width="11.1640625" customWidth="1"/>
    <col min="20" max="20" width="1.83203125" customWidth="1"/>
    <col min="21" max="21" width="9.5" bestFit="1" customWidth="1"/>
    <col min="261" max="261" width="27.5" customWidth="1"/>
    <col min="262" max="264" width="11.1640625" customWidth="1"/>
    <col min="265" max="265" width="1.1640625" customWidth="1"/>
    <col min="266" max="268" width="11.1640625" customWidth="1"/>
    <col min="269" max="269" width="1.83203125" customWidth="1"/>
    <col min="517" max="517" width="27.5" customWidth="1"/>
    <col min="518" max="520" width="11.1640625" customWidth="1"/>
    <col min="521" max="521" width="1.1640625" customWidth="1"/>
    <col min="522" max="524" width="11.1640625" customWidth="1"/>
    <col min="525" max="525" width="1.83203125" customWidth="1"/>
    <col min="773" max="773" width="27.5" customWidth="1"/>
    <col min="774" max="776" width="11.1640625" customWidth="1"/>
    <col min="777" max="777" width="1.1640625" customWidth="1"/>
    <col min="778" max="780" width="11.1640625" customWidth="1"/>
    <col min="781" max="781" width="1.83203125" customWidth="1"/>
    <col min="1029" max="1029" width="27.5" customWidth="1"/>
    <col min="1030" max="1032" width="11.1640625" customWidth="1"/>
    <col min="1033" max="1033" width="1.1640625" customWidth="1"/>
    <col min="1034" max="1036" width="11.1640625" customWidth="1"/>
    <col min="1037" max="1037" width="1.83203125" customWidth="1"/>
    <col min="1285" max="1285" width="27.5" customWidth="1"/>
    <col min="1286" max="1288" width="11.1640625" customWidth="1"/>
    <col min="1289" max="1289" width="1.1640625" customWidth="1"/>
    <col min="1290" max="1292" width="11.1640625" customWidth="1"/>
    <col min="1293" max="1293" width="1.83203125" customWidth="1"/>
    <col min="1541" max="1541" width="27.5" customWidth="1"/>
    <col min="1542" max="1544" width="11.1640625" customWidth="1"/>
    <col min="1545" max="1545" width="1.1640625" customWidth="1"/>
    <col min="1546" max="1548" width="11.1640625" customWidth="1"/>
    <col min="1549" max="1549" width="1.83203125" customWidth="1"/>
    <col min="1797" max="1797" width="27.5" customWidth="1"/>
    <col min="1798" max="1800" width="11.1640625" customWidth="1"/>
    <col min="1801" max="1801" width="1.1640625" customWidth="1"/>
    <col min="1802" max="1804" width="11.1640625" customWidth="1"/>
    <col min="1805" max="1805" width="1.83203125" customWidth="1"/>
    <col min="2053" max="2053" width="27.5" customWidth="1"/>
    <col min="2054" max="2056" width="11.1640625" customWidth="1"/>
    <col min="2057" max="2057" width="1.1640625" customWidth="1"/>
    <col min="2058" max="2060" width="11.1640625" customWidth="1"/>
    <col min="2061" max="2061" width="1.83203125" customWidth="1"/>
    <col min="2309" max="2309" width="27.5" customWidth="1"/>
    <col min="2310" max="2312" width="11.1640625" customWidth="1"/>
    <col min="2313" max="2313" width="1.1640625" customWidth="1"/>
    <col min="2314" max="2316" width="11.1640625" customWidth="1"/>
    <col min="2317" max="2317" width="1.83203125" customWidth="1"/>
    <col min="2565" max="2565" width="27.5" customWidth="1"/>
    <col min="2566" max="2568" width="11.1640625" customWidth="1"/>
    <col min="2569" max="2569" width="1.1640625" customWidth="1"/>
    <col min="2570" max="2572" width="11.1640625" customWidth="1"/>
    <col min="2573" max="2573" width="1.83203125" customWidth="1"/>
    <col min="2821" max="2821" width="27.5" customWidth="1"/>
    <col min="2822" max="2824" width="11.1640625" customWidth="1"/>
    <col min="2825" max="2825" width="1.1640625" customWidth="1"/>
    <col min="2826" max="2828" width="11.1640625" customWidth="1"/>
    <col min="2829" max="2829" width="1.83203125" customWidth="1"/>
    <col min="3077" max="3077" width="27.5" customWidth="1"/>
    <col min="3078" max="3080" width="11.1640625" customWidth="1"/>
    <col min="3081" max="3081" width="1.1640625" customWidth="1"/>
    <col min="3082" max="3084" width="11.1640625" customWidth="1"/>
    <col min="3085" max="3085" width="1.83203125" customWidth="1"/>
    <col min="3333" max="3333" width="27.5" customWidth="1"/>
    <col min="3334" max="3336" width="11.1640625" customWidth="1"/>
    <col min="3337" max="3337" width="1.1640625" customWidth="1"/>
    <col min="3338" max="3340" width="11.1640625" customWidth="1"/>
    <col min="3341" max="3341" width="1.83203125" customWidth="1"/>
    <col min="3589" max="3589" width="27.5" customWidth="1"/>
    <col min="3590" max="3592" width="11.1640625" customWidth="1"/>
    <col min="3593" max="3593" width="1.1640625" customWidth="1"/>
    <col min="3594" max="3596" width="11.1640625" customWidth="1"/>
    <col min="3597" max="3597" width="1.83203125" customWidth="1"/>
    <col min="3845" max="3845" width="27.5" customWidth="1"/>
    <col min="3846" max="3848" width="11.1640625" customWidth="1"/>
    <col min="3849" max="3849" width="1.1640625" customWidth="1"/>
    <col min="3850" max="3852" width="11.1640625" customWidth="1"/>
    <col min="3853" max="3853" width="1.83203125" customWidth="1"/>
    <col min="4101" max="4101" width="27.5" customWidth="1"/>
    <col min="4102" max="4104" width="11.1640625" customWidth="1"/>
    <col min="4105" max="4105" width="1.1640625" customWidth="1"/>
    <col min="4106" max="4108" width="11.1640625" customWidth="1"/>
    <col min="4109" max="4109" width="1.83203125" customWidth="1"/>
    <col min="4357" max="4357" width="27.5" customWidth="1"/>
    <col min="4358" max="4360" width="11.1640625" customWidth="1"/>
    <col min="4361" max="4361" width="1.1640625" customWidth="1"/>
    <col min="4362" max="4364" width="11.1640625" customWidth="1"/>
    <col min="4365" max="4365" width="1.83203125" customWidth="1"/>
    <col min="4613" max="4613" width="27.5" customWidth="1"/>
    <col min="4614" max="4616" width="11.1640625" customWidth="1"/>
    <col min="4617" max="4617" width="1.1640625" customWidth="1"/>
    <col min="4618" max="4620" width="11.1640625" customWidth="1"/>
    <col min="4621" max="4621" width="1.83203125" customWidth="1"/>
    <col min="4869" max="4869" width="27.5" customWidth="1"/>
    <col min="4870" max="4872" width="11.1640625" customWidth="1"/>
    <col min="4873" max="4873" width="1.1640625" customWidth="1"/>
    <col min="4874" max="4876" width="11.1640625" customWidth="1"/>
    <col min="4877" max="4877" width="1.83203125" customWidth="1"/>
    <col min="5125" max="5125" width="27.5" customWidth="1"/>
    <col min="5126" max="5128" width="11.1640625" customWidth="1"/>
    <col min="5129" max="5129" width="1.1640625" customWidth="1"/>
    <col min="5130" max="5132" width="11.1640625" customWidth="1"/>
    <col min="5133" max="5133" width="1.83203125" customWidth="1"/>
    <col min="5381" max="5381" width="27.5" customWidth="1"/>
    <col min="5382" max="5384" width="11.1640625" customWidth="1"/>
    <col min="5385" max="5385" width="1.1640625" customWidth="1"/>
    <col min="5386" max="5388" width="11.1640625" customWidth="1"/>
    <col min="5389" max="5389" width="1.83203125" customWidth="1"/>
    <col min="5637" max="5637" width="27.5" customWidth="1"/>
    <col min="5638" max="5640" width="11.1640625" customWidth="1"/>
    <col min="5641" max="5641" width="1.1640625" customWidth="1"/>
    <col min="5642" max="5644" width="11.1640625" customWidth="1"/>
    <col min="5645" max="5645" width="1.83203125" customWidth="1"/>
    <col min="5893" max="5893" width="27.5" customWidth="1"/>
    <col min="5894" max="5896" width="11.1640625" customWidth="1"/>
    <col min="5897" max="5897" width="1.1640625" customWidth="1"/>
    <col min="5898" max="5900" width="11.1640625" customWidth="1"/>
    <col min="5901" max="5901" width="1.83203125" customWidth="1"/>
    <col min="6149" max="6149" width="27.5" customWidth="1"/>
    <col min="6150" max="6152" width="11.1640625" customWidth="1"/>
    <col min="6153" max="6153" width="1.1640625" customWidth="1"/>
    <col min="6154" max="6156" width="11.1640625" customWidth="1"/>
    <col min="6157" max="6157" width="1.83203125" customWidth="1"/>
    <col min="6405" max="6405" width="27.5" customWidth="1"/>
    <col min="6406" max="6408" width="11.1640625" customWidth="1"/>
    <col min="6409" max="6409" width="1.1640625" customWidth="1"/>
    <col min="6410" max="6412" width="11.1640625" customWidth="1"/>
    <col min="6413" max="6413" width="1.83203125" customWidth="1"/>
    <col min="6661" max="6661" width="27.5" customWidth="1"/>
    <col min="6662" max="6664" width="11.1640625" customWidth="1"/>
    <col min="6665" max="6665" width="1.1640625" customWidth="1"/>
    <col min="6666" max="6668" width="11.1640625" customWidth="1"/>
    <col min="6669" max="6669" width="1.83203125" customWidth="1"/>
    <col min="6917" max="6917" width="27.5" customWidth="1"/>
    <col min="6918" max="6920" width="11.1640625" customWidth="1"/>
    <col min="6921" max="6921" width="1.1640625" customWidth="1"/>
    <col min="6922" max="6924" width="11.1640625" customWidth="1"/>
    <col min="6925" max="6925" width="1.83203125" customWidth="1"/>
    <col min="7173" max="7173" width="27.5" customWidth="1"/>
    <col min="7174" max="7176" width="11.1640625" customWidth="1"/>
    <col min="7177" max="7177" width="1.1640625" customWidth="1"/>
    <col min="7178" max="7180" width="11.1640625" customWidth="1"/>
    <col min="7181" max="7181" width="1.83203125" customWidth="1"/>
    <col min="7429" max="7429" width="27.5" customWidth="1"/>
    <col min="7430" max="7432" width="11.1640625" customWidth="1"/>
    <col min="7433" max="7433" width="1.1640625" customWidth="1"/>
    <col min="7434" max="7436" width="11.1640625" customWidth="1"/>
    <col min="7437" max="7437" width="1.83203125" customWidth="1"/>
    <col min="7685" max="7685" width="27.5" customWidth="1"/>
    <col min="7686" max="7688" width="11.1640625" customWidth="1"/>
    <col min="7689" max="7689" width="1.1640625" customWidth="1"/>
    <col min="7690" max="7692" width="11.1640625" customWidth="1"/>
    <col min="7693" max="7693" width="1.83203125" customWidth="1"/>
    <col min="7941" max="7941" width="27.5" customWidth="1"/>
    <col min="7942" max="7944" width="11.1640625" customWidth="1"/>
    <col min="7945" max="7945" width="1.1640625" customWidth="1"/>
    <col min="7946" max="7948" width="11.1640625" customWidth="1"/>
    <col min="7949" max="7949" width="1.83203125" customWidth="1"/>
    <col min="8197" max="8197" width="27.5" customWidth="1"/>
    <col min="8198" max="8200" width="11.1640625" customWidth="1"/>
    <col min="8201" max="8201" width="1.1640625" customWidth="1"/>
    <col min="8202" max="8204" width="11.1640625" customWidth="1"/>
    <col min="8205" max="8205" width="1.83203125" customWidth="1"/>
    <col min="8453" max="8453" width="27.5" customWidth="1"/>
    <col min="8454" max="8456" width="11.1640625" customWidth="1"/>
    <col min="8457" max="8457" width="1.1640625" customWidth="1"/>
    <col min="8458" max="8460" width="11.1640625" customWidth="1"/>
    <col min="8461" max="8461" width="1.83203125" customWidth="1"/>
    <col min="8709" max="8709" width="27.5" customWidth="1"/>
    <col min="8710" max="8712" width="11.1640625" customWidth="1"/>
    <col min="8713" max="8713" width="1.1640625" customWidth="1"/>
    <col min="8714" max="8716" width="11.1640625" customWidth="1"/>
    <col min="8717" max="8717" width="1.83203125" customWidth="1"/>
    <col min="8965" max="8965" width="27.5" customWidth="1"/>
    <col min="8966" max="8968" width="11.1640625" customWidth="1"/>
    <col min="8969" max="8969" width="1.1640625" customWidth="1"/>
    <col min="8970" max="8972" width="11.1640625" customWidth="1"/>
    <col min="8973" max="8973" width="1.83203125" customWidth="1"/>
    <col min="9221" max="9221" width="27.5" customWidth="1"/>
    <col min="9222" max="9224" width="11.1640625" customWidth="1"/>
    <col min="9225" max="9225" width="1.1640625" customWidth="1"/>
    <col min="9226" max="9228" width="11.1640625" customWidth="1"/>
    <col min="9229" max="9229" width="1.83203125" customWidth="1"/>
    <col min="9477" max="9477" width="27.5" customWidth="1"/>
    <col min="9478" max="9480" width="11.1640625" customWidth="1"/>
    <col min="9481" max="9481" width="1.1640625" customWidth="1"/>
    <col min="9482" max="9484" width="11.1640625" customWidth="1"/>
    <col min="9485" max="9485" width="1.83203125" customWidth="1"/>
    <col min="9733" max="9733" width="27.5" customWidth="1"/>
    <col min="9734" max="9736" width="11.1640625" customWidth="1"/>
    <col min="9737" max="9737" width="1.1640625" customWidth="1"/>
    <col min="9738" max="9740" width="11.1640625" customWidth="1"/>
    <col min="9741" max="9741" width="1.83203125" customWidth="1"/>
    <col min="9989" max="9989" width="27.5" customWidth="1"/>
    <col min="9990" max="9992" width="11.1640625" customWidth="1"/>
    <col min="9993" max="9993" width="1.1640625" customWidth="1"/>
    <col min="9994" max="9996" width="11.1640625" customWidth="1"/>
    <col min="9997" max="9997" width="1.83203125" customWidth="1"/>
    <col min="10245" max="10245" width="27.5" customWidth="1"/>
    <col min="10246" max="10248" width="11.1640625" customWidth="1"/>
    <col min="10249" max="10249" width="1.1640625" customWidth="1"/>
    <col min="10250" max="10252" width="11.1640625" customWidth="1"/>
    <col min="10253" max="10253" width="1.83203125" customWidth="1"/>
    <col min="10501" max="10501" width="27.5" customWidth="1"/>
    <col min="10502" max="10504" width="11.1640625" customWidth="1"/>
    <col min="10505" max="10505" width="1.1640625" customWidth="1"/>
    <col min="10506" max="10508" width="11.1640625" customWidth="1"/>
    <col min="10509" max="10509" width="1.83203125" customWidth="1"/>
    <col min="10757" max="10757" width="27.5" customWidth="1"/>
    <col min="10758" max="10760" width="11.1640625" customWidth="1"/>
    <col min="10761" max="10761" width="1.1640625" customWidth="1"/>
    <col min="10762" max="10764" width="11.1640625" customWidth="1"/>
    <col min="10765" max="10765" width="1.83203125" customWidth="1"/>
    <col min="11013" max="11013" width="27.5" customWidth="1"/>
    <col min="11014" max="11016" width="11.1640625" customWidth="1"/>
    <col min="11017" max="11017" width="1.1640625" customWidth="1"/>
    <col min="11018" max="11020" width="11.1640625" customWidth="1"/>
    <col min="11021" max="11021" width="1.83203125" customWidth="1"/>
    <col min="11269" max="11269" width="27.5" customWidth="1"/>
    <col min="11270" max="11272" width="11.1640625" customWidth="1"/>
    <col min="11273" max="11273" width="1.1640625" customWidth="1"/>
    <col min="11274" max="11276" width="11.1640625" customWidth="1"/>
    <col min="11277" max="11277" width="1.83203125" customWidth="1"/>
    <col min="11525" max="11525" width="27.5" customWidth="1"/>
    <col min="11526" max="11528" width="11.1640625" customWidth="1"/>
    <col min="11529" max="11529" width="1.1640625" customWidth="1"/>
    <col min="11530" max="11532" width="11.1640625" customWidth="1"/>
    <col min="11533" max="11533" width="1.83203125" customWidth="1"/>
    <col min="11781" max="11781" width="27.5" customWidth="1"/>
    <col min="11782" max="11784" width="11.1640625" customWidth="1"/>
    <col min="11785" max="11785" width="1.1640625" customWidth="1"/>
    <col min="11786" max="11788" width="11.1640625" customWidth="1"/>
    <col min="11789" max="11789" width="1.83203125" customWidth="1"/>
    <col min="12037" max="12037" width="27.5" customWidth="1"/>
    <col min="12038" max="12040" width="11.1640625" customWidth="1"/>
    <col min="12041" max="12041" width="1.1640625" customWidth="1"/>
    <col min="12042" max="12044" width="11.1640625" customWidth="1"/>
    <col min="12045" max="12045" width="1.83203125" customWidth="1"/>
    <col min="12293" max="12293" width="27.5" customWidth="1"/>
    <col min="12294" max="12296" width="11.1640625" customWidth="1"/>
    <col min="12297" max="12297" width="1.1640625" customWidth="1"/>
    <col min="12298" max="12300" width="11.1640625" customWidth="1"/>
    <col min="12301" max="12301" width="1.83203125" customWidth="1"/>
    <col min="12549" max="12549" width="27.5" customWidth="1"/>
    <col min="12550" max="12552" width="11.1640625" customWidth="1"/>
    <col min="12553" max="12553" width="1.1640625" customWidth="1"/>
    <col min="12554" max="12556" width="11.1640625" customWidth="1"/>
    <col min="12557" max="12557" width="1.83203125" customWidth="1"/>
    <col min="12805" max="12805" width="27.5" customWidth="1"/>
    <col min="12806" max="12808" width="11.1640625" customWidth="1"/>
    <col min="12809" max="12809" width="1.1640625" customWidth="1"/>
    <col min="12810" max="12812" width="11.1640625" customWidth="1"/>
    <col min="12813" max="12813" width="1.83203125" customWidth="1"/>
    <col min="13061" max="13061" width="27.5" customWidth="1"/>
    <col min="13062" max="13064" width="11.1640625" customWidth="1"/>
    <col min="13065" max="13065" width="1.1640625" customWidth="1"/>
    <col min="13066" max="13068" width="11.1640625" customWidth="1"/>
    <col min="13069" max="13069" width="1.83203125" customWidth="1"/>
    <col min="13317" max="13317" width="27.5" customWidth="1"/>
    <col min="13318" max="13320" width="11.1640625" customWidth="1"/>
    <col min="13321" max="13321" width="1.1640625" customWidth="1"/>
    <col min="13322" max="13324" width="11.1640625" customWidth="1"/>
    <col min="13325" max="13325" width="1.83203125" customWidth="1"/>
    <col min="13573" max="13573" width="27.5" customWidth="1"/>
    <col min="13574" max="13576" width="11.1640625" customWidth="1"/>
    <col min="13577" max="13577" width="1.1640625" customWidth="1"/>
    <col min="13578" max="13580" width="11.1640625" customWidth="1"/>
    <col min="13581" max="13581" width="1.83203125" customWidth="1"/>
    <col min="13829" max="13829" width="27.5" customWidth="1"/>
    <col min="13830" max="13832" width="11.1640625" customWidth="1"/>
    <col min="13833" max="13833" width="1.1640625" customWidth="1"/>
    <col min="13834" max="13836" width="11.1640625" customWidth="1"/>
    <col min="13837" max="13837" width="1.83203125" customWidth="1"/>
    <col min="14085" max="14085" width="27.5" customWidth="1"/>
    <col min="14086" max="14088" width="11.1640625" customWidth="1"/>
    <col min="14089" max="14089" width="1.1640625" customWidth="1"/>
    <col min="14090" max="14092" width="11.1640625" customWidth="1"/>
    <col min="14093" max="14093" width="1.83203125" customWidth="1"/>
    <col min="14341" max="14341" width="27.5" customWidth="1"/>
    <col min="14342" max="14344" width="11.1640625" customWidth="1"/>
    <col min="14345" max="14345" width="1.1640625" customWidth="1"/>
    <col min="14346" max="14348" width="11.1640625" customWidth="1"/>
    <col min="14349" max="14349" width="1.83203125" customWidth="1"/>
    <col min="14597" max="14597" width="27.5" customWidth="1"/>
    <col min="14598" max="14600" width="11.1640625" customWidth="1"/>
    <col min="14601" max="14601" width="1.1640625" customWidth="1"/>
    <col min="14602" max="14604" width="11.1640625" customWidth="1"/>
    <col min="14605" max="14605" width="1.83203125" customWidth="1"/>
    <col min="14853" max="14853" width="27.5" customWidth="1"/>
    <col min="14854" max="14856" width="11.1640625" customWidth="1"/>
    <col min="14857" max="14857" width="1.1640625" customWidth="1"/>
    <col min="14858" max="14860" width="11.1640625" customWidth="1"/>
    <col min="14861" max="14861" width="1.83203125" customWidth="1"/>
    <col min="15109" max="15109" width="27.5" customWidth="1"/>
    <col min="15110" max="15112" width="11.1640625" customWidth="1"/>
    <col min="15113" max="15113" width="1.1640625" customWidth="1"/>
    <col min="15114" max="15116" width="11.1640625" customWidth="1"/>
    <col min="15117" max="15117" width="1.83203125" customWidth="1"/>
    <col min="15365" max="15365" width="27.5" customWidth="1"/>
    <col min="15366" max="15368" width="11.1640625" customWidth="1"/>
    <col min="15369" max="15369" width="1.1640625" customWidth="1"/>
    <col min="15370" max="15372" width="11.1640625" customWidth="1"/>
    <col min="15373" max="15373" width="1.83203125" customWidth="1"/>
    <col min="15621" max="15621" width="27.5" customWidth="1"/>
    <col min="15622" max="15624" width="11.1640625" customWidth="1"/>
    <col min="15625" max="15625" width="1.1640625" customWidth="1"/>
    <col min="15626" max="15628" width="11.1640625" customWidth="1"/>
    <col min="15629" max="15629" width="1.83203125" customWidth="1"/>
    <col min="15877" max="15877" width="27.5" customWidth="1"/>
    <col min="15878" max="15880" width="11.1640625" customWidth="1"/>
    <col min="15881" max="15881" width="1.1640625" customWidth="1"/>
    <col min="15882" max="15884" width="11.1640625" customWidth="1"/>
    <col min="15885" max="15885" width="1.83203125" customWidth="1"/>
    <col min="16133" max="16133" width="27.5" customWidth="1"/>
    <col min="16134" max="16136" width="11.1640625" customWidth="1"/>
    <col min="16137" max="16137" width="1.1640625" customWidth="1"/>
    <col min="16138" max="16140" width="11.1640625" customWidth="1"/>
    <col min="16141" max="16141" width="1.83203125" customWidth="1"/>
  </cols>
  <sheetData>
    <row r="1" spans="1:25" s="52" customFormat="1" ht="24">
      <c r="A1" s="155"/>
      <c r="B1" s="155"/>
      <c r="C1" s="155"/>
      <c r="D1" s="155"/>
      <c r="E1" s="155"/>
      <c r="F1" s="155"/>
      <c r="G1" s="155"/>
      <c r="H1" s="155"/>
      <c r="I1" s="155"/>
      <c r="J1" s="155"/>
      <c r="K1" s="155"/>
      <c r="L1" s="155"/>
      <c r="M1" s="51"/>
    </row>
    <row r="2" spans="1:25" s="52" customFormat="1" ht="24">
      <c r="A2" s="156" t="s">
        <v>325</v>
      </c>
      <c r="B2" s="156"/>
      <c r="C2" s="156"/>
      <c r="D2" s="156"/>
      <c r="E2" s="156"/>
      <c r="F2" s="156"/>
      <c r="G2" s="156"/>
      <c r="H2" s="156"/>
      <c r="I2" s="156"/>
      <c r="J2" s="156"/>
      <c r="K2" s="156"/>
      <c r="L2" s="156"/>
      <c r="M2" s="51"/>
    </row>
    <row r="3" spans="1:25" s="56" customFormat="1" ht="39.75" customHeight="1">
      <c r="A3" s="53"/>
      <c r="B3" s="157" t="s">
        <v>326</v>
      </c>
      <c r="C3" s="157"/>
      <c r="D3" s="157"/>
      <c r="E3" s="54"/>
      <c r="F3" s="157" t="s">
        <v>327</v>
      </c>
      <c r="G3" s="157"/>
      <c r="H3" s="157"/>
      <c r="I3" s="54"/>
      <c r="J3" s="157" t="s">
        <v>328</v>
      </c>
      <c r="K3" s="157"/>
      <c r="L3" s="157"/>
      <c r="M3" s="55"/>
      <c r="W3" s="57" t="s">
        <v>329</v>
      </c>
    </row>
    <row r="4" spans="1:25" ht="54.75" customHeight="1">
      <c r="A4" s="58" t="s">
        <v>17</v>
      </c>
      <c r="B4" s="59" t="s">
        <v>330</v>
      </c>
      <c r="C4" s="60" t="s">
        <v>331</v>
      </c>
      <c r="D4" s="60" t="s">
        <v>332</v>
      </c>
      <c r="E4" s="61"/>
      <c r="F4" s="59" t="s">
        <v>333</v>
      </c>
      <c r="G4" s="60" t="s">
        <v>331</v>
      </c>
      <c r="H4" s="60" t="s">
        <v>332</v>
      </c>
      <c r="I4" s="61"/>
      <c r="J4" s="59" t="s">
        <v>334</v>
      </c>
      <c r="K4" s="60" t="s">
        <v>331</v>
      </c>
      <c r="L4" s="60" t="s">
        <v>332</v>
      </c>
      <c r="M4" s="62"/>
      <c r="O4" s="60" t="s">
        <v>335</v>
      </c>
      <c r="P4" s="60" t="s">
        <v>336</v>
      </c>
      <c r="Q4" s="60" t="s">
        <v>337</v>
      </c>
      <c r="S4" s="60" t="s">
        <v>338</v>
      </c>
      <c r="U4" s="60" t="s">
        <v>339</v>
      </c>
      <c r="W4" s="49" t="s">
        <v>340</v>
      </c>
      <c r="X4" s="48"/>
      <c r="Y4" s="63"/>
    </row>
    <row r="5" spans="1:25">
      <c r="A5" s="58"/>
      <c r="B5" s="58"/>
      <c r="C5" s="58"/>
      <c r="D5" s="64"/>
      <c r="E5" s="61"/>
      <c r="F5" s="58"/>
      <c r="G5" s="58"/>
      <c r="H5" s="64"/>
      <c r="I5" s="61"/>
      <c r="J5" s="58"/>
      <c r="K5" s="58"/>
      <c r="L5" s="64"/>
      <c r="M5" s="62"/>
      <c r="Y5" s="65"/>
    </row>
    <row r="6" spans="1:25" hidden="1">
      <c r="A6" s="58">
        <v>1997</v>
      </c>
      <c r="B6" s="66">
        <f>[29]OMA!B7</f>
        <v>82.425000000000011</v>
      </c>
      <c r="C6" s="58"/>
      <c r="D6" s="58"/>
      <c r="E6" s="61"/>
      <c r="F6" s="66">
        <f>[29]OMA!B7</f>
        <v>82.425000000000011</v>
      </c>
      <c r="G6" s="58"/>
      <c r="H6" s="58"/>
      <c r="I6" s="61"/>
      <c r="J6" s="66" t="e">
        <f>[29]OMA!E7</f>
        <v>#REF!</v>
      </c>
      <c r="K6" s="58"/>
      <c r="L6" s="58"/>
      <c r="M6" s="62"/>
      <c r="Y6" s="65"/>
    </row>
    <row r="7" spans="1:25" hidden="1">
      <c r="A7" s="58">
        <v>1998</v>
      </c>
      <c r="B7" s="66">
        <f>[29]OMA!B8</f>
        <v>83.574999999999989</v>
      </c>
      <c r="C7" s="67">
        <f>LN(B7/B6)</f>
        <v>1.3855643348367272E-2</v>
      </c>
      <c r="D7" s="68"/>
      <c r="E7" s="69"/>
      <c r="F7" s="66">
        <f>[29]OMA!B8</f>
        <v>83.574999999999989</v>
      </c>
      <c r="G7" s="58"/>
      <c r="H7" s="68"/>
      <c r="I7" s="69"/>
      <c r="J7" s="66" t="e">
        <f>[29]OMA!E8</f>
        <v>#REF!</v>
      </c>
      <c r="K7" s="58"/>
      <c r="L7" s="68"/>
      <c r="M7" s="62"/>
      <c r="Y7" s="65"/>
    </row>
    <row r="8" spans="1:25" hidden="1">
      <c r="A8" s="58">
        <v>1999</v>
      </c>
      <c r="B8" s="66">
        <f>[29]OMA!B9</f>
        <v>84.55</v>
      </c>
      <c r="C8" s="67">
        <f>LN(B8/B7)</f>
        <v>1.1598643038427068E-2</v>
      </c>
      <c r="D8" s="68"/>
      <c r="E8" s="69"/>
      <c r="F8" s="66">
        <f>[29]OMA!B9</f>
        <v>84.55</v>
      </c>
      <c r="G8" s="58"/>
      <c r="H8" s="68"/>
      <c r="I8" s="69"/>
      <c r="J8" s="66" t="e">
        <f>[29]OMA!E9</f>
        <v>#REF!</v>
      </c>
      <c r="K8" s="58"/>
      <c r="L8" s="68"/>
      <c r="M8" s="62"/>
      <c r="Y8" s="65"/>
    </row>
    <row r="9" spans="1:25" hidden="1">
      <c r="A9" s="58">
        <v>2000</v>
      </c>
      <c r="B9" s="66"/>
      <c r="C9" s="67"/>
      <c r="D9" s="68"/>
      <c r="E9" s="69"/>
      <c r="F9" s="66"/>
      <c r="G9" s="58"/>
      <c r="H9" s="68"/>
      <c r="I9" s="69"/>
      <c r="J9" s="66"/>
      <c r="K9" s="58"/>
      <c r="L9" s="68"/>
      <c r="M9" s="62"/>
      <c r="Y9" s="65"/>
    </row>
    <row r="10" spans="1:25" hidden="1">
      <c r="A10" s="58">
        <f t="shared" ref="A10:A28" si="0">A9+1</f>
        <v>2001</v>
      </c>
      <c r="B10" s="66">
        <f>[29]OMA!F11</f>
        <v>696.12</v>
      </c>
      <c r="C10" s="67"/>
      <c r="D10" s="68"/>
      <c r="E10" s="69"/>
      <c r="F10" s="66">
        <f>[29]OMA!B11</f>
        <v>90.313653136531372</v>
      </c>
      <c r="G10" s="58"/>
      <c r="H10" s="68"/>
      <c r="I10" s="69"/>
      <c r="J10" s="66" t="e">
        <f>[29]OMA!E11</f>
        <v>#REF!</v>
      </c>
      <c r="K10" s="58"/>
      <c r="L10" s="68"/>
      <c r="M10" s="70"/>
      <c r="Y10" s="65"/>
    </row>
    <row r="11" spans="1:25">
      <c r="A11" s="58">
        <f t="shared" si="0"/>
        <v>2002</v>
      </c>
      <c r="B11" s="71">
        <f>[30]AWE!C29</f>
        <v>711.29</v>
      </c>
      <c r="C11" s="67"/>
      <c r="D11" s="68"/>
      <c r="E11" s="69"/>
      <c r="F11" s="72">
        <f>[31]GDPIPI!$H$10</f>
        <v>90.275000000000006</v>
      </c>
      <c r="G11" s="67"/>
      <c r="H11" s="68"/>
      <c r="I11" s="69"/>
      <c r="J11" s="66">
        <f>[32]T10!F8</f>
        <v>100</v>
      </c>
      <c r="K11" s="67"/>
      <c r="L11" s="68"/>
      <c r="M11" s="70"/>
      <c r="U11" s="73">
        <v>100</v>
      </c>
      <c r="Y11" s="65"/>
    </row>
    <row r="12" spans="1:25">
      <c r="A12" s="58">
        <f t="shared" si="0"/>
        <v>2003</v>
      </c>
      <c r="B12" s="74">
        <f>[30]AWE!C30</f>
        <v>728.71</v>
      </c>
      <c r="C12" s="67">
        <f t="shared" ref="C12:C26" si="1">LN(B12/B11)</f>
        <v>2.4195624775550508E-2</v>
      </c>
      <c r="D12" s="68"/>
      <c r="E12" s="69"/>
      <c r="F12" s="72">
        <v>91.75</v>
      </c>
      <c r="G12" s="67">
        <f t="shared" ref="G12:G26" si="2">LN(F12/F11)</f>
        <v>1.6206919771158155E-2</v>
      </c>
      <c r="H12" s="68"/>
      <c r="I12" s="69"/>
      <c r="J12" s="66">
        <f t="shared" ref="J12:J28" si="3">U12</f>
        <v>102.20383476849865</v>
      </c>
      <c r="K12" s="67">
        <f t="shared" ref="K12:K27" si="4">LN(J12/J11)</f>
        <v>2.179901327423274E-2</v>
      </c>
      <c r="L12" s="68"/>
      <c r="M12" s="70"/>
      <c r="O12" s="75">
        <f>0.7*C12</f>
        <v>1.6936937342885355E-2</v>
      </c>
      <c r="P12" s="76">
        <f>0.3*G12</f>
        <v>4.8620759313474466E-3</v>
      </c>
      <c r="Q12" s="76">
        <f>O12+P12</f>
        <v>2.1799013274232802E-2</v>
      </c>
      <c r="S12" s="77">
        <f>EXP(Q12)</f>
        <v>1.0220383476849866</v>
      </c>
      <c r="U12" s="5">
        <f>U11*EXP(Q12)</f>
        <v>102.20383476849865</v>
      </c>
      <c r="Y12" s="65"/>
    </row>
    <row r="13" spans="1:25">
      <c r="A13" s="58">
        <f t="shared" si="0"/>
        <v>2004</v>
      </c>
      <c r="B13" s="74">
        <f>[30]AWE!C31</f>
        <v>748.99</v>
      </c>
      <c r="C13" s="67">
        <f t="shared" si="1"/>
        <v>2.7449784642691658E-2</v>
      </c>
      <c r="D13" s="68"/>
      <c r="E13" s="69"/>
      <c r="F13" s="72">
        <v>93.375</v>
      </c>
      <c r="G13" s="67">
        <f t="shared" si="2"/>
        <v>1.7556156518301818E-2</v>
      </c>
      <c r="H13" s="68"/>
      <c r="I13" s="69"/>
      <c r="J13" s="66">
        <f t="shared" si="3"/>
        <v>104.73683759273938</v>
      </c>
      <c r="K13" s="67">
        <f t="shared" si="4"/>
        <v>2.4481696205374718E-2</v>
      </c>
      <c r="L13" s="68"/>
      <c r="M13" s="70"/>
      <c r="O13" s="75">
        <f t="shared" ref="O13:O29" si="5">0.7*C13</f>
        <v>1.9214849249884161E-2</v>
      </c>
      <c r="P13" s="76">
        <f t="shared" ref="P13:P28" si="6">0.3*G13</f>
        <v>5.2668469554905456E-3</v>
      </c>
      <c r="Q13" s="76">
        <f t="shared" ref="Q13:Q28" si="7">O13+P13</f>
        <v>2.4481696205374708E-2</v>
      </c>
      <c r="S13" s="77">
        <f t="shared" ref="S13:S28" si="8">EXP(Q13)</f>
        <v>1.0247838335027077</v>
      </c>
      <c r="U13" s="5">
        <f t="shared" ref="U13:U28" si="9">U12*EXP(Q13)</f>
        <v>104.73683759273938</v>
      </c>
      <c r="Y13" s="65"/>
    </row>
    <row r="14" spans="1:25">
      <c r="A14" s="58">
        <f t="shared" si="0"/>
        <v>2005</v>
      </c>
      <c r="B14" s="71">
        <f>[30]AWE!C32</f>
        <v>776.33</v>
      </c>
      <c r="C14" s="67">
        <f t="shared" si="1"/>
        <v>3.5852055225489468E-2</v>
      </c>
      <c r="D14" s="68">
        <f t="shared" ref="D14:D21" si="10">AVERAGE(C12:C14)</f>
        <v>2.9165821547910545E-2</v>
      </c>
      <c r="E14" s="69"/>
      <c r="F14" s="72">
        <v>95.35</v>
      </c>
      <c r="G14" s="67">
        <f t="shared" si="2"/>
        <v>2.0930688593446562E-2</v>
      </c>
      <c r="H14" s="68">
        <f t="shared" ref="H14:H21" si="11">AVERAGE(G12:G14)</f>
        <v>1.8231254960968845E-2</v>
      </c>
      <c r="I14" s="69"/>
      <c r="J14" s="66">
        <f t="shared" si="3"/>
        <v>108.07511997951487</v>
      </c>
      <c r="K14" s="67">
        <f t="shared" si="4"/>
        <v>3.1375645235876555E-2</v>
      </c>
      <c r="L14" s="68">
        <f t="shared" ref="L14:L21" si="12">AVERAGE(K12:K14)</f>
        <v>2.5885451571828005E-2</v>
      </c>
      <c r="M14" s="70"/>
      <c r="O14" s="76">
        <f t="shared" si="5"/>
        <v>2.5096438657842626E-2</v>
      </c>
      <c r="P14" s="76">
        <f t="shared" si="6"/>
        <v>6.2792065780339686E-3</v>
      </c>
      <c r="Q14" s="76">
        <f t="shared" si="7"/>
        <v>3.1375645235876597E-2</v>
      </c>
      <c r="S14" s="77">
        <f t="shared" si="8"/>
        <v>1.0318730492871679</v>
      </c>
      <c r="U14" s="5">
        <f t="shared" si="9"/>
        <v>108.07511997951487</v>
      </c>
      <c r="W14" s="73">
        <f>U14/$U$14</f>
        <v>1</v>
      </c>
      <c r="Y14" s="78"/>
    </row>
    <row r="15" spans="1:25">
      <c r="A15" s="58">
        <f t="shared" si="0"/>
        <v>2006</v>
      </c>
      <c r="B15" s="74">
        <f>[30]AWE!C33</f>
        <v>788.8</v>
      </c>
      <c r="C15" s="67">
        <f t="shared" si="1"/>
        <v>1.5935115769690481E-2</v>
      </c>
      <c r="D15" s="68">
        <f t="shared" si="10"/>
        <v>2.64123185459572E-2</v>
      </c>
      <c r="E15" s="69"/>
      <c r="F15" s="72">
        <v>97.55</v>
      </c>
      <c r="G15" s="67">
        <f t="shared" si="2"/>
        <v>2.2810735022692121E-2</v>
      </c>
      <c r="H15" s="68">
        <f t="shared" si="11"/>
        <v>2.0432526711480169E-2</v>
      </c>
      <c r="I15" s="69"/>
      <c r="J15" s="66">
        <f t="shared" si="3"/>
        <v>110.03784391857788</v>
      </c>
      <c r="K15" s="67">
        <f t="shared" si="4"/>
        <v>1.7997801545590889E-2</v>
      </c>
      <c r="L15" s="68">
        <f t="shared" si="12"/>
        <v>2.4618380995614055E-2</v>
      </c>
      <c r="M15" s="70"/>
      <c r="O15" s="75">
        <f t="shared" si="5"/>
        <v>1.1154581038783336E-2</v>
      </c>
      <c r="P15" s="76">
        <f t="shared" si="6"/>
        <v>6.8432205068076363E-3</v>
      </c>
      <c r="Q15" s="76">
        <f t="shared" si="7"/>
        <v>1.7997801545590972E-2</v>
      </c>
      <c r="S15" s="77">
        <f t="shared" si="8"/>
        <v>1.0181607380073696</v>
      </c>
      <c r="U15" s="5">
        <f t="shared" si="9"/>
        <v>110.03784391857788</v>
      </c>
      <c r="W15" s="79">
        <f t="shared" ref="W15:W28" si="13">U15/$U$14</f>
        <v>1.0181607380073696</v>
      </c>
      <c r="Y15" s="78"/>
    </row>
    <row r="16" spans="1:25">
      <c r="A16" s="58">
        <f t="shared" si="0"/>
        <v>2007</v>
      </c>
      <c r="B16" s="74">
        <f>[30]AWE!C34</f>
        <v>819.19</v>
      </c>
      <c r="C16" s="67">
        <f t="shared" si="1"/>
        <v>3.7803243891061426E-2</v>
      </c>
      <c r="D16" s="68">
        <f t="shared" si="10"/>
        <v>2.9863471628747123E-2</v>
      </c>
      <c r="E16" s="69"/>
      <c r="F16" s="72">
        <v>99.975000000000009</v>
      </c>
      <c r="G16" s="67">
        <f t="shared" si="2"/>
        <v>2.4555087663761934E-2</v>
      </c>
      <c r="H16" s="68">
        <f t="shared" si="11"/>
        <v>2.2765503759966874E-2</v>
      </c>
      <c r="I16" s="69"/>
      <c r="J16" s="66">
        <f t="shared" si="3"/>
        <v>113.8239708048299</v>
      </c>
      <c r="K16" s="67">
        <f t="shared" si="4"/>
        <v>3.3828797022871504E-2</v>
      </c>
      <c r="L16" s="68">
        <f t="shared" si="12"/>
        <v>2.7734081268112984E-2</v>
      </c>
      <c r="M16" s="70"/>
      <c r="O16" s="75">
        <f t="shared" si="5"/>
        <v>2.6462270723742996E-2</v>
      </c>
      <c r="P16" s="76">
        <f t="shared" si="6"/>
        <v>7.3665262991285795E-3</v>
      </c>
      <c r="Q16" s="76">
        <f t="shared" si="7"/>
        <v>3.3828797022871573E-2</v>
      </c>
      <c r="S16" s="77">
        <f t="shared" si="8"/>
        <v>1.0344074979245645</v>
      </c>
      <c r="U16" s="5">
        <f t="shared" si="9"/>
        <v>113.8239708048299</v>
      </c>
      <c r="W16" s="79">
        <f t="shared" si="13"/>
        <v>1.0531931014872313</v>
      </c>
      <c r="Y16" s="78"/>
    </row>
    <row r="17" spans="1:25">
      <c r="A17" s="58">
        <f t="shared" si="0"/>
        <v>2008</v>
      </c>
      <c r="B17" s="71">
        <f>[30]AWE!C35</f>
        <v>838.34</v>
      </c>
      <c r="C17" s="67">
        <f t="shared" si="1"/>
        <v>2.3107698940905908E-2</v>
      </c>
      <c r="D17" s="68">
        <f t="shared" si="10"/>
        <v>2.5615352867219273E-2</v>
      </c>
      <c r="E17" s="69"/>
      <c r="F17" s="72">
        <v>102.55000000000001</v>
      </c>
      <c r="G17" s="67">
        <f t="shared" si="2"/>
        <v>2.5430329785507653E-2</v>
      </c>
      <c r="H17" s="68">
        <f t="shared" si="11"/>
        <v>2.4265384157320571E-2</v>
      </c>
      <c r="I17" s="69"/>
      <c r="J17" s="66">
        <f t="shared" si="3"/>
        <v>116.56599898230115</v>
      </c>
      <c r="K17" s="67">
        <f t="shared" si="4"/>
        <v>2.3804488194286495E-2</v>
      </c>
      <c r="L17" s="68">
        <f t="shared" si="12"/>
        <v>2.5210362254249625E-2</v>
      </c>
      <c r="M17" s="70"/>
      <c r="O17" s="76">
        <f t="shared" si="5"/>
        <v>1.6175389258634133E-2</v>
      </c>
      <c r="P17" s="76">
        <f t="shared" si="6"/>
        <v>7.629098935652296E-3</v>
      </c>
      <c r="Q17" s="76">
        <f t="shared" si="7"/>
        <v>2.3804488194286429E-2</v>
      </c>
      <c r="S17" s="77">
        <f t="shared" si="8"/>
        <v>1.0240900766164003</v>
      </c>
      <c r="U17" s="5">
        <f t="shared" si="9"/>
        <v>116.56599898230115</v>
      </c>
      <c r="W17" s="79">
        <f t="shared" si="13"/>
        <v>1.078564603993923</v>
      </c>
      <c r="Y17" s="78"/>
    </row>
    <row r="18" spans="1:25">
      <c r="A18" s="58">
        <f t="shared" si="0"/>
        <v>2009</v>
      </c>
      <c r="B18" s="74">
        <f>[30]AWE!C36</f>
        <v>848.77</v>
      </c>
      <c r="C18" s="67">
        <f t="shared" si="1"/>
        <v>1.2364496539685944E-2</v>
      </c>
      <c r="D18" s="68">
        <f t="shared" si="10"/>
        <v>2.4425146457217762E-2</v>
      </c>
      <c r="E18" s="69"/>
      <c r="F18" s="72">
        <v>103.67500000000001</v>
      </c>
      <c r="G18" s="67">
        <f t="shared" si="2"/>
        <v>1.0910521614055282E-2</v>
      </c>
      <c r="H18" s="68">
        <f t="shared" si="11"/>
        <v>2.0298646354441622E-2</v>
      </c>
      <c r="I18" s="69"/>
      <c r="J18" s="66">
        <f t="shared" si="3"/>
        <v>117.96475949670015</v>
      </c>
      <c r="K18" s="67">
        <f t="shared" si="4"/>
        <v>1.1928304061996665E-2</v>
      </c>
      <c r="L18" s="68">
        <f t="shared" si="12"/>
        <v>2.3187196426384889E-2</v>
      </c>
      <c r="M18" s="70"/>
      <c r="O18" s="75">
        <f t="shared" si="5"/>
        <v>8.6551475777801607E-3</v>
      </c>
      <c r="P18" s="76">
        <f t="shared" si="6"/>
        <v>3.2731564842165845E-3</v>
      </c>
      <c r="Q18" s="76">
        <f t="shared" si="7"/>
        <v>1.1928304061996745E-2</v>
      </c>
      <c r="S18" s="77">
        <f t="shared" si="8"/>
        <v>1.0119997299951196</v>
      </c>
      <c r="U18" s="5">
        <f t="shared" si="9"/>
        <v>117.96475949670015</v>
      </c>
      <c r="W18" s="79">
        <f t="shared" si="13"/>
        <v>1.0915070880241431</v>
      </c>
      <c r="Y18" s="78"/>
    </row>
    <row r="19" spans="1:25">
      <c r="A19" s="58">
        <f t="shared" si="0"/>
        <v>2010</v>
      </c>
      <c r="B19" s="74">
        <f>[30]AWE!C37</f>
        <v>881.36</v>
      </c>
      <c r="C19" s="67">
        <f t="shared" si="1"/>
        <v>3.7677926371730619E-2</v>
      </c>
      <c r="D19" s="68">
        <f t="shared" si="10"/>
        <v>2.4383373950774157E-2</v>
      </c>
      <c r="E19" s="69"/>
      <c r="F19" s="72">
        <v>104.8</v>
      </c>
      <c r="G19" s="67">
        <f t="shared" si="2"/>
        <v>1.0792765754496629E-2</v>
      </c>
      <c r="H19" s="68">
        <f t="shared" si="11"/>
        <v>1.5711205718019854E-2</v>
      </c>
      <c r="I19" s="69"/>
      <c r="J19" s="66">
        <f t="shared" si="3"/>
        <v>121.51021213165795</v>
      </c>
      <c r="K19" s="67">
        <f t="shared" si="4"/>
        <v>2.9612378186560335E-2</v>
      </c>
      <c r="L19" s="68">
        <f t="shared" si="12"/>
        <v>2.178172348094783E-2</v>
      </c>
      <c r="M19" s="70"/>
      <c r="O19" s="75">
        <f t="shared" si="5"/>
        <v>2.6374548460211433E-2</v>
      </c>
      <c r="P19" s="76">
        <f t="shared" si="6"/>
        <v>3.2378297263489886E-3</v>
      </c>
      <c r="Q19" s="76">
        <f t="shared" si="7"/>
        <v>2.9612378186560422E-2</v>
      </c>
      <c r="S19" s="77">
        <f t="shared" si="8"/>
        <v>1.0300551847016395</v>
      </c>
      <c r="U19" s="5">
        <f t="shared" si="9"/>
        <v>121.51021213165795</v>
      </c>
      <c r="W19" s="79">
        <f t="shared" si="13"/>
        <v>1.1243125351578573</v>
      </c>
      <c r="Y19" s="78"/>
    </row>
    <row r="20" spans="1:25">
      <c r="A20" s="58">
        <f t="shared" si="0"/>
        <v>2011</v>
      </c>
      <c r="B20" s="74">
        <f>[30]AWE!C38</f>
        <v>893.4</v>
      </c>
      <c r="C20" s="67">
        <f t="shared" si="1"/>
        <v>1.3568239886208793E-2</v>
      </c>
      <c r="D20" s="68">
        <f t="shared" si="10"/>
        <v>2.1203554265875117E-2</v>
      </c>
      <c r="E20" s="69"/>
      <c r="F20" s="72">
        <v>107.3</v>
      </c>
      <c r="G20" s="67">
        <f t="shared" si="2"/>
        <v>2.3574877749711079E-2</v>
      </c>
      <c r="H20" s="68">
        <f t="shared" si="11"/>
        <v>1.5092721706087664E-2</v>
      </c>
      <c r="I20" s="69"/>
      <c r="J20" s="66">
        <f t="shared" si="3"/>
        <v>123.54043865331634</v>
      </c>
      <c r="K20" s="67">
        <f t="shared" si="4"/>
        <v>1.6570231245259585E-2</v>
      </c>
      <c r="L20" s="68">
        <f t="shared" si="12"/>
        <v>1.9370304497938862E-2</v>
      </c>
      <c r="M20" s="70"/>
      <c r="O20" s="75">
        <f t="shared" si="5"/>
        <v>9.4977679203461542E-3</v>
      </c>
      <c r="P20" s="76">
        <f t="shared" si="6"/>
        <v>7.072463324913323E-3</v>
      </c>
      <c r="Q20" s="76">
        <f t="shared" si="7"/>
        <v>1.6570231245259477E-2</v>
      </c>
      <c r="S20" s="77">
        <f t="shared" si="8"/>
        <v>1.0167082789671917</v>
      </c>
      <c r="U20" s="5">
        <f t="shared" si="9"/>
        <v>123.54043865331634</v>
      </c>
      <c r="W20" s="79">
        <f t="shared" si="13"/>
        <v>1.1430978626415853</v>
      </c>
      <c r="Y20" s="78"/>
    </row>
    <row r="21" spans="1:25">
      <c r="A21" s="58">
        <v>2012</v>
      </c>
      <c r="B21" s="74">
        <f>[30]AWE!C39</f>
        <v>906.08</v>
      </c>
      <c r="C21" s="67">
        <f t="shared" si="1"/>
        <v>1.4093193447476657E-2</v>
      </c>
      <c r="D21" s="68">
        <f t="shared" si="10"/>
        <v>2.1779786568472025E-2</v>
      </c>
      <c r="E21" s="69"/>
      <c r="F21" s="72">
        <v>109.07499999999999</v>
      </c>
      <c r="G21" s="67">
        <f t="shared" si="2"/>
        <v>1.6407069373020361E-2</v>
      </c>
      <c r="H21" s="68">
        <f t="shared" si="11"/>
        <v>1.6924904292409355E-2</v>
      </c>
      <c r="I21" s="69"/>
      <c r="J21" s="66">
        <f t="shared" si="3"/>
        <v>125.38084899341568</v>
      </c>
      <c r="K21" s="67">
        <f t="shared" si="4"/>
        <v>1.4787356225139823E-2</v>
      </c>
      <c r="L21" s="68">
        <f t="shared" si="12"/>
        <v>2.0323321885653247E-2</v>
      </c>
      <c r="M21" s="70"/>
      <c r="O21" s="75">
        <f t="shared" si="5"/>
        <v>9.8652354132336591E-3</v>
      </c>
      <c r="P21" s="76">
        <f t="shared" si="6"/>
        <v>4.9221208119061078E-3</v>
      </c>
      <c r="Q21" s="76">
        <f t="shared" si="7"/>
        <v>1.4787356225139766E-2</v>
      </c>
      <c r="S21" s="77">
        <f t="shared" si="8"/>
        <v>1.0148972300904966</v>
      </c>
      <c r="U21" s="5">
        <f t="shared" si="9"/>
        <v>125.38084899341568</v>
      </c>
      <c r="W21" s="79">
        <f t="shared" si="13"/>
        <v>1.160126854517312</v>
      </c>
      <c r="Y21" s="78"/>
    </row>
    <row r="22" spans="1:25">
      <c r="A22" s="58">
        <f t="shared" si="0"/>
        <v>2013</v>
      </c>
      <c r="B22" s="74">
        <f>[30]AWE!C40</f>
        <v>919.93</v>
      </c>
      <c r="C22" s="67">
        <f t="shared" si="1"/>
        <v>1.5169977826309945E-2</v>
      </c>
      <c r="D22" s="64"/>
      <c r="E22" s="64"/>
      <c r="F22" s="80">
        <f>[31]GDPIPI!H21</f>
        <v>110.97499999999999</v>
      </c>
      <c r="G22" s="81">
        <f t="shared" si="2"/>
        <v>1.7269231710425693E-2</v>
      </c>
      <c r="H22" s="64"/>
      <c r="I22" s="64"/>
      <c r="J22" s="66">
        <f t="shared" si="3"/>
        <v>127.37756785925612</v>
      </c>
      <c r="K22" s="67">
        <f t="shared" si="4"/>
        <v>1.57997539915446E-2</v>
      </c>
      <c r="L22" s="64"/>
      <c r="O22" s="75">
        <f t="shared" si="5"/>
        <v>1.061898447841696E-2</v>
      </c>
      <c r="P22" s="75">
        <f t="shared" si="6"/>
        <v>5.1807695131277079E-3</v>
      </c>
      <c r="Q22" s="75">
        <f t="shared" si="7"/>
        <v>1.5799753991544669E-2</v>
      </c>
      <c r="S22" s="77">
        <f t="shared" si="8"/>
        <v>1.0159252300640051</v>
      </c>
      <c r="U22" s="5">
        <f t="shared" si="9"/>
        <v>127.37756785925612</v>
      </c>
      <c r="W22" s="79">
        <f t="shared" si="13"/>
        <v>1.178602141578931</v>
      </c>
      <c r="Y22" s="78"/>
    </row>
    <row r="23" spans="1:25" ht="18" customHeight="1">
      <c r="A23" s="58">
        <f t="shared" si="0"/>
        <v>2014</v>
      </c>
      <c r="B23" s="74">
        <f>[30]AWE!C41</f>
        <v>938.24</v>
      </c>
      <c r="C23" s="67">
        <f t="shared" si="1"/>
        <v>1.9708199626372443E-2</v>
      </c>
      <c r="D23" s="82">
        <f>AVERAGE(D12:D22)</f>
        <v>2.535610322902165E-2</v>
      </c>
      <c r="E23" s="83"/>
      <c r="F23" s="80">
        <f>[31]GDPIPI!H22</f>
        <v>113.5</v>
      </c>
      <c r="G23" s="81">
        <f t="shared" si="2"/>
        <v>2.2497886201358543E-2</v>
      </c>
      <c r="H23" s="82">
        <f>AVERAGE(H12:H22)</f>
        <v>1.9215268457586868E-2</v>
      </c>
      <c r="I23" s="83"/>
      <c r="J23" s="66">
        <f t="shared" si="3"/>
        <v>130.02162161947061</v>
      </c>
      <c r="K23" s="67">
        <f t="shared" si="4"/>
        <v>2.0545105598868199E-2</v>
      </c>
      <c r="L23" s="82">
        <f>AVERAGE(L12:L22)</f>
        <v>2.3513852797591189E-2</v>
      </c>
      <c r="M23" s="84"/>
      <c r="O23" s="75">
        <f t="shared" si="5"/>
        <v>1.3795739738460709E-2</v>
      </c>
      <c r="P23" s="75">
        <f t="shared" si="6"/>
        <v>6.7493658604075623E-3</v>
      </c>
      <c r="Q23" s="75">
        <f t="shared" si="7"/>
        <v>2.0545105598868272E-2</v>
      </c>
      <c r="S23" s="77">
        <f t="shared" si="8"/>
        <v>1.020757609088093</v>
      </c>
      <c r="U23" s="5">
        <f t="shared" si="9"/>
        <v>130.02162161947061</v>
      </c>
      <c r="W23" s="79">
        <f t="shared" si="13"/>
        <v>1.2030671041042156</v>
      </c>
      <c r="Y23" s="78"/>
    </row>
    <row r="24" spans="1:25">
      <c r="A24" s="58">
        <f t="shared" si="0"/>
        <v>2015</v>
      </c>
      <c r="B24" s="74">
        <f>[30]AWE!C42</f>
        <v>962.86</v>
      </c>
      <c r="C24" s="81">
        <f t="shared" si="1"/>
        <v>2.5902242387509995E-2</v>
      </c>
      <c r="F24" s="80">
        <f>[31]GDPIPI!H23</f>
        <v>115.425</v>
      </c>
      <c r="G24" s="81">
        <f t="shared" si="2"/>
        <v>1.6818131471595148E-2</v>
      </c>
      <c r="J24" s="66">
        <f t="shared" si="3"/>
        <v>133.07032739688552</v>
      </c>
      <c r="K24" s="67">
        <f t="shared" si="4"/>
        <v>2.3177009112735455E-2</v>
      </c>
      <c r="O24" s="75">
        <f t="shared" si="5"/>
        <v>1.8131569671256995E-2</v>
      </c>
      <c r="P24" s="75">
        <f t="shared" si="6"/>
        <v>5.0454394414785443E-3</v>
      </c>
      <c r="Q24" s="75">
        <f t="shared" si="7"/>
        <v>2.3177009112735538E-2</v>
      </c>
      <c r="S24" s="77">
        <f t="shared" si="8"/>
        <v>1.0234476830810297</v>
      </c>
      <c r="U24" s="5">
        <f t="shared" si="9"/>
        <v>133.07032739688552</v>
      </c>
      <c r="W24" s="79">
        <f t="shared" si="13"/>
        <v>1.2312762402864634</v>
      </c>
      <c r="Y24" s="78"/>
    </row>
    <row r="25" spans="1:25">
      <c r="A25" s="85">
        <f t="shared" si="0"/>
        <v>2016</v>
      </c>
      <c r="B25" s="74">
        <f>[30]AWE!C43</f>
        <v>973.75</v>
      </c>
      <c r="C25" s="81">
        <f t="shared" si="1"/>
        <v>1.1246574979270715E-2</v>
      </c>
      <c r="F25" s="80">
        <f>[31]GDPIPI!H24</f>
        <v>116.825</v>
      </c>
      <c r="G25" s="81">
        <f t="shared" si="2"/>
        <v>1.2056120193437327E-2</v>
      </c>
      <c r="J25" s="66">
        <f t="shared" si="3"/>
        <v>134.60804760055942</v>
      </c>
      <c r="K25" s="67">
        <f t="shared" si="4"/>
        <v>1.1489438543520721E-2</v>
      </c>
      <c r="O25" s="75">
        <f t="shared" si="5"/>
        <v>7.8726024854895004E-3</v>
      </c>
      <c r="P25" s="75">
        <f t="shared" si="6"/>
        <v>3.6168360580311979E-3</v>
      </c>
      <c r="Q25" s="75">
        <f t="shared" si="7"/>
        <v>1.1489438543520698E-2</v>
      </c>
      <c r="S25" s="77">
        <f t="shared" si="8"/>
        <v>1.0115556956517258</v>
      </c>
      <c r="U25" s="5">
        <f t="shared" si="9"/>
        <v>134.60804760055942</v>
      </c>
      <c r="W25" s="79">
        <f t="shared" si="13"/>
        <v>1.2455044937824149</v>
      </c>
      <c r="Y25" s="78"/>
    </row>
    <row r="26" spans="1:25">
      <c r="A26" s="85">
        <f t="shared" si="0"/>
        <v>2017</v>
      </c>
      <c r="B26" s="74">
        <f>[30]AWE!C44</f>
        <v>992.55</v>
      </c>
      <c r="C26" s="81">
        <f t="shared" si="1"/>
        <v>1.9122791941220196E-2</v>
      </c>
      <c r="F26" s="80">
        <f>[31]GDPIPI!H25</f>
        <v>118.42500000000001</v>
      </c>
      <c r="G26" s="81">
        <f t="shared" si="2"/>
        <v>1.3602760223325724E-2</v>
      </c>
      <c r="J26" s="66">
        <f t="shared" si="3"/>
        <v>136.97987083998095</v>
      </c>
      <c r="K26" s="67">
        <f t="shared" si="4"/>
        <v>1.7466782425851899E-2</v>
      </c>
      <c r="O26" s="75">
        <f t="shared" si="5"/>
        <v>1.3385954358854136E-2</v>
      </c>
      <c r="P26" s="75">
        <f t="shared" si="6"/>
        <v>4.0808280669977172E-3</v>
      </c>
      <c r="Q26" s="75">
        <f t="shared" si="7"/>
        <v>1.7466782425851854E-2</v>
      </c>
      <c r="S26" s="77">
        <f t="shared" si="8"/>
        <v>1.0176202187142611</v>
      </c>
      <c r="U26" s="5">
        <f t="shared" si="9"/>
        <v>136.97987083998095</v>
      </c>
      <c r="W26" s="79">
        <f t="shared" si="13"/>
        <v>1.2674505553724562</v>
      </c>
      <c r="Y26" s="78"/>
    </row>
    <row r="27" spans="1:25">
      <c r="A27" s="85">
        <f t="shared" si="0"/>
        <v>2018</v>
      </c>
      <c r="B27" s="71">
        <f>B26*(1+C27)</f>
        <v>1021.1186752696329</v>
      </c>
      <c r="C27" s="67">
        <f>'[16]2018 Benchmarking Calculations'!$I$68</f>
        <v>2.8783109434923061E-2</v>
      </c>
      <c r="F27" s="72">
        <f>F26*(1+G27)</f>
        <v>120.32070706988435</v>
      </c>
      <c r="G27" s="67">
        <f>'[16]2018 Benchmarking Calculations'!$I$67</f>
        <v>1.6007659445930671E-2</v>
      </c>
      <c r="J27" s="66">
        <f t="shared" si="3"/>
        <v>140.44057720899568</v>
      </c>
      <c r="K27" s="67">
        <f t="shared" si="4"/>
        <v>2.4950474438225352E-2</v>
      </c>
      <c r="O27" s="76">
        <f t="shared" si="5"/>
        <v>2.0148176604446143E-2</v>
      </c>
      <c r="P27" s="76">
        <f t="shared" si="6"/>
        <v>4.8022978337792016E-3</v>
      </c>
      <c r="Q27" s="76">
        <f t="shared" si="7"/>
        <v>2.4950474438225345E-2</v>
      </c>
      <c r="S27" s="77">
        <f t="shared" si="8"/>
        <v>1.0252643424745049</v>
      </c>
      <c r="U27" s="5">
        <f t="shared" si="9"/>
        <v>140.44057720899568</v>
      </c>
      <c r="W27" s="79">
        <f t="shared" si="13"/>
        <v>1.2994718602728874</v>
      </c>
      <c r="Y27" s="78"/>
    </row>
    <row r="28" spans="1:25">
      <c r="A28" s="85">
        <f t="shared" si="0"/>
        <v>2019</v>
      </c>
      <c r="B28" s="71">
        <f>B27*(1+C28)</f>
        <v>1048.8611774587766</v>
      </c>
      <c r="C28" s="67">
        <f>'[17]2019 Benchmarking Calculations'!$I$68</f>
        <v>2.7168734507591063E-2</v>
      </c>
      <c r="F28" s="72">
        <f>F27*(1+G28)</f>
        <v>123.58966841603167</v>
      </c>
      <c r="G28" s="67">
        <f>'[17]2019 Benchmarking Calculations'!$I$68</f>
        <v>2.7168734507591063E-2</v>
      </c>
      <c r="J28" s="66">
        <f t="shared" si="3"/>
        <v>144.30847499129908</v>
      </c>
      <c r="K28" s="67"/>
      <c r="O28" s="76">
        <f t="shared" si="5"/>
        <v>1.9018114155313744E-2</v>
      </c>
      <c r="P28" s="76">
        <f t="shared" si="6"/>
        <v>8.1506203522773192E-3</v>
      </c>
      <c r="Q28" s="76">
        <f t="shared" si="7"/>
        <v>2.7168734507591063E-2</v>
      </c>
      <c r="S28" s="77">
        <f t="shared" si="8"/>
        <v>1.0275411697898922</v>
      </c>
      <c r="U28" s="5">
        <f t="shared" si="9"/>
        <v>144.30847499129908</v>
      </c>
      <c r="W28" s="79">
        <f t="shared" si="13"/>
        <v>1.3352608354138498</v>
      </c>
      <c r="Y28" s="78"/>
    </row>
    <row r="29" spans="1:25">
      <c r="A29" s="86" t="s">
        <v>341</v>
      </c>
      <c r="B29" s="71"/>
      <c r="C29" s="67"/>
      <c r="F29" s="72"/>
      <c r="G29" s="67"/>
      <c r="J29" s="66"/>
      <c r="K29" s="67"/>
      <c r="O29" s="76">
        <f t="shared" si="5"/>
        <v>0</v>
      </c>
      <c r="P29" s="76"/>
      <c r="Q29" s="76"/>
      <c r="S29" s="77"/>
      <c r="W29" s="79"/>
      <c r="Y29" s="78"/>
    </row>
    <row r="30" spans="1:25">
      <c r="A30" s="84" t="s">
        <v>342</v>
      </c>
      <c r="C30" s="70">
        <f>AVERAGE(C13:C20)</f>
        <v>2.5469820158433035E-2</v>
      </c>
      <c r="D30" s="70">
        <f>AVERAGE(D13:D20)</f>
        <v>2.5867005609100168E-2</v>
      </c>
      <c r="E30" s="62"/>
      <c r="F30" s="84"/>
      <c r="G30" s="87">
        <f>AVERAGE(G13:G20)</f>
        <v>1.957014533774664E-2</v>
      </c>
      <c r="H30" s="70">
        <f>AVERAGE(H13:H20)</f>
        <v>1.9542463338326512E-2</v>
      </c>
      <c r="I30" s="62"/>
      <c r="J30" s="84"/>
      <c r="K30" s="87">
        <f>AVERAGE(K13:K20)</f>
        <v>2.3699917712227094E-2</v>
      </c>
      <c r="L30" s="70">
        <f>AVERAGE(L13:L20)</f>
        <v>2.3969642927868039E-2</v>
      </c>
      <c r="M30" s="84"/>
    </row>
    <row r="31" spans="1:25" ht="16">
      <c r="A31" s="88" t="s">
        <v>343</v>
      </c>
      <c r="C31" s="89">
        <f>STDEV(C13:C20)</f>
        <v>1.0841386226503538E-2</v>
      </c>
      <c r="D31" s="89">
        <f>STDEV(D13:D20)</f>
        <v>2.9788846259414994E-3</v>
      </c>
      <c r="E31" s="62"/>
      <c r="F31" s="88"/>
      <c r="G31" s="90">
        <f>STDEV(G13:G20)</f>
        <v>5.8999929691597574E-3</v>
      </c>
      <c r="H31" s="89">
        <f>STDEV(H13:H20)</f>
        <v>3.4218902948466999E-3</v>
      </c>
      <c r="I31" s="62"/>
      <c r="J31" s="88"/>
      <c r="K31" s="90">
        <f>STDEV(K13:K20)</f>
        <v>7.7368112330495646E-3</v>
      </c>
      <c r="L31" s="89">
        <f>STDEV(L13:L20)</f>
        <v>2.7795291067641806E-3</v>
      </c>
      <c r="M31" s="88"/>
    </row>
    <row r="32" spans="1:25" ht="16">
      <c r="A32" s="88" t="s">
        <v>344</v>
      </c>
      <c r="C32" s="91">
        <f>C31/C30</f>
        <v>0.42565617499713537</v>
      </c>
      <c r="D32" s="91">
        <f>D31/D30</f>
        <v>0.11516155642280874</v>
      </c>
      <c r="E32" s="62"/>
      <c r="F32" s="88"/>
      <c r="G32" s="92">
        <f>G31/G30</f>
        <v>0.30147926177021939</v>
      </c>
      <c r="H32" s="91">
        <f>H31/H30</f>
        <v>0.17510025402661075</v>
      </c>
      <c r="I32" s="62"/>
      <c r="J32" s="88"/>
      <c r="K32" s="92">
        <f>K31/K30</f>
        <v>0.32644886480167157</v>
      </c>
      <c r="L32" s="91">
        <f>L31/L30</f>
        <v>0.11596038852679745</v>
      </c>
      <c r="M32" s="88"/>
    </row>
    <row r="33" spans="1:3">
      <c r="A33" s="58"/>
      <c r="C33" s="21"/>
    </row>
    <row r="34" spans="1:3">
      <c r="A34" t="s">
        <v>345</v>
      </c>
    </row>
    <row r="35" spans="1:3">
      <c r="A35" s="64" t="s">
        <v>101</v>
      </c>
    </row>
    <row r="36" spans="1:3">
      <c r="A36" t="s">
        <v>346</v>
      </c>
    </row>
    <row r="37" spans="1:3">
      <c r="A37" t="s">
        <v>347</v>
      </c>
    </row>
  </sheetData>
  <mergeCells count="5">
    <mergeCell ref="A1:L1"/>
    <mergeCell ref="A2:L2"/>
    <mergeCell ref="B3:D3"/>
    <mergeCell ref="F3:H3"/>
    <mergeCell ref="J3:L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NOTES</vt:lpstr>
      <vt:lpstr>DNSPNZSourceData</vt:lpstr>
      <vt:lpstr>DNSP NZ Med 2019ABR</vt:lpstr>
      <vt:lpstr>DNSPOntSourceData</vt:lpstr>
      <vt:lpstr>DNSP Ont Med 2019ABR</vt:lpstr>
      <vt:lpstr>NZ MaxDemand Calcs</vt:lpstr>
      <vt:lpstr>NZ LCI</vt:lpstr>
      <vt:lpstr>NZ PPI &amp; Opex Price</vt:lpstr>
      <vt:lpstr>Ont Opex Price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Lawrence</dc:creator>
  <cp:lastModifiedBy>Michael Cunningham</cp:lastModifiedBy>
  <cp:lastPrinted>2019-05-28T02:05:56Z</cp:lastPrinted>
  <dcterms:created xsi:type="dcterms:W3CDTF">2014-07-11T04:09:36Z</dcterms:created>
  <dcterms:modified xsi:type="dcterms:W3CDTF">2021-08-03T06:25:24Z</dcterms:modified>
</cp:coreProperties>
</file>