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venue Reset 2023\RIN_Reset\2. Documents for submission\"/>
    </mc:Choice>
  </mc:AlternateContent>
  <xr:revisionPtr revIDLastSave="0" documentId="13_ncr:1_{F6D312BA-ACCE-4D8C-BC7A-7A3E6895B4E5}" xr6:coauthVersionLast="46" xr6:coauthVersionMax="46" xr10:uidLastSave="{00000000-0000-0000-0000-000000000000}"/>
  <bookViews>
    <workbookView xWindow="-110" yWindow="-110" windowWidth="19420" windowHeight="10420" tabRatio="691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3" l="1"/>
  <c r="H13" i="13"/>
  <c r="I13" i="13"/>
  <c r="J13" i="13"/>
  <c r="K13" i="13"/>
  <c r="L22" i="13"/>
  <c r="D1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28" i="3"/>
  <c r="G15" i="13"/>
  <c r="M7" i="13"/>
  <c r="N7" i="13"/>
  <c r="O7" i="13"/>
  <c r="P7" i="13"/>
  <c r="L7" i="13"/>
  <c r="H7" i="13"/>
  <c r="I7" i="13"/>
  <c r="J7" i="13"/>
  <c r="K7" i="13"/>
  <c r="F8" i="3"/>
  <c r="F11" i="3"/>
  <c r="F9" i="3"/>
  <c r="D41" i="4"/>
  <c r="E41" i="4"/>
  <c r="F41" i="4"/>
  <c r="G41" i="4"/>
  <c r="H41" i="4"/>
  <c r="E7" i="4"/>
  <c r="F7" i="4"/>
  <c r="G7" i="4"/>
  <c r="H7" i="4"/>
  <c r="D7" i="4"/>
  <c r="I6" i="3"/>
  <c r="I11" i="3"/>
  <c r="J6" i="3"/>
  <c r="J11" i="3"/>
  <c r="K6" i="3"/>
  <c r="K11" i="3"/>
  <c r="L6" i="3"/>
  <c r="L11" i="3"/>
  <c r="H6" i="3"/>
  <c r="H11" i="3"/>
  <c r="D10" i="4"/>
  <c r="L19" i="13"/>
  <c r="M19" i="13"/>
  <c r="P19" i="13"/>
  <c r="G19" i="13"/>
  <c r="N19" i="13"/>
  <c r="O19" i="13"/>
  <c r="H19" i="13"/>
  <c r="I19" i="13"/>
  <c r="J19" i="13"/>
  <c r="K19" i="13"/>
  <c r="H15" i="3"/>
  <c r="H21" i="3"/>
  <c r="I15" i="3"/>
  <c r="I21" i="3"/>
  <c r="L15" i="3"/>
  <c r="L21" i="3"/>
  <c r="H11" i="4" s="1"/>
  <c r="K15" i="3"/>
  <c r="K21" i="3"/>
  <c r="G11" i="4" s="1"/>
  <c r="J15" i="3"/>
  <c r="J21" i="3"/>
  <c r="G22" i="13"/>
  <c r="D9" i="4"/>
  <c r="D11" i="4"/>
  <c r="H22" i="13"/>
  <c r="I22" i="13"/>
  <c r="J22" i="13"/>
  <c r="K22" i="13"/>
  <c r="H9" i="4"/>
  <c r="H8" i="4"/>
  <c r="G19" i="4"/>
  <c r="D25" i="4"/>
  <c r="D27" i="4"/>
  <c r="M14" i="13"/>
  <c r="M22" i="13"/>
  <c r="E9" i="4"/>
  <c r="E11" i="4"/>
  <c r="M9" i="13"/>
  <c r="N9" i="13"/>
  <c r="O9" i="13"/>
  <c r="P9" i="13"/>
  <c r="C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5" i="3"/>
  <c r="I25" i="3"/>
  <c r="J25" i="3"/>
  <c r="K25" i="3"/>
  <c r="L25" i="3"/>
  <c r="H15" i="13"/>
  <c r="D12" i="4"/>
  <c r="G13" i="4" s="1"/>
  <c r="G18" i="4" s="1"/>
  <c r="G21" i="4" s="1"/>
  <c r="C42" i="4"/>
  <c r="C44" i="4"/>
  <c r="G10" i="13"/>
  <c r="F11" i="4"/>
  <c r="F19" i="4"/>
  <c r="E19" i="4"/>
  <c r="D19" i="4"/>
  <c r="D21" i="4"/>
  <c r="E25" i="4"/>
  <c r="E27" i="4"/>
  <c r="N14" i="13"/>
  <c r="B1" i="5"/>
  <c r="B1" i="3"/>
  <c r="B1" i="13"/>
  <c r="B1" i="4"/>
  <c r="E10" i="4"/>
  <c r="H10" i="13"/>
  <c r="I15" i="13"/>
  <c r="F13" i="4"/>
  <c r="F18" i="4" s="1"/>
  <c r="F21" i="4" s="1"/>
  <c r="H13" i="4"/>
  <c r="N22" i="13"/>
  <c r="F25" i="4"/>
  <c r="F27" i="4"/>
  <c r="O14" i="13"/>
  <c r="O22" i="13"/>
  <c r="I10" i="13"/>
  <c r="F10" i="4"/>
  <c r="F12" i="4"/>
  <c r="F20" i="4"/>
  <c r="E12" i="4"/>
  <c r="G14" i="4"/>
  <c r="J15" i="13"/>
  <c r="P14" i="13"/>
  <c r="G25" i="4"/>
  <c r="G27" i="4"/>
  <c r="J10" i="13"/>
  <c r="G10" i="4"/>
  <c r="E20" i="4"/>
  <c r="H14" i="4"/>
  <c r="F14" i="4"/>
  <c r="G15" i="4"/>
  <c r="K15" i="13"/>
  <c r="H15" i="4"/>
  <c r="P22" i="13"/>
  <c r="H25" i="4"/>
  <c r="H27" i="4"/>
  <c r="K10" i="13"/>
  <c r="H10" i="4"/>
  <c r="L15" i="13"/>
  <c r="H28" i="3"/>
  <c r="H29" i="3" s="1"/>
  <c r="D26" i="4" s="1"/>
  <c r="D28" i="4" s="1"/>
  <c r="L10" i="13"/>
  <c r="M15" i="13"/>
  <c r="M10" i="13"/>
  <c r="I28" i="3"/>
  <c r="I29" i="3" s="1"/>
  <c r="E26" i="4" s="1"/>
  <c r="E28" i="4" s="1"/>
  <c r="N15" i="13"/>
  <c r="N10" i="13"/>
  <c r="J28" i="3"/>
  <c r="J29" i="3"/>
  <c r="F26" i="4"/>
  <c r="F28" i="4"/>
  <c r="O15" i="13"/>
  <c r="O10" i="13"/>
  <c r="K28" i="3"/>
  <c r="K29" i="3"/>
  <c r="G26" i="4"/>
  <c r="G28" i="4"/>
  <c r="P15" i="13"/>
  <c r="P10" i="13"/>
  <c r="L28" i="3"/>
  <c r="L29" i="3"/>
  <c r="H26" i="4"/>
  <c r="H28" i="4"/>
  <c r="H12" i="4" l="1"/>
  <c r="H20" i="4" s="1"/>
  <c r="G12" i="4"/>
  <c r="D20" i="4"/>
  <c r="E13" i="4"/>
  <c r="E18" i="4" s="1"/>
  <c r="E21" i="4" s="1"/>
  <c r="G20" i="4"/>
  <c r="H16" i="4"/>
  <c r="H18" i="4" l="1"/>
  <c r="H21" i="4" s="1"/>
  <c r="D31" i="4"/>
  <c r="D33" i="4"/>
  <c r="D34" i="4"/>
  <c r="D35" i="4" l="1"/>
  <c r="D36" i="4" l="1"/>
  <c r="D42" i="4" l="1"/>
  <c r="E42" i="4" l="1"/>
  <c r="J8" i="10"/>
  <c r="K8" i="10" l="1"/>
  <c r="F42" i="4"/>
  <c r="G42" i="4" l="1"/>
  <c r="L8" i="10"/>
  <c r="H42" i="4" l="1"/>
  <c r="N8" i="10" s="1"/>
  <c r="M8" i="10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<sst xmlns="http://schemas.openxmlformats.org/spreadsheetml/2006/main" count="192" uniqueCount="104">
  <si>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</si>
  <si>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</si>
  <si>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</si>
  <si>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</si>
  <si>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</si>
  <si>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</si>
  <si>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</si>
  <si>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</si>
  <si>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</si>
  <si>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</si>
  <si>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</si>
  <si>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</si>
  <si>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</si>
  <si>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</si>
  <si>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</si>
  <si>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</si>
  <si>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</si>
  <si>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</si>
  <si>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</si>
  <si>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Determination stage</t>
  </si>
  <si>
    <t>Proposal</t>
  </si>
  <si>
    <t>Determination years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</si>
  <si>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</si>
  <si>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</si>
  <si>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</si>
  <si>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</si>
  <si>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</si>
  <si>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</si>
  <si>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</si>
  <si>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</si>
  <si>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</si>
  <si>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</si>
  <si>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</si>
  <si>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</si>
  <si>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</si>
  <si>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</si>
  <si>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</si>
  <si>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</si>
  <si>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</si>
  <si>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</si>
  <si>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</si>
  <si>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</si>
  <si>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</si>
  <si>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</si>
  <si>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</si>
  <si>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</si>
  <si>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</si>
  <si>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</si>
  <si>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</si>
  <si>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</si>
  <si>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</si>
  <si>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</si>
  <si>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</si>
  <si>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</si>
  <si>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</si>
  <si>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</si>
  <si>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</si>
  <si>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</si>
  <si>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</si>
  <si>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</si>
  <si>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</si>
  <si>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</si>
  <si>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</si>
  <si>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</si>
  <si>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</si>
  <si>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</si>
  <si>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</si>
  <si>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</si>
  <si>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</si>
  <si>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</si>
  <si>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</si>
  <si>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</si>
  <si>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</si>
  <si>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</si>
  <si>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</si>
  <si>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</si>
  <si>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</si>
  <si>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</si>
  <si>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</si>
  <si>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</si>
  <si>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</si>
  <si>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</si>
  <si>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</si>
  <si>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</si>
  <si>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</si>
  <si>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</si>
  <si>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</si>
  <si>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</si>
  <si>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</si>
  <si>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</si>
  <si>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</si>
  <si>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</si>
  <si>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</si>
  <si>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</si>
  <si>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</si>
  <si>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</si>
  <si>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</si>
  <si>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</si>
  <si>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</si>
  <si>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</si>
  <si>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</si>
  <si>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ElectraNet</t>
  </si>
  <si>
    <t>2023-28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</si>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</sst>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4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9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6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ElectraNet 2023-28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5" customHeight="1">
      <c r="C13" s="29" t="s">
        <v>14</v>
      </c>
      <c r="D13" s="7"/>
      <c r="E13" s="7"/>
    </row>
    <row r="22" ht="0.65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tabSelected="1" zoomScaleNormal="100" workbookViewId="0">
      <selection activeCell="F10" sqref="F10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ElectraNet 2023-28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101</v>
      </c>
      <c r="J6" s="78"/>
      <c r="K6" s="78"/>
      <c r="L6" s="78"/>
      <c r="M6" s="78"/>
    </row>
    <row r="7" spans="1:13" s="69" customFormat="1" ht="11.25" customHeight="1">
      <c r="C7" s="68" t="s">
        <v>19</v>
      </c>
      <c r="D7" s="154" t="s">
        <v>20</v>
      </c>
      <c r="I7" s="78"/>
      <c r="J7" s="78"/>
      <c r="K7" s="78"/>
      <c r="L7" s="78"/>
    </row>
    <row r="8" spans="1:13" s="69" customFormat="1" ht="11.25" customHeight="1">
      <c r="C8" s="68" t="s">
        <v>21</v>
      </c>
      <c r="D8" s="154" t="s">
        <v>102</v>
      </c>
      <c r="J8" s="78"/>
      <c r="K8" s="78"/>
      <c r="L8" s="78"/>
      <c r="M8" s="78"/>
    </row>
    <row r="9" spans="1:13" s="69" customFormat="1" ht="11.25" customHeight="1">
      <c r="C9" s="184" t="s">
        <v>22</v>
      </c>
      <c r="D9" s="154" t="s">
        <v>103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23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24</v>
      </c>
      <c r="E12" s="70" t="s">
        <v>25</v>
      </c>
      <c r="F12" s="70" t="s">
        <v>26</v>
      </c>
      <c r="G12" s="70" t="s">
        <v>27</v>
      </c>
      <c r="H12" s="70" t="s">
        <v>28</v>
      </c>
      <c r="J12" s="78"/>
      <c r="K12" s="78"/>
      <c r="L12" s="78"/>
      <c r="M12" s="78"/>
    </row>
    <row r="13" spans="1:13" s="69" customFormat="1" ht="11.25" customHeight="1">
      <c r="C13" s="68" t="s">
        <v>29</v>
      </c>
      <c r="D13" s="183" t="str">
        <f t="shared" ref="D13:F13" si="0">IF(LEN(E13)&gt;4,CONCATENATE(LEFT(E13,4)-1&amp;"–"&amp;IF(RIGHT(E13,2)="00","99",IF(RIGHT(E13,2)-1&lt;10,"0","")&amp;RIGHT(E13,2)-1)),E13-1)</f>
        <v>2018–19</v>
      </c>
      <c r="E13" s="183" t="str">
        <f t="shared" si="0"/>
        <v>2019–20</v>
      </c>
      <c r="F13" s="183" t="str">
        <f t="shared" si="0"/>
        <v>2020–21</v>
      </c>
      <c r="G13" s="183" t="str">
        <f>IF(LEN(H13)&gt;4,CONCATENATE(LEFT(H13,4)-1&amp;"–"&amp;IF(RIGHT(H13,2)="00","99",IF(RIGHT(H13,2)-1&lt;10,"0","")&amp;RIGHT(H13,2)-1)),H13-1)</f>
        <v>2021–22</v>
      </c>
      <c r="H13" s="183" t="str">
        <f>IF(LEN(D9)&gt;4,CONCATENATE(LEFT(D9,4)-1&amp;"–"&amp;IF(RIGHT(D9,2)="00","99",IF(RIGHT(D9,2)-1&lt;10,"0","")&amp;RIGHT(D9,2)-1)),D9-1)</f>
        <v>2022–23</v>
      </c>
      <c r="J13" s="78"/>
      <c r="K13" s="78"/>
      <c r="L13" s="78"/>
      <c r="M13" s="78"/>
    </row>
    <row r="14" spans="1:13" s="69" customFormat="1" ht="11.25" customHeight="1">
      <c r="C14" s="68" t="s">
        <v>30</v>
      </c>
      <c r="D14" s="154" t="s">
        <v>31</v>
      </c>
      <c r="E14" s="154" t="s">
        <v>31</v>
      </c>
      <c r="F14" s="154" t="s">
        <v>31</v>
      </c>
      <c r="G14" s="154" t="s">
        <v>31</v>
      </c>
      <c r="H14" s="154" t="s">
        <v>31</v>
      </c>
      <c r="J14" s="78"/>
      <c r="K14" s="78"/>
      <c r="L14" s="78"/>
      <c r="M14" s="78"/>
    </row>
    <row r="15" spans="1:13" s="69" customFormat="1" ht="11.25" customHeight="1">
      <c r="C15" s="68" t="s">
        <v>32</v>
      </c>
      <c r="D15" s="154" t="s">
        <v>33</v>
      </c>
      <c r="E15" s="154" t="s">
        <v>33</v>
      </c>
      <c r="F15" s="154" t="s">
        <v>33</v>
      </c>
      <c r="G15" s="154" t="s">
        <v>34</v>
      </c>
      <c r="H15" s="154" t="s">
        <v>34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24</v>
      </c>
      <c r="E17" s="70" t="s">
        <v>25</v>
      </c>
      <c r="F17" s="70" t="s">
        <v>26</v>
      </c>
      <c r="G17" s="70" t="s">
        <v>27</v>
      </c>
      <c r="H17" s="70" t="s">
        <v>28</v>
      </c>
      <c r="J17" s="78"/>
      <c r="K17" s="78"/>
      <c r="L17" s="78"/>
      <c r="M17" s="78"/>
    </row>
    <row r="18" spans="1:13" s="69" customFormat="1" ht="11.25" customHeight="1">
      <c r="C18" s="68" t="s">
        <v>35</v>
      </c>
      <c r="D18" s="183" t="str">
        <f>D9</f>
        <v>2023-24</v>
      </c>
      <c r="E18" s="183" t="str">
        <f>IF(LEN(D18)&gt;4,CONCATENATE(LEFT(D18,4)+1&amp;"–"&amp;IF(RIGHT(D18,2)+1&gt;9,"","0")&amp;RIGHT(D18,2)+1),D18+1)</f>
        <v>2024–25</v>
      </c>
      <c r="F18" s="183" t="str">
        <f t="shared" ref="F18:H18" si="1">IF(LEN(E18)&gt;4,CONCATENATE(LEFT(E18,4)+1&amp;"–"&amp;IF(RIGHT(E18,2)+1&gt;9,"","0")&amp;RIGHT(E18,2)+1),E18+1)</f>
        <v>2025–26</v>
      </c>
      <c r="G18" s="183" t="str">
        <f t="shared" si="1"/>
        <v>2026–27</v>
      </c>
      <c r="H18" s="183" t="str">
        <f t="shared" si="1"/>
        <v>2027–28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zoomScale="96" zoomScaleNormal="96" workbookViewId="0">
      <selection activeCell="J24" sqref="J24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ElectraNet 2023-28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187"/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36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37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90"/>
      <c r="K5" s="190"/>
      <c r="N5" s="11"/>
    </row>
    <row r="6" spans="1:20" ht="11.25" customHeight="1">
      <c r="A6" s="11"/>
      <c r="B6" s="11"/>
      <c r="C6" s="16"/>
      <c r="D6" s="74" t="s">
        <v>38</v>
      </c>
      <c r="E6" s="74" t="s">
        <v>39</v>
      </c>
      <c r="F6" s="74"/>
      <c r="J6" s="190"/>
      <c r="K6" s="190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2017–18</v>
      </c>
      <c r="G7" s="169" t="str">
        <f>'Input | General'!D13</f>
        <v>2018–19</v>
      </c>
      <c r="H7" s="169" t="str">
        <f>'Input | General'!E13</f>
        <v>2019–20</v>
      </c>
      <c r="I7" s="169" t="str">
        <f>'Input | General'!F13</f>
        <v>2020–21</v>
      </c>
      <c r="J7" s="169" t="str">
        <f>'Input | General'!G13</f>
        <v>2021–22</v>
      </c>
      <c r="K7" s="169" t="str">
        <f>'Input | General'!H13</f>
        <v>2022–23</v>
      </c>
      <c r="L7" s="169" t="str">
        <f>'Input | General'!D18</f>
        <v>2023-24</v>
      </c>
      <c r="M7" s="169" t="str">
        <f>'Input | General'!E18</f>
        <v>2024–25</v>
      </c>
      <c r="N7" s="169" t="str">
        <f>'Input | General'!F18</f>
        <v>2025–26</v>
      </c>
      <c r="O7" s="169" t="str">
        <f>'Input | General'!G18</f>
        <v>2026–27</v>
      </c>
      <c r="P7" s="169" t="str">
        <f>'Input | General'!H18</f>
        <v>2027–28</v>
      </c>
    </row>
    <row r="8" spans="1:20" ht="11.25" customHeight="1">
      <c r="A8" s="11"/>
      <c r="B8" s="11"/>
      <c r="C8" s="79" t="s">
        <v>40</v>
      </c>
      <c r="D8" s="77" t="s">
        <v>41</v>
      </c>
      <c r="E8" s="77" t="s">
        <v>42</v>
      </c>
      <c r="F8" s="186"/>
      <c r="G8" s="155">
        <v>1.784121320249777E-2</v>
      </c>
      <c r="H8" s="155">
        <v>1.8404907975460197E-2</v>
      </c>
      <c r="I8" s="155">
        <v>8.6058519793459545E-3</v>
      </c>
      <c r="J8" s="155">
        <v>2.4499999999999949E-2</v>
      </c>
      <c r="K8" s="155">
        <v>2.4499999999999984E-2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43</v>
      </c>
      <c r="D9" s="77" t="s">
        <v>41</v>
      </c>
      <c r="E9" s="77" t="s">
        <v>42</v>
      </c>
      <c r="F9" s="77"/>
      <c r="G9" s="127"/>
      <c r="H9" s="127"/>
      <c r="I9" s="127"/>
      <c r="J9" s="127"/>
      <c r="K9" s="127"/>
      <c r="L9" s="155">
        <v>2.4E-2</v>
      </c>
      <c r="M9" s="138">
        <f t="shared" ref="M9:P9" si="0">L9</f>
        <v>2.4E-2</v>
      </c>
      <c r="N9" s="138">
        <f t="shared" si="0"/>
        <v>2.4E-2</v>
      </c>
      <c r="O9" s="138">
        <f t="shared" si="0"/>
        <v>2.4E-2</v>
      </c>
      <c r="P9" s="138">
        <f t="shared" si="0"/>
        <v>2.4E-2</v>
      </c>
    </row>
    <row r="10" spans="1:20" ht="11.25" customHeight="1">
      <c r="A10" s="11"/>
      <c r="B10" s="11"/>
      <c r="C10" s="136" t="str">
        <f>"CPI Index (base year "&amp;F7&amp;")"</f>
        <v>CPI Index (base year 2017–18)</v>
      </c>
      <c r="D10" s="77" t="s">
        <v>41</v>
      </c>
      <c r="E10" s="77" t="s">
        <v>0</v>
      </c>
      <c r="F10" s="134">
        <v>1</v>
      </c>
      <c r="G10" s="120">
        <f>IF(G7&lt;&gt;"",(F10*(1+G8)),"")</f>
        <v>1.0178412132024979</v>
      </c>
      <c r="H10" s="120">
        <f>IF(H7&lt;&gt;"",(G10*(1+H8)),"")</f>
        <v>1.0365744870651206</v>
      </c>
      <c r="I10" s="120">
        <f>IF(I7&lt;&gt;"",(H10*(1+I8)),"")</f>
        <v>1.0454950936663694</v>
      </c>
      <c r="J10" s="120">
        <f>IF(J7&lt;&gt;"",(I10*(1+J8)),"")</f>
        <v>1.0711097234611955</v>
      </c>
      <c r="K10" s="120">
        <f>IF(K7&lt;&gt;"",(J10*(1+K8)),"")</f>
        <v>1.0973519116859947</v>
      </c>
      <c r="L10" s="86">
        <f t="shared" ref="L10:P10" si="1">IF(L7&lt;&gt;"",(K10*(1+L9)),"")</f>
        <v>1.1236883575664585</v>
      </c>
      <c r="M10" s="86">
        <f t="shared" si="1"/>
        <v>1.1506568781480535</v>
      </c>
      <c r="N10" s="86">
        <f t="shared" si="1"/>
        <v>1.1782726432236068</v>
      </c>
      <c r="O10" s="86">
        <f t="shared" si="1"/>
        <v>1.2065511866609735</v>
      </c>
      <c r="P10" s="86">
        <f t="shared" si="1"/>
        <v>1.2355084151408369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40</v>
      </c>
      <c r="D13" s="77" t="s">
        <v>44</v>
      </c>
      <c r="E13" s="77" t="s">
        <v>42</v>
      </c>
      <c r="F13" s="186"/>
      <c r="G13" s="155">
        <f t="shared" ref="G13:K13" si="2">G8</f>
        <v>1.784121320249777E-2</v>
      </c>
      <c r="H13" s="155">
        <f t="shared" si="2"/>
        <v>1.8404907975460197E-2</v>
      </c>
      <c r="I13" s="155">
        <f t="shared" si="2"/>
        <v>8.6058519793459545E-3</v>
      </c>
      <c r="J13" s="155">
        <f t="shared" si="2"/>
        <v>2.4499999999999949E-2</v>
      </c>
      <c r="K13" s="155">
        <f t="shared" si="2"/>
        <v>2.4499999999999984E-2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43</v>
      </c>
      <c r="D14" s="77" t="s">
        <v>44</v>
      </c>
      <c r="E14" s="77" t="s">
        <v>42</v>
      </c>
      <c r="F14" s="77"/>
      <c r="G14" s="85"/>
      <c r="H14" s="85"/>
      <c r="I14" s="85"/>
      <c r="J14" s="85"/>
      <c r="K14" s="85"/>
      <c r="L14" s="155">
        <v>2.4E-2</v>
      </c>
      <c r="M14" s="138">
        <f t="shared" ref="M14:P14" si="3">L14</f>
        <v>2.4E-2</v>
      </c>
      <c r="N14" s="138">
        <f t="shared" si="3"/>
        <v>2.4E-2</v>
      </c>
      <c r="O14" s="138">
        <f t="shared" si="3"/>
        <v>2.4E-2</v>
      </c>
      <c r="P14" s="138">
        <f t="shared" si="3"/>
        <v>2.4E-2</v>
      </c>
    </row>
    <row r="15" spans="1:20" ht="11.25" customHeight="1">
      <c r="A15" s="11"/>
      <c r="B15" s="11"/>
      <c r="C15" s="136" t="str">
        <f>"CPI Index (base year "&amp;F7&amp;")"</f>
        <v>CPI Index (base year 2017–18)</v>
      </c>
      <c r="D15" s="77" t="s">
        <v>44</v>
      </c>
      <c r="E15" s="77" t="s">
        <v>0</v>
      </c>
      <c r="F15" s="134">
        <v>1</v>
      </c>
      <c r="G15" s="120">
        <f>IF(G7&lt;&gt;"",(F15*(1+G13)),"")</f>
        <v>1.0178412132024979</v>
      </c>
      <c r="H15" s="120">
        <f>IF(H7&lt;&gt;"",(G15*(1+H13)),"")</f>
        <v>1.0365744870651206</v>
      </c>
      <c r="I15" s="120">
        <f>IF(I7&lt;&gt;"",(H15*(1+I13)),"")</f>
        <v>1.0454950936663694</v>
      </c>
      <c r="J15" s="120">
        <f>IF(J7&lt;&gt;"",(I15*(1+J13)),"")</f>
        <v>1.0711097234611955</v>
      </c>
      <c r="K15" s="86">
        <f>IF(K7&lt;&gt;"",(J15*(1+K13)),"")</f>
        <v>1.0973519116859947</v>
      </c>
      <c r="L15" s="86">
        <f t="shared" ref="L15:P15" si="4">IF(L7&lt;&gt;"",(K15*(1+L14)),"")</f>
        <v>1.1236883575664585</v>
      </c>
      <c r="M15" s="86">
        <f t="shared" si="4"/>
        <v>1.1506568781480535</v>
      </c>
      <c r="N15" s="86">
        <f t="shared" si="4"/>
        <v>1.1782726432236068</v>
      </c>
      <c r="O15" s="86">
        <f t="shared" si="4"/>
        <v>1.2065511866609735</v>
      </c>
      <c r="P15" s="86">
        <f t="shared" si="4"/>
        <v>1.2355084151408369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45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38</v>
      </c>
      <c r="E19" s="74" t="s">
        <v>39</v>
      </c>
      <c r="F19" s="78"/>
      <c r="G19" s="169" t="str">
        <f>G7</f>
        <v>2018–19</v>
      </c>
      <c r="H19" s="169" t="str">
        <f t="shared" ref="H19:P19" si="5">H7</f>
        <v>2019–20</v>
      </c>
      <c r="I19" s="169" t="str">
        <f t="shared" si="5"/>
        <v>2020–21</v>
      </c>
      <c r="J19" s="169" t="str">
        <f t="shared" si="5"/>
        <v>2021–22</v>
      </c>
      <c r="K19" s="169" t="str">
        <f t="shared" si="5"/>
        <v>2022–23</v>
      </c>
      <c r="L19" s="169" t="str">
        <f t="shared" si="5"/>
        <v>2023-24</v>
      </c>
      <c r="M19" s="169" t="str">
        <f t="shared" si="5"/>
        <v>2024–25</v>
      </c>
      <c r="N19" s="169" t="str">
        <f t="shared" si="5"/>
        <v>2025–26</v>
      </c>
      <c r="O19" s="169" t="str">
        <f t="shared" si="5"/>
        <v>2026–27</v>
      </c>
      <c r="P19" s="169" t="str">
        <f t="shared" si="5"/>
        <v>2027–28</v>
      </c>
    </row>
    <row r="20" spans="1:16" ht="11.25" customHeight="1">
      <c r="C20" s="79" t="s">
        <v>46</v>
      </c>
      <c r="D20" s="77" t="s">
        <v>44</v>
      </c>
      <c r="E20" s="77" t="s">
        <v>42</v>
      </c>
      <c r="F20" s="78"/>
      <c r="G20" s="155">
        <v>3.8416191786204507E-2</v>
      </c>
      <c r="H20" s="155">
        <v>3.7706205813037914E-2</v>
      </c>
      <c r="I20" s="155">
        <v>4.6698393813206604E-2</v>
      </c>
      <c r="J20" s="155">
        <v>2.9087359687652387E-2</v>
      </c>
      <c r="K20" s="155">
        <v>2.9087359687652387E-2</v>
      </c>
      <c r="L20" s="85"/>
      <c r="M20" s="85"/>
      <c r="N20" s="85"/>
      <c r="O20" s="85"/>
      <c r="P20" s="85"/>
    </row>
    <row r="21" spans="1:16" ht="11.25" customHeight="1">
      <c r="C21" s="149" t="s">
        <v>47</v>
      </c>
      <c r="D21" s="77" t="s">
        <v>44</v>
      </c>
      <c r="E21" s="77" t="s">
        <v>42</v>
      </c>
      <c r="F21" s="78"/>
      <c r="G21" s="78"/>
      <c r="H21" s="78"/>
      <c r="I21" s="78"/>
      <c r="J21" s="78"/>
      <c r="K21" s="78"/>
      <c r="L21" s="155">
        <v>1.8457031249999867E-2</v>
      </c>
      <c r="M21" s="155">
        <v>1.8457031249999867E-2</v>
      </c>
      <c r="N21" s="155">
        <v>1.8457031249999867E-2</v>
      </c>
      <c r="O21" s="155">
        <v>1.8457031249999867E-2</v>
      </c>
      <c r="P21" s="155">
        <v>1.8457031249999867E-2</v>
      </c>
    </row>
    <row r="22" spans="1:16" ht="11.25" customHeight="1">
      <c r="C22" s="79" t="s">
        <v>48</v>
      </c>
      <c r="D22" s="77" t="s">
        <v>49</v>
      </c>
      <c r="E22" s="77" t="s">
        <v>42</v>
      </c>
      <c r="F22" s="78"/>
      <c r="G22" s="139">
        <f>IF(AND(G13&lt;&gt;"",G20&lt;&gt;""),((1+G20)*(1+G13)-1),"")</f>
        <v>5.6942796456788125E-2</v>
      </c>
      <c r="H22" s="139">
        <f>IF(AND(H13&lt;&gt;"",H20&lt;&gt;""),((1+H20)*(1+H13)-1),"")</f>
        <v>5.680509303659087E-2</v>
      </c>
      <c r="I22" s="139">
        <f>IF(AND(I13&lt;&gt;"",I20&lt;&gt;""),((1+I20)*(1+I13)-1),"")</f>
        <v>5.5706125257382277E-2</v>
      </c>
      <c r="J22" s="139">
        <f>IF(AND(J13&lt;&gt;"",J20&lt;&gt;""),((1+J20)*(1+J13)-1),"")</f>
        <v>5.4299999999999793E-2</v>
      </c>
      <c r="K22" s="139">
        <f>IF(AND(K13&lt;&gt;"",K20&lt;&gt;""),((1+K20)*(1+K13)-1),"")</f>
        <v>5.4299999999999793E-2</v>
      </c>
      <c r="L22" s="139">
        <f>IF(AND(L14&lt;&gt;"",L21&lt;&gt;""),((1+L21)*(1+L14)-1),"")</f>
        <v>4.2899999999999938E-2</v>
      </c>
      <c r="M22" s="139">
        <f t="shared" ref="M22:P22" si="6">IF(AND(M14&lt;&gt;"",M21&lt;&gt;""),((1+M21)*(1+M14)-1),"")</f>
        <v>4.2899999999999938E-2</v>
      </c>
      <c r="N22" s="139">
        <f t="shared" si="6"/>
        <v>4.2899999999999938E-2</v>
      </c>
      <c r="O22" s="139">
        <f t="shared" si="6"/>
        <v>4.2899999999999938E-2</v>
      </c>
      <c r="P22" s="139">
        <f t="shared" si="6"/>
        <v>4.2899999999999938E-2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200"/>
      <c r="M23" s="201"/>
      <c r="N23" s="200"/>
      <c r="O23" s="202"/>
      <c r="P23" s="202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6"/>
  <sheetViews>
    <sheetView zoomScale="106" zoomScaleNormal="106" workbookViewId="0">
      <selection activeCell="I29" sqref="I29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ElectraNet 2023-28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50</v>
      </c>
      <c r="D2" s="13"/>
      <c r="E2" s="13"/>
      <c r="F2" s="204"/>
      <c r="G2" s="13"/>
      <c r="H2" s="203"/>
      <c r="I2" s="203"/>
      <c r="J2" s="203"/>
      <c r="K2" s="203"/>
      <c r="L2" s="203"/>
    </row>
    <row r="3" spans="2:14" ht="4" customHeight="1">
      <c r="C3" s="10"/>
      <c r="D3" s="10"/>
      <c r="E3" s="10"/>
      <c r="F3" s="204"/>
      <c r="G3" s="10"/>
    </row>
    <row r="4" spans="2:14" s="8" customFormat="1" ht="12.75" customHeight="1">
      <c r="B4" s="29" t="s">
        <v>51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7"/>
      <c r="K5" s="197"/>
      <c r="L5" s="197"/>
    </row>
    <row r="6" spans="2:14" s="67" customFormat="1" ht="10.5" customHeight="1">
      <c r="D6" s="74" t="s">
        <v>38</v>
      </c>
      <c r="E6" s="74" t="s">
        <v>39</v>
      </c>
      <c r="F6" s="74" t="s">
        <v>52</v>
      </c>
      <c r="G6" s="63"/>
      <c r="H6" s="171" t="str">
        <f>IF('Input | General'!D14="Yes",'Input | General'!D13,"n/a")</f>
        <v>2018–19</v>
      </c>
      <c r="I6" s="171" t="str">
        <f>IF('Input | General'!E14="Yes",'Input | General'!E13,"n/a")</f>
        <v>2019–20</v>
      </c>
      <c r="J6" s="171" t="str">
        <f>IF('Input | General'!F14="Yes",'Input | General'!F13,"n/a")</f>
        <v>2020–21</v>
      </c>
      <c r="K6" s="171" t="str">
        <f>IF('Input | General'!G14="Yes",'Input | General'!G13,"n/a")</f>
        <v>2021–22</v>
      </c>
      <c r="L6" s="171" t="str">
        <f>IF('Input | General'!H14="Yes",'Input | General'!H13,"n/a")</f>
        <v>2022–23</v>
      </c>
      <c r="M6" s="105"/>
      <c r="N6" s="105"/>
    </row>
    <row r="7" spans="2:14" s="67" customFormat="1" ht="10.5" customHeight="1">
      <c r="H7" s="196"/>
      <c r="I7" s="196"/>
      <c r="J7" s="196"/>
      <c r="K7" s="196"/>
      <c r="L7" s="196"/>
      <c r="M7" s="105"/>
      <c r="N7" s="105"/>
    </row>
    <row r="8" spans="2:14" ht="10.5" customHeight="1">
      <c r="C8" s="79" t="s">
        <v>53</v>
      </c>
      <c r="D8" s="77" t="s">
        <v>44</v>
      </c>
      <c r="E8" s="77" t="s">
        <v>54</v>
      </c>
      <c r="F8" s="174" t="str">
        <f>'Input | Inflation and Disc Rate'!$F$7</f>
        <v>2017–18</v>
      </c>
      <c r="G8" s="67"/>
      <c r="H8" s="156">
        <v>119.73286650603052</v>
      </c>
      <c r="I8" s="156">
        <v>214.17941432166793</v>
      </c>
      <c r="J8" s="156">
        <v>208.01575696771548</v>
      </c>
      <c r="K8" s="156">
        <v>418.63621440515158</v>
      </c>
      <c r="L8" s="156">
        <v>345.22355136499164</v>
      </c>
      <c r="M8" s="2"/>
      <c r="N8" s="2"/>
    </row>
    <row r="9" spans="2:14" ht="10.5" customHeight="1">
      <c r="C9" s="79" t="s">
        <v>55</v>
      </c>
      <c r="D9" s="77" t="s">
        <v>44</v>
      </c>
      <c r="E9" s="77" t="s">
        <v>54</v>
      </c>
      <c r="F9" s="174" t="str">
        <f>'Input | Inflation and Disc Rate'!$F$7</f>
        <v>2017–18</v>
      </c>
      <c r="G9" s="67"/>
      <c r="H9" s="156">
        <v>0.26</v>
      </c>
      <c r="I9" s="156">
        <v>0.14000000000000001</v>
      </c>
      <c r="J9" s="156">
        <v>0.15</v>
      </c>
      <c r="K9" s="156">
        <v>0.25</v>
      </c>
      <c r="L9" s="156">
        <v>0.1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56</v>
      </c>
      <c r="D11" s="75" t="s">
        <v>49</v>
      </c>
      <c r="E11" s="172" t="s">
        <v>54</v>
      </c>
      <c r="F11" s="173" t="str">
        <f>'Input | Inflation and Disc Rate'!$F$7</f>
        <v>2017–18</v>
      </c>
      <c r="G11" s="67"/>
      <c r="H11" s="65">
        <f>IF(H6="", "", H8-H9)</f>
        <v>119.47286650603051</v>
      </c>
      <c r="I11" s="65">
        <f t="shared" ref="I11:L11" si="0">IF(I6="", "", I8-I9)</f>
        <v>214.03941432166795</v>
      </c>
      <c r="J11" s="65">
        <f t="shared" si="0"/>
        <v>207.86575696771547</v>
      </c>
      <c r="K11" s="65">
        <f t="shared" si="0"/>
        <v>418.38621440515158</v>
      </c>
      <c r="L11" s="65">
        <f t="shared" si="0"/>
        <v>345.12355136499161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57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38</v>
      </c>
      <c r="E15" s="74" t="s">
        <v>39</v>
      </c>
      <c r="F15" s="74" t="s">
        <v>52</v>
      </c>
      <c r="G15" s="63"/>
      <c r="H15" s="171" t="str">
        <f>H6</f>
        <v>2018–19</v>
      </c>
      <c r="I15" s="171" t="str">
        <f>I6</f>
        <v>2019–20</v>
      </c>
      <c r="J15" s="171" t="str">
        <f>J6</f>
        <v>2020–21</v>
      </c>
      <c r="K15" s="171" t="str">
        <f>K6</f>
        <v>2021–22</v>
      </c>
      <c r="L15" s="171" t="str">
        <f>L6</f>
        <v>2022–23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58</v>
      </c>
      <c r="D17" s="77" t="s">
        <v>44</v>
      </c>
      <c r="E17" s="77" t="s">
        <v>54</v>
      </c>
      <c r="F17" s="77" t="s">
        <v>59</v>
      </c>
      <c r="G17" s="67"/>
      <c r="H17" s="157">
        <v>156.79401227710426</v>
      </c>
      <c r="I17" s="157">
        <v>184.26974007304804</v>
      </c>
      <c r="J17" s="157">
        <v>219.70789714885541</v>
      </c>
      <c r="K17" s="157">
        <v>423.572</v>
      </c>
      <c r="L17" s="157">
        <v>395.92900000000003</v>
      </c>
    </row>
    <row r="18" spans="1:14" s="2" customFormat="1" ht="10.5" customHeight="1">
      <c r="B18" s="72"/>
      <c r="C18" s="79" t="s">
        <v>55</v>
      </c>
      <c r="D18" s="77" t="s">
        <v>44</v>
      </c>
      <c r="E18" s="77" t="s">
        <v>54</v>
      </c>
      <c r="F18" s="77" t="s">
        <v>59</v>
      </c>
      <c r="G18" s="137"/>
      <c r="H18" s="157">
        <v>0.84374120871427027</v>
      </c>
      <c r="I18" s="157">
        <v>6.8171739000000047</v>
      </c>
      <c r="J18" s="157">
        <v>7.2028497700000038</v>
      </c>
      <c r="K18" s="157">
        <v>0</v>
      </c>
      <c r="L18" s="157">
        <v>13.723437482757685</v>
      </c>
    </row>
    <row r="19" spans="1:14" s="2" customFormat="1" ht="10.5" customHeight="1">
      <c r="B19" s="72"/>
      <c r="C19" s="150" t="s">
        <v>60</v>
      </c>
      <c r="D19" s="77" t="s">
        <v>44</v>
      </c>
      <c r="E19" s="77" t="s">
        <v>54</v>
      </c>
      <c r="F19" s="77" t="s">
        <v>59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61</v>
      </c>
      <c r="D21" s="75" t="s">
        <v>49</v>
      </c>
      <c r="E21" s="175" t="s">
        <v>54</v>
      </c>
      <c r="F21" s="175" t="s">
        <v>59</v>
      </c>
      <c r="G21" s="67"/>
      <c r="H21" s="65">
        <f>IF(H15="", "", H17-H18-H19)</f>
        <v>155.95027106838998</v>
      </c>
      <c r="I21" s="65">
        <f t="shared" ref="I21:L21" si="1">IF(I15="", "", I17-I18-I19)</f>
        <v>177.45256617304804</v>
      </c>
      <c r="J21" s="65">
        <f t="shared" si="1"/>
        <v>212.50504737885541</v>
      </c>
      <c r="K21" s="65">
        <f t="shared" si="1"/>
        <v>423.572</v>
      </c>
      <c r="L21" s="65">
        <f t="shared" si="1"/>
        <v>382.20556251724236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62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2023-24</v>
      </c>
      <c r="I25" s="171" t="str">
        <f>'Input | General'!E18</f>
        <v>2024–25</v>
      </c>
      <c r="J25" s="171" t="str">
        <f>'Input | General'!F18</f>
        <v>2025–26</v>
      </c>
      <c r="K25" s="171" t="str">
        <f>'Input | General'!G18</f>
        <v>2026–27</v>
      </c>
      <c r="L25" s="171" t="str">
        <f>'Input | General'!H18</f>
        <v>2027–28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63</v>
      </c>
      <c r="D27" s="64" t="s">
        <v>41</v>
      </c>
      <c r="E27" s="77" t="s">
        <v>54</v>
      </c>
      <c r="F27" s="77" t="s">
        <v>59</v>
      </c>
      <c r="G27" s="67"/>
      <c r="H27" s="156">
        <v>40.471606000000001</v>
      </c>
      <c r="I27" s="156">
        <v>19.769435000000001</v>
      </c>
      <c r="J27" s="156">
        <v>0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63</v>
      </c>
      <c r="D28" s="64" t="s">
        <v>49</v>
      </c>
      <c r="E28" s="77" t="s">
        <v>54</v>
      </c>
      <c r="F28" s="77" t="str">
        <f>'Input | Inflation and Disc Rate'!$F$7</f>
        <v>2017–18</v>
      </c>
      <c r="G28" s="67"/>
      <c r="H28" s="144">
        <f>IF(H27&lt;&gt;"",H27/('Input | Inflation and Disc Rate'!K10*(1+'Input | Inflation and Disc Rate'!L9)^0.5),"")</f>
        <v>36.44639146806994</v>
      </c>
      <c r="I28" s="144">
        <f>IF(I27&lt;&gt;"",I27/('Input | Inflation and Disc Rate'!L10*(1+'Input | Inflation and Disc Rate'!M9)^0.5),"")</f>
        <v>17.385948869211234</v>
      </c>
      <c r="J28" s="144">
        <f>IF(J27&lt;&gt;"",J27/('Input | Inflation and Disc Rate'!M10*(1+'Input | Inflation and Disc Rate'!N9)^0.5),"")</f>
        <v>0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63</v>
      </c>
      <c r="D29" s="64" t="s">
        <v>44</v>
      </c>
      <c r="E29" s="77" t="s">
        <v>54</v>
      </c>
      <c r="F29" s="77" t="s">
        <v>59</v>
      </c>
      <c r="G29" s="67"/>
      <c r="H29" s="144">
        <f>IF(H27&lt;&gt;"",H28*'Input | Inflation and Disc Rate'!K15*(1+'Input | Inflation and Disc Rate'!L14)^0.5,"")</f>
        <v>40.471606000000001</v>
      </c>
      <c r="I29" s="144">
        <f>IF(I27&lt;&gt;"",I28*'Input | Inflation and Disc Rate'!L15*(1+'Input | Inflation and Disc Rate'!M14)^0.5,"")</f>
        <v>19.769435000000001</v>
      </c>
      <c r="J29" s="144">
        <f>IF(J27&lt;&gt;"",J28*'Input | Inflation and Disc Rate'!M15*(1+'Input | Inflation and Disc Rate'!N14)^0.5,"")</f>
        <v>0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19" sqref="D19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5.26953125" style="2" bestFit="1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ElectraNet 2023-28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65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66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67</v>
      </c>
      <c r="D7" s="171" t="str">
        <f>IF('Input | General'!D14="Yes",'Input | General'!D13,"n/a")</f>
        <v>2018–19</v>
      </c>
      <c r="E7" s="171" t="str">
        <f>IF('Input | General'!E14="Yes",'Input | General'!E13,"n/a")</f>
        <v>2019–20</v>
      </c>
      <c r="F7" s="171" t="str">
        <f>IF('Input | General'!F14="Yes",'Input | General'!F13,"n/a")</f>
        <v>2020–21</v>
      </c>
      <c r="G7" s="171" t="str">
        <f>IF('Input | General'!G14="Yes",'Input | General'!G13,"n/a")</f>
        <v>2021–22</v>
      </c>
      <c r="H7" s="176" t="str">
        <f>IF('Input | General'!H14="Yes",'Input | General'!H13,"n/a")</f>
        <v>2022–23</v>
      </c>
      <c r="I7" s="94"/>
    </row>
    <row r="8" spans="2:23" ht="11.25" customHeight="1">
      <c r="C8" s="140" t="s">
        <v>68</v>
      </c>
      <c r="D8" s="159">
        <f>'Input | Inflation and Disc Rate'!G20</f>
        <v>3.8416191786204507E-2</v>
      </c>
      <c r="E8" s="160">
        <f>'Input | Inflation and Disc Rate'!H20</f>
        <v>3.7706205813037914E-2</v>
      </c>
      <c r="F8" s="160">
        <f>'Input | Inflation and Disc Rate'!I20</f>
        <v>4.6698393813206604E-2</v>
      </c>
      <c r="G8" s="160">
        <f>'Input | Inflation and Disc Rate'!J20</f>
        <v>2.9087359687652387E-2</v>
      </c>
      <c r="H8" s="161">
        <f>'Input | Inflation and Disc Rate'!K20</f>
        <v>2.9087359687652387E-2</v>
      </c>
      <c r="I8" s="94"/>
      <c r="J8" s="78"/>
      <c r="K8" s="78"/>
    </row>
    <row r="9" spans="2:23" ht="11.25" customHeight="1">
      <c r="C9" s="140" t="s">
        <v>69</v>
      </c>
      <c r="D9" s="159">
        <f>'Input | Inflation and Disc Rate'!G22</f>
        <v>5.6942796456788125E-2</v>
      </c>
      <c r="E9" s="160">
        <f>'Input | Inflation and Disc Rate'!H22</f>
        <v>5.680509303659087E-2</v>
      </c>
      <c r="F9" s="160">
        <f>'Input | Inflation and Disc Rate'!I22</f>
        <v>5.5706125257382277E-2</v>
      </c>
      <c r="G9" s="160">
        <f>'Input | Inflation and Disc Rate'!J22</f>
        <v>5.4299999999999793E-2</v>
      </c>
      <c r="H9" s="161">
        <f>'Input | Inflation and Disc Rate'!K22</f>
        <v>5.4299999999999793E-2</v>
      </c>
      <c r="I9" s="94"/>
      <c r="J9" s="78"/>
      <c r="K9" s="78"/>
    </row>
    <row r="10" spans="2:23" ht="11.25" customHeight="1">
      <c r="C10" s="110" t="s">
        <v>70</v>
      </c>
      <c r="D10" s="164">
        <f>'Input | Reported Capex'!H$11*'Input | Inflation and Disc Rate'!G$15*(1+'Input | Inflation and Disc Rate'!G$20)^0.5</f>
        <v>123.91818429712878</v>
      </c>
      <c r="E10" s="162">
        <f>'Input | Reported Capex'!I$11*'Input | Inflation and Disc Rate'!H$15*(1+'Input | Inflation and Disc Rate'!H$20)^0.5</f>
        <v>226.01198853001188</v>
      </c>
      <c r="F10" s="162">
        <f>'Input | Reported Capex'!J$11*'Input | Inflation and Disc Rate'!I$15*(1+'Input | Inflation and Disc Rate'!I$20)^0.5</f>
        <v>222.33904151295118</v>
      </c>
      <c r="G10" s="162">
        <f>'Input | Reported Capex'!K$11*'Input | Inflation and Disc Rate'!J$15*(1+'Input | Inflation and Disc Rate'!J$20)^0.5</f>
        <v>454.60839364850654</v>
      </c>
      <c r="H10" s="163">
        <f>'Input | Reported Capex'!L$11*'Input | Inflation and Disc Rate'!K$15*(1+'Input | Inflation and Disc Rate'!K$20)^0.5</f>
        <v>384.19051898160961</v>
      </c>
      <c r="I10" s="94"/>
      <c r="J10" s="78"/>
      <c r="K10" s="78"/>
      <c r="N10" s="135"/>
    </row>
    <row r="11" spans="2:23" ht="11.25" customHeight="1">
      <c r="C11" s="110" t="s">
        <v>71</v>
      </c>
      <c r="D11" s="164">
        <f>'Input | Reported Capex'!H21*(1+D$9)^0.5</f>
        <v>160.32892312340894</v>
      </c>
      <c r="E11" s="162">
        <f>'Input | Reported Capex'!I21*(1+E$9)^0.5</f>
        <v>182.42305854865327</v>
      </c>
      <c r="F11" s="162">
        <f>'Input | Reported Capex'!J21*(1+F$9)^0.5</f>
        <v>218.34375278165822</v>
      </c>
      <c r="G11" s="162">
        <f>'Input | Reported Capex'!K21*(1+G$9)^0.5</f>
        <v>434.91996743273484</v>
      </c>
      <c r="H11" s="163">
        <f>'Input | Reported Capex'!L21*(1+H$9)^0.5</f>
        <v>392.44527684221134</v>
      </c>
      <c r="I11" s="94"/>
      <c r="J11" s="78"/>
      <c r="K11" s="78"/>
    </row>
    <row r="12" spans="2:23" s="19" customFormat="1" ht="11.25" customHeight="1">
      <c r="C12" s="110" t="s">
        <v>72</v>
      </c>
      <c r="D12" s="152">
        <f>(D10-D11)</f>
        <v>-36.410738826280166</v>
      </c>
      <c r="E12" s="141">
        <f>(E10-E11)</f>
        <v>43.588929981358604</v>
      </c>
      <c r="F12" s="141">
        <f t="shared" ref="F12:H12" si="0">(F10-F11)</f>
        <v>3.995288731292959</v>
      </c>
      <c r="G12" s="141">
        <f t="shared" si="0"/>
        <v>19.688426215771699</v>
      </c>
      <c r="H12" s="145">
        <f t="shared" si="0"/>
        <v>-8.2547578606017282</v>
      </c>
      <c r="I12" s="94"/>
      <c r="J12" s="78"/>
      <c r="K12" s="78"/>
    </row>
    <row r="13" spans="2:23" ht="11.25" customHeight="1">
      <c r="C13" s="110" t="s">
        <v>73</v>
      </c>
      <c r="D13" s="152"/>
      <c r="E13" s="141">
        <f>$D$12*$E$8</f>
        <v>-1.3729108119884905</v>
      </c>
      <c r="F13" s="141">
        <f>$D$12*$F$8*(1+'Input | Inflation and Disc Rate'!H13)</f>
        <v>-1.7316173094647094</v>
      </c>
      <c r="G13" s="141">
        <f>$D$12*$G$8*(1+'Input | Inflation and Disc Rate'!H13)*(1+'Input | Inflation and Disc Rate'!I13)</f>
        <v>-1.0878668929809716</v>
      </c>
      <c r="H13" s="145">
        <f>$D$12*$H$8*(1+'Input | Inflation and Disc Rate'!H13)*(1+'Input | Inflation and Disc Rate'!I13)*(1+'Input | Inflation and Disc Rate'!J13)</f>
        <v>-1.1145196318590054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74</v>
      </c>
      <c r="D14" s="152"/>
      <c r="E14" s="142"/>
      <c r="F14" s="141">
        <f>$E$12*F$8</f>
        <v>2.0355330181657725</v>
      </c>
      <c r="G14" s="141">
        <f>$E$12*G$8*(1+'Input | Inflation and Disc Rate'!I13)</f>
        <v>1.2787981316245374</v>
      </c>
      <c r="H14" s="145">
        <f>$E$12*H$8*(1+'Input | Inflation and Disc Rate'!I13)*(1+'Input | Inflation and Disc Rate'!J13)</f>
        <v>1.3101286858493384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75</v>
      </c>
      <c r="D15" s="152"/>
      <c r="E15" s="141"/>
      <c r="F15" s="141"/>
      <c r="G15" s="141">
        <f>$F$12*G$8</f>
        <v>0.11621240038314266</v>
      </c>
      <c r="H15" s="145">
        <f>$F$12*$H$8*(1+'Input | Inflation and Disc Rate'!J13)</f>
        <v>0.11905960419252966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76</v>
      </c>
      <c r="D16" s="152"/>
      <c r="E16" s="141"/>
      <c r="F16" s="141"/>
      <c r="G16" s="141"/>
      <c r="H16" s="145">
        <f>$G$12*$H$8</f>
        <v>0.57268433502195615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77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78</v>
      </c>
      <c r="D18" s="123">
        <f>SUM(D13:D17)</f>
        <v>0</v>
      </c>
      <c r="E18" s="146">
        <f>SUM(E13:E17)</f>
        <v>-1.3729108119884905</v>
      </c>
      <c r="F18" s="146">
        <f>SUM(F13:F17)</f>
        <v>0.3039157087010631</v>
      </c>
      <c r="G18" s="146">
        <f t="shared" ref="G18:H18" si="1">SUM(G13:G17)</f>
        <v>0.30714363902670844</v>
      </c>
      <c r="H18" s="147">
        <f t="shared" si="1"/>
        <v>0.88735299320481875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79</v>
      </c>
      <c r="D19" s="123">
        <f t="shared" ref="D19:E19" si="2">E19*(1+E$9)</f>
        <v>1.2401275395385463</v>
      </c>
      <c r="E19" s="146">
        <f t="shared" si="2"/>
        <v>1.1734685494135937</v>
      </c>
      <c r="F19" s="146">
        <f>G19*(1+G$9)</f>
        <v>1.1115484899999997</v>
      </c>
      <c r="G19" s="146">
        <f>H19*(1+H$9)</f>
        <v>1.0542999999999998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80</v>
      </c>
      <c r="D20" s="152">
        <f>D12*D19</f>
        <v>-45.153959953415438</v>
      </c>
      <c r="E20" s="141">
        <f>E12*E19</f>
        <v>51.150238435715586</v>
      </c>
      <c r="F20" s="141">
        <f t="shared" ref="F20:H20" si="3">F12*F19</f>
        <v>4.4409571563827033</v>
      </c>
      <c r="G20" s="141">
        <f t="shared" si="3"/>
        <v>20.757507759288099</v>
      </c>
      <c r="H20" s="145">
        <f t="shared" si="3"/>
        <v>-8.2547578606017282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81</v>
      </c>
      <c r="D21" s="123">
        <f>D18*D19</f>
        <v>0</v>
      </c>
      <c r="E21" s="146">
        <f>E18*E19</f>
        <v>-1.611067659018373</v>
      </c>
      <c r="F21" s="146">
        <f t="shared" ref="F21:H21" si="4">F18*F19</f>
        <v>0.33781704709394644</v>
      </c>
      <c r="G21" s="146">
        <f t="shared" si="4"/>
        <v>0.32382153862585866</v>
      </c>
      <c r="H21" s="147">
        <f t="shared" si="4"/>
        <v>0.88735299320481875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82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67</v>
      </c>
      <c r="D24" s="177" t="str">
        <f>'Input | General'!$D$18</f>
        <v>2023-24</v>
      </c>
      <c r="E24" s="177" t="str">
        <f>'Input | General'!$E$18</f>
        <v>2024–25</v>
      </c>
      <c r="F24" s="177" t="str">
        <f>'Input | General'!$F$18</f>
        <v>2025–26</v>
      </c>
      <c r="G24" s="177" t="str">
        <f>'Input | General'!$G$18</f>
        <v>2026–27</v>
      </c>
      <c r="H24" s="178" t="str">
        <f>'Input | General'!$H$18</f>
        <v>2027–28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83</v>
      </c>
      <c r="D25" s="165">
        <f>'Input | Inflation and Disc Rate'!L$22</f>
        <v>4.2899999999999938E-2</v>
      </c>
      <c r="E25" s="165">
        <f>'Input | Inflation and Disc Rate'!M$22</f>
        <v>4.2899999999999938E-2</v>
      </c>
      <c r="F25" s="165">
        <f>'Input | Inflation and Disc Rate'!N$22</f>
        <v>4.2899999999999938E-2</v>
      </c>
      <c r="G25" s="165">
        <f>'Input | Inflation and Disc Rate'!O$22</f>
        <v>4.2899999999999938E-2</v>
      </c>
      <c r="H25" s="166">
        <f>'Input | Inflation and Disc Rate'!P$22</f>
        <v>4.2899999999999938E-2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84</v>
      </c>
      <c r="D26" s="162">
        <f>'Input | Reported Capex'!H29</f>
        <v>40.471606000000001</v>
      </c>
      <c r="E26" s="162">
        <f>'Input | Reported Capex'!I29</f>
        <v>19.769435000000001</v>
      </c>
      <c r="F26" s="162">
        <f>'Input | Reported Capex'!J29</f>
        <v>0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85</v>
      </c>
      <c r="D27" s="121">
        <f>1/(1+D25)^(0.5)</f>
        <v>0.97921637250928295</v>
      </c>
      <c r="E27" s="121">
        <f>1/((1+E25)^(0.5)*(1+D25))</f>
        <v>0.93893601736435228</v>
      </c>
      <c r="F27" s="121">
        <f>1/((1+F25)^(0.5)*(1+E25)*(1+D25))</f>
        <v>0.90031260654363054</v>
      </c>
      <c r="G27" s="121">
        <f>1/((1+G25)^(0.5)*(1+F25)*(1+E25)*(1+D25))</f>
        <v>0.86327798115220133</v>
      </c>
      <c r="H27" s="122">
        <f>1/((1+H25)^(0.5)*(1+G25)*(1+F25)*(1+E25)*(1+D25))</f>
        <v>0.82776678603145215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86</v>
      </c>
      <c r="D28" s="88">
        <f>D26*D27</f>
        <v>39.630459216944935</v>
      </c>
      <c r="E28" s="88">
        <f t="shared" ref="E28:G28" si="5">E26*E27</f>
        <v>18.562234564443436</v>
      </c>
      <c r="F28" s="88">
        <f t="shared" si="5"/>
        <v>0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87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88</v>
      </c>
      <c r="D31" s="99">
        <f>SUM(D20:H20)-SUM(D28:H28)</f>
        <v>-35.252708244019146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89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90</v>
      </c>
      <c r="D33" s="99">
        <f>(1-D32)*D31</f>
        <v>-24.676895770813402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91</v>
      </c>
      <c r="D34" s="99">
        <f>D32*D31</f>
        <v>-10.575812473205744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92</v>
      </c>
      <c r="D35" s="99">
        <f>SUM(D21:H21)</f>
        <v>-6.2076080093749209E-2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93</v>
      </c>
      <c r="D36" s="100">
        <f>D34-D35</f>
        <v>-10.513736393111994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94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2023-24</v>
      </c>
      <c r="E40" s="179" t="str">
        <f>'Input | General'!E18</f>
        <v>2024–25</v>
      </c>
      <c r="F40" s="179" t="str">
        <f>'Input | General'!F18</f>
        <v>2025–26</v>
      </c>
      <c r="G40" s="179" t="str">
        <f>'Input | General'!G18</f>
        <v>2026–27</v>
      </c>
      <c r="H40" s="179" t="str">
        <f>'Input | General'!H18</f>
        <v>2027–28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95</v>
      </c>
      <c r="D41" s="167">
        <f>1/(1+'Input | Inflation and Disc Rate'!L21)</f>
        <v>0.98187745709080465</v>
      </c>
      <c r="E41" s="167">
        <f>D41/(1+'Input | Inflation and Disc Rate'!M21)</f>
        <v>0.96408334074310487</v>
      </c>
      <c r="F41" s="167">
        <f>E41/(1+'Input | Inflation and Disc Rate'!N21)</f>
        <v>0.94661169903244746</v>
      </c>
      <c r="G41" s="167">
        <f>F41/(1+'Input | Inflation and Disc Rate'!O21)</f>
        <v>0.92945668789838554</v>
      </c>
      <c r="H41" s="168">
        <f>G41/(1+'Input | Inflation and Disc Rate'!P21)</f>
        <v>0.91261256918970846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($2022–23 million)</v>
      </c>
      <c r="D42" s="107">
        <f>D36/(SUM(D41:H41))</f>
        <v>-2.2205980810123065</v>
      </c>
      <c r="E42" s="107">
        <f>D42</f>
        <v>-2.2205980810123065</v>
      </c>
      <c r="F42" s="107">
        <f t="shared" ref="F42:H42" si="6">E42</f>
        <v>-2.2205980810123065</v>
      </c>
      <c r="G42" s="107">
        <f t="shared" si="6"/>
        <v>-2.2205980810123065</v>
      </c>
      <c r="H42" s="143">
        <f t="shared" si="6"/>
        <v>-2.2205980810123065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($2022–23 million)</v>
      </c>
      <c r="D44" s="151">
        <f>SUM(D42:H42)</f>
        <v>-11.102990405061533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4"/>
      <c r="G45" s="69"/>
      <c r="H45" s="191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5"/>
      <c r="G46" s="192"/>
      <c r="H46" s="193"/>
      <c r="I46" s="189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8" sqref="J8:N8"/>
    </sheetView>
  </sheetViews>
  <sheetFormatPr defaultColWidth="0" defaultRowHeight="11.25" customHeight="1" zeroHeight="1"/>
  <cols>
    <col min="1" max="2" width="1.26953125" style="50" customWidth="1"/>
    <col min="3" max="3" width="36" style="50" customWidth="1"/>
    <col min="4" max="4" width="23.54296875" style="51" bestFit="1" customWidth="1"/>
    <col min="5" max="5" width="13.54296875" style="51" customWidth="1"/>
    <col min="6" max="6" width="9.1796875" style="51" customWidth="1"/>
    <col min="7" max="9" width="2.81640625" style="51" customWidth="1"/>
    <col min="10" max="15" width="9.26953125" style="50" customWidth="1"/>
    <col min="16" max="16" width="3" style="50" customWidth="1"/>
    <col min="17" max="17" width="8.81640625" style="50" customWidth="1"/>
    <col min="18" max="24" width="9.26953125" style="50" hidden="1" customWidth="1"/>
    <col min="25" max="48" width="0" style="50" hidden="1" customWidth="1"/>
    <col min="49" max="16383" width="0" style="50" hidden="1"/>
    <col min="16384" max="16384" width="1.54296875" style="50" customWidth="1"/>
  </cols>
  <sheetData>
    <row r="1" spans="1:27" s="34" customFormat="1" ht="15.5">
      <c r="B1" s="3" t="str">
        <f>'Input | General'!$B$1</f>
        <v>ElectraNet 2023-28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188"/>
      <c r="E3" s="188"/>
      <c r="F3" s="188"/>
      <c r="G3" s="188"/>
      <c r="H3" s="188"/>
      <c r="I3" s="188"/>
      <c r="J3" s="205"/>
      <c r="K3" s="205"/>
      <c r="L3" s="205"/>
      <c r="M3" s="188"/>
      <c r="N3" s="205"/>
      <c r="O3" s="205"/>
      <c r="P3" s="205"/>
      <c r="Q3" s="205"/>
      <c r="R3" s="205"/>
      <c r="S3" s="205"/>
      <c r="T3" s="205"/>
      <c r="U3" s="42"/>
      <c r="V3" s="42"/>
      <c r="W3" s="42"/>
      <c r="X3" s="42"/>
      <c r="Y3" s="42"/>
      <c r="Z3" s="42"/>
      <c r="AA3" s="42"/>
    </row>
    <row r="4" spans="1:27" s="49" customFormat="1" ht="13">
      <c r="A4" s="43"/>
      <c r="B4" s="44" t="s">
        <v>96</v>
      </c>
      <c r="C4" s="43"/>
      <c r="D4" s="43"/>
      <c r="E4" s="43"/>
      <c r="F4" s="43"/>
      <c r="G4" s="45"/>
      <c r="H4" s="45"/>
      <c r="I4" s="45"/>
      <c r="J4" s="46" t="s">
        <v>97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98</v>
      </c>
      <c r="D6" s="54" t="s">
        <v>38</v>
      </c>
      <c r="E6" s="54" t="s">
        <v>39</v>
      </c>
      <c r="F6" s="54" t="s">
        <v>52</v>
      </c>
      <c r="H6" s="54"/>
      <c r="I6" s="54"/>
      <c r="J6" s="180" t="str">
        <f>'Calc | CESS Revenue Increments'!D40</f>
        <v>2023-24</v>
      </c>
      <c r="K6" s="180" t="str">
        <f>'Calc | CESS Revenue Increments'!E40</f>
        <v>2024–25</v>
      </c>
      <c r="L6" s="180" t="str">
        <f>'Calc | CESS Revenue Increments'!F40</f>
        <v>2025–26</v>
      </c>
      <c r="M6" s="180" t="str">
        <f>'Calc | CESS Revenue Increments'!G40</f>
        <v>2026–27</v>
      </c>
      <c r="N6" s="180" t="str">
        <f>'Calc | CESS Revenue Increments'!H40</f>
        <v>2027–28</v>
      </c>
      <c r="O6" s="55" t="s">
        <v>99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100</v>
      </c>
      <c r="D8" s="182" t="s">
        <v>10</v>
      </c>
      <c r="E8" s="51" t="s">
        <v>54</v>
      </c>
      <c r="F8" s="181" t="str">
        <f>IF(LEN(J6)&gt;4,CONCATENATE(LEFT(J6,4)-1&amp;"–"&amp;IF(RIGHT(J6,2)="00","99",IF(RIGHT(J6,2)-1&lt;10,"0","")&amp;RIGHT(J6,2)-1)),J6-1)</f>
        <v>2022–23</v>
      </c>
      <c r="H8" s="54"/>
      <c r="I8" s="54"/>
      <c r="J8" s="130">
        <f>'Calc | CESS Revenue Increments'!D42</f>
        <v>-2.2205980810123065</v>
      </c>
      <c r="K8" s="130">
        <f>'Calc | CESS Revenue Increments'!E42</f>
        <v>-2.2205980810123065</v>
      </c>
      <c r="L8" s="130">
        <f>'Calc | CESS Revenue Increments'!F42</f>
        <v>-2.2205980810123065</v>
      </c>
      <c r="M8" s="130">
        <f>'Calc | CESS Revenue Increments'!G42</f>
        <v>-2.2205980810123065</v>
      </c>
      <c r="N8" s="130">
        <f>'Calc | CESS Revenue Increments'!H42</f>
        <v>-2.2205980810123065</v>
      </c>
      <c r="O8" s="59">
        <f>SUM(J8:N8)</f>
        <v>-11.102990405061533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8"/>
      <c r="K10" s="198"/>
      <c r="L10" s="198"/>
      <c r="M10" s="198"/>
      <c r="N10" s="198"/>
      <c r="O10" s="198"/>
      <c r="Q10" s="199"/>
      <c r="R10" s="78"/>
      <c r="S10" s="78"/>
      <c r="T10" s="78"/>
      <c r="U10" s="78"/>
      <c r="V10" s="78"/>
      <c r="W10" s="78"/>
      <c r="X10" s="78"/>
    </row>
    <row r="11" spans="1:27" s="49" customFormat="1" ht="13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0"/>
      <c r="N17" s="60"/>
      <c r="O17" s="60"/>
      <c r="P17" s="60"/>
      <c r="Q17" s="60"/>
      <c r="R17" s="60"/>
      <c r="S17" s="60"/>
      <c r="T17" s="60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3017A-24E8-4867-863F-33D7BFC0F6F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b04a03-7279-4259-8b5f-09ea90ffe410"/>
    <ds:schemaRef ds:uri="http://purl.org/dc/elements/1.1/"/>
    <ds:schemaRef ds:uri="http://schemas.microsoft.com/office/2006/metadata/properties"/>
    <ds:schemaRef ds:uri="ccbe9663-f146-4335-bb1f-d330821074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itemProps3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Gniel, Andrew (ENet)</cp:lastModifiedBy>
  <cp:revision/>
  <cp:lastPrinted>2020-09-09T02:04:39Z</cp:lastPrinted>
  <dcterms:created xsi:type="dcterms:W3CDTF">2017-09-22T02:00:05Z</dcterms:created>
  <dcterms:modified xsi:type="dcterms:W3CDTF">2022-01-26T23:26:43Z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A4616409</vt:lpwstr>
  </property>
  <property fmtid="{D5CDD505-2E9C-101B-9397-08002B2CF9AE}" pid="4" name="Objective-Title">
    <vt:lpwstr>Powerlink - CESS Model - January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2021-01-25T23:19:52Z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2021-01-27T06:06:08Z</vt:filetime>
  </property>
  <property fmtid="{D5CDD505-2E9C-101B-9397-08002B2CF9AE}" pid="10" name="Objective-ModificationStamp">
    <vt:filetime>2021-01-27T06:06:08Z</vt:filetime>
  </property>
  <property fmtid="{D5CDD505-2E9C-101B-9397-08002B2CF9AE}" pid="11" name="Objective-Owner">
    <vt:lpwstr>GRECH-HOLMES Jacinta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</vt:lpwstr>
  </property>
  <property fmtid="{D5CDD505-2E9C-101B-9397-08002B2CF9AE}" pid="13" name="Objective-Parent">
    <vt:lpwstr>RR23-27 - Revenue Proposal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vA7173850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Powerlink - CESS Model - January 2021 - PUBLIC.XLSX</vt:lpwstr>
  </property>
  <property fmtid="{D5CDD505-2E9C-101B-9397-08002B2CF9AE}" pid="30" name="ContentTypeId">
    <vt:lpwstr>0x01010079002737CA198640BD5A178465746296</vt:lpwstr>
  </property>
</Properties>
</file>