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255" windowWidth="15600" windowHeight="10965" tabRatio="897" activeTab="5"/>
  </bookViews>
  <sheets>
    <sheet name="Readme" sheetId="51" r:id="rId1"/>
    <sheet name="Cost Drivers" sheetId="39" r:id="rId2"/>
    <sheet name="Opex Modelling Results" sheetId="50" r:id="rId3"/>
    <sheet name="Efficiency Target Option" sheetId="22" r:id="rId4"/>
    <sheet name="Opex Forecasts" sheetId="40" r:id="rId5"/>
    <sheet name="Base Year Adjustment" sheetId="5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djustment" localSheetId="5">#REF!</definedName>
    <definedName name="adjustment" localSheetId="1">#REF!</definedName>
    <definedName name="adjustment" localSheetId="4">#REF!</definedName>
    <definedName name="adjustment" localSheetId="2">#REF!</definedName>
    <definedName name="adjustment">#REF!</definedName>
    <definedName name="Option" localSheetId="5">#REF!</definedName>
    <definedName name="Option" localSheetId="1">#REF!</definedName>
    <definedName name="Option" localSheetId="4">#REF!</definedName>
    <definedName name="Option" localSheetId="2">#REF!</definedName>
    <definedName name="Option">#REF!</definedName>
    <definedName name="_xlnm.Print_Area" localSheetId="5">'Base Year Adjustment'!$A$1:$G$26</definedName>
  </definedNames>
  <calcPr calcId="145621"/>
</workbook>
</file>

<file path=xl/calcChain.xml><?xml version="1.0" encoding="utf-8"?>
<calcChain xmlns="http://schemas.openxmlformats.org/spreadsheetml/2006/main">
  <c r="F12" i="53" l="1"/>
  <c r="F10" i="53"/>
  <c r="E10" i="53"/>
  <c r="F9" i="53"/>
  <c r="E9" i="53"/>
  <c r="F8" i="53"/>
  <c r="E8" i="53"/>
  <c r="E12" i="53" l="1"/>
  <c r="G4" i="53" l="1"/>
  <c r="F21" i="50" l="1"/>
  <c r="F20" i="50"/>
  <c r="F19" i="50"/>
  <c r="F18" i="50"/>
  <c r="F17" i="50"/>
  <c r="F16" i="50"/>
  <c r="F15" i="50"/>
  <c r="F14" i="50"/>
  <c r="F13" i="50"/>
  <c r="F12" i="50"/>
  <c r="F11" i="50"/>
  <c r="F10" i="50"/>
  <c r="F9" i="50"/>
  <c r="K11" i="39"/>
  <c r="J11" i="39"/>
  <c r="I11" i="39"/>
  <c r="H11" i="39"/>
  <c r="G11" i="39"/>
  <c r="F11" i="39"/>
  <c r="E11" i="39"/>
  <c r="D11" i="39"/>
  <c r="F14" i="53" l="1"/>
  <c r="F4" i="53" l="1"/>
  <c r="E4" i="53"/>
  <c r="E14" i="53" s="1"/>
  <c r="O10" i="39" l="1"/>
  <c r="P10" i="39"/>
  <c r="Q10" i="39"/>
  <c r="R10" i="39"/>
  <c r="S10" i="39"/>
  <c r="T10" i="39"/>
  <c r="U10" i="39"/>
  <c r="N10" i="39"/>
  <c r="O5" i="39" l="1"/>
  <c r="P5" i="39"/>
  <c r="Q5" i="39"/>
  <c r="R5" i="39"/>
  <c r="S5" i="39"/>
  <c r="T5" i="39"/>
  <c r="U5" i="39"/>
  <c r="N5" i="39"/>
  <c r="B8" i="40" l="1"/>
  <c r="B7" i="40"/>
  <c r="B6" i="40"/>
  <c r="B5" i="40"/>
  <c r="B4" i="40"/>
  <c r="C4" i="40" s="1"/>
  <c r="C18" i="22"/>
  <c r="C17" i="22"/>
  <c r="B17" i="22"/>
  <c r="C16" i="22"/>
  <c r="C15" i="22"/>
  <c r="B15" i="22"/>
  <c r="C14" i="22"/>
  <c r="C13" i="22"/>
  <c r="B13" i="22"/>
  <c r="C12" i="22"/>
  <c r="C11" i="22"/>
  <c r="B11" i="22"/>
  <c r="C9" i="22"/>
  <c r="B9" i="22"/>
  <c r="C8" i="22"/>
  <c r="C7" i="22"/>
  <c r="B7" i="22"/>
  <c r="C6" i="22"/>
  <c r="B18" i="22"/>
  <c r="B16" i="22"/>
  <c r="B14" i="22"/>
  <c r="B12" i="22"/>
  <c r="B10" i="22"/>
  <c r="B8" i="22"/>
  <c r="B6" i="22"/>
  <c r="U8" i="39"/>
  <c r="T8" i="39"/>
  <c r="S8" i="39"/>
  <c r="R8" i="39"/>
  <c r="Q8" i="39"/>
  <c r="P8" i="39"/>
  <c r="O8" i="39"/>
  <c r="N8" i="39"/>
  <c r="G8" i="39"/>
  <c r="F8" i="39"/>
  <c r="E8" i="39"/>
  <c r="D8" i="39"/>
  <c r="U6" i="39"/>
  <c r="T6" i="39"/>
  <c r="S6" i="39"/>
  <c r="R6" i="39"/>
  <c r="Q6" i="39"/>
  <c r="P6" i="39"/>
  <c r="O6" i="39"/>
  <c r="N6" i="39"/>
  <c r="N7" i="39" s="1"/>
  <c r="R20" i="39"/>
  <c r="U4" i="39"/>
  <c r="T4" i="39"/>
  <c r="S4" i="39"/>
  <c r="R4" i="39"/>
  <c r="Q4" i="39"/>
  <c r="P4" i="39"/>
  <c r="O4" i="39"/>
  <c r="N4" i="39"/>
  <c r="E20" i="40" l="1"/>
  <c r="O11" i="39"/>
  <c r="Q11" i="39"/>
  <c r="S11" i="39"/>
  <c r="C5" i="40"/>
  <c r="C6" i="40"/>
  <c r="I20" i="40"/>
  <c r="E12" i="39"/>
  <c r="F12" i="39"/>
  <c r="H12" i="39"/>
  <c r="J12" i="39"/>
  <c r="U11" i="39"/>
  <c r="N11" i="39"/>
  <c r="P11" i="39"/>
  <c r="R11" i="39"/>
  <c r="T11" i="39"/>
  <c r="G12" i="39"/>
  <c r="I12" i="39"/>
  <c r="K12" i="39"/>
  <c r="R19" i="39"/>
  <c r="O9" i="39"/>
  <c r="Q9" i="39"/>
  <c r="S9" i="39"/>
  <c r="U9" i="39"/>
  <c r="T22" i="39" s="1"/>
  <c r="E17" i="53"/>
  <c r="O7" i="39"/>
  <c r="P7" i="39" s="1"/>
  <c r="Q7" i="39" s="1"/>
  <c r="R7" i="39" s="1"/>
  <c r="S7" i="39" s="1"/>
  <c r="T7" i="39" s="1"/>
  <c r="U7" i="39" s="1"/>
  <c r="N9" i="39"/>
  <c r="P9" i="39"/>
  <c r="R9" i="39"/>
  <c r="T9" i="39"/>
  <c r="U19" i="39"/>
  <c r="I12" i="40" s="1"/>
  <c r="T19" i="39"/>
  <c r="T20" i="39"/>
  <c r="U20" i="39"/>
  <c r="I13" i="40" s="1"/>
  <c r="N13" i="39" l="1"/>
  <c r="O13" i="39"/>
  <c r="U13" i="39"/>
  <c r="T23" i="39" s="1"/>
  <c r="S13" i="39"/>
  <c r="Q13" i="39"/>
  <c r="T12" i="39"/>
  <c r="T13" i="39"/>
  <c r="P12" i="39"/>
  <c r="P13" i="39"/>
  <c r="U12" i="39"/>
  <c r="Q12" i="39"/>
  <c r="R12" i="39"/>
  <c r="R13" i="39"/>
  <c r="S12" i="39"/>
  <c r="O12" i="39"/>
  <c r="U22" i="39"/>
  <c r="I16" i="40" s="1"/>
  <c r="I22" i="40" s="1"/>
  <c r="U21" i="39"/>
  <c r="I14" i="40" s="1"/>
  <c r="I15" i="40" s="1"/>
  <c r="T21" i="39"/>
  <c r="R22" i="39"/>
  <c r="R21" i="39"/>
  <c r="R23" i="39" l="1"/>
  <c r="T24" i="39" s="1"/>
  <c r="I21" i="40"/>
  <c r="I24" i="40" s="1"/>
  <c r="I28" i="40" s="1"/>
  <c r="T25" i="39" l="1"/>
  <c r="T26" i="39" s="1"/>
  <c r="F17" i="53" l="1"/>
  <c r="D4" i="39" l="1"/>
  <c r="F4" i="39"/>
  <c r="H4" i="39"/>
  <c r="J4" i="39"/>
  <c r="E4" i="39"/>
  <c r="G4" i="39"/>
  <c r="I4" i="39"/>
  <c r="D6" i="39"/>
  <c r="D7" i="39" s="1"/>
  <c r="F6" i="39"/>
  <c r="H6" i="39"/>
  <c r="J6" i="39"/>
  <c r="E6" i="39"/>
  <c r="G6" i="39"/>
  <c r="I6" i="39"/>
  <c r="K6" i="39"/>
  <c r="D10" i="39"/>
  <c r="F10" i="39"/>
  <c r="H10" i="39"/>
  <c r="J10" i="39"/>
  <c r="E10" i="39"/>
  <c r="G10" i="39"/>
  <c r="I10" i="39"/>
  <c r="K10" i="39"/>
  <c r="K13" i="39" l="1"/>
  <c r="J23" i="39" s="1"/>
  <c r="G13" i="39"/>
  <c r="H13" i="39"/>
  <c r="D13" i="39"/>
  <c r="K4" i="39"/>
  <c r="C10" i="22"/>
  <c r="F19" i="22" s="1"/>
  <c r="I13" i="39"/>
  <c r="E13" i="39"/>
  <c r="J13" i="39"/>
  <c r="F13" i="39"/>
  <c r="E7" i="39"/>
  <c r="F7" i="39" s="1"/>
  <c r="G7" i="39" s="1"/>
  <c r="H7" i="39" s="1"/>
  <c r="I7" i="39" s="1"/>
  <c r="J7" i="39" s="1"/>
  <c r="K7" i="39" s="1"/>
  <c r="H19" i="39"/>
  <c r="J8" i="39"/>
  <c r="H8" i="39"/>
  <c r="K8" i="39"/>
  <c r="I8" i="39"/>
  <c r="H21" i="39" l="1"/>
  <c r="E5" i="39"/>
  <c r="E9" i="39" s="1"/>
  <c r="I5" i="39"/>
  <c r="K5" i="39"/>
  <c r="F5" i="39"/>
  <c r="F9" i="39" s="1"/>
  <c r="J5" i="39"/>
  <c r="J9" i="39"/>
  <c r="J6" i="22"/>
  <c r="K6" i="22" s="1"/>
  <c r="I4" i="40" s="1"/>
  <c r="D30" i="40" s="1"/>
  <c r="J7" i="22"/>
  <c r="K7" i="22" s="1"/>
  <c r="I5" i="40" s="1"/>
  <c r="H30" i="40" s="1"/>
  <c r="H23" i="39"/>
  <c r="J24" i="39" s="1"/>
  <c r="I9" i="39"/>
  <c r="G5" i="39"/>
  <c r="G9" i="39" s="1"/>
  <c r="K9" i="39"/>
  <c r="D5" i="39"/>
  <c r="H5" i="39"/>
  <c r="H9" i="39" s="1"/>
  <c r="J21" i="39"/>
  <c r="K21" i="39"/>
  <c r="E14" i="40" s="1"/>
  <c r="J19" i="39"/>
  <c r="K19" i="39"/>
  <c r="E12" i="40" s="1"/>
  <c r="H20" i="39" l="1"/>
  <c r="D9" i="39"/>
  <c r="K22" i="39" s="1"/>
  <c r="E16" i="40" s="1"/>
  <c r="E22" i="40" s="1"/>
  <c r="I30" i="40"/>
  <c r="F20" i="53" s="1"/>
  <c r="F21" i="53" s="1"/>
  <c r="F25" i="53" s="1"/>
  <c r="F26" i="53" s="1"/>
  <c r="J22" i="39"/>
  <c r="J20" i="39"/>
  <c r="K20" i="39"/>
  <c r="E13" i="40" s="1"/>
  <c r="E15" i="40" s="1"/>
  <c r="E21" i="40" s="1"/>
  <c r="E24" i="40" l="1"/>
  <c r="E28" i="40" s="1"/>
  <c r="H22" i="39"/>
  <c r="J25" i="39" l="1"/>
  <c r="J26" i="39" s="1"/>
  <c r="E30" i="40"/>
  <c r="E20" i="53" s="1"/>
  <c r="E21" i="53" l="1"/>
  <c r="E25" i="53" s="1"/>
  <c r="E26" i="53" s="1"/>
</calcChain>
</file>

<file path=xl/sharedStrings.xml><?xml version="1.0" encoding="utf-8"?>
<sst xmlns="http://schemas.openxmlformats.org/spreadsheetml/2006/main" count="268" uniqueCount="179">
  <si>
    <t>Technology</t>
  </si>
  <si>
    <t>Model's estimated cost elasticities</t>
  </si>
  <si>
    <t>Output Weights</t>
  </si>
  <si>
    <t>Technology (A)</t>
  </si>
  <si>
    <t>Returns to Scale (B)</t>
  </si>
  <si>
    <t>Business Conditions (C)</t>
  </si>
  <si>
    <t>PP Opex Growth Rates Forecast</t>
  </si>
  <si>
    <t>Coefficient</t>
  </si>
  <si>
    <t>Estimate</t>
  </si>
  <si>
    <t>Unit</t>
  </si>
  <si>
    <t>Customer numbers</t>
  </si>
  <si>
    <t>number</t>
  </si>
  <si>
    <t>kms</t>
  </si>
  <si>
    <t>Rates of Change</t>
  </si>
  <si>
    <t>RY13</t>
  </si>
  <si>
    <t>Circuit Length</t>
  </si>
  <si>
    <t>Maximum Demand</t>
  </si>
  <si>
    <t>Ratcheted Maximum Demand</t>
  </si>
  <si>
    <t>MW</t>
  </si>
  <si>
    <t>Underground Circuit Length</t>
  </si>
  <si>
    <t>Share Underground</t>
  </si>
  <si>
    <t>Fraction</t>
  </si>
  <si>
    <t>DNSP's forecast driver growth rates (2014-2019)</t>
  </si>
  <si>
    <t>ly2</t>
  </si>
  <si>
    <t>ly3</t>
  </si>
  <si>
    <t>ly4</t>
  </si>
  <si>
    <t>lz1</t>
  </si>
  <si>
    <t>yr</t>
  </si>
  <si>
    <t>cd2</t>
  </si>
  <si>
    <t>cd3</t>
  </si>
  <si>
    <t>_cons</t>
  </si>
  <si>
    <t>z–statistic</t>
  </si>
  <si>
    <t>Coefficients</t>
  </si>
  <si>
    <t>05ENX</t>
  </si>
  <si>
    <t>06ERG</t>
  </si>
  <si>
    <t>RY6</t>
  </si>
  <si>
    <t>RY7</t>
  </si>
  <si>
    <t>RY8</t>
  </si>
  <si>
    <t>RY9</t>
  </si>
  <si>
    <t>RY10</t>
  </si>
  <si>
    <t>RY11</t>
  </si>
  <si>
    <t>RY12</t>
  </si>
  <si>
    <t xml:space="preserve">Notes: </t>
  </si>
  <si>
    <t>Efficiency score</t>
  </si>
  <si>
    <t>Efficiency target</t>
  </si>
  <si>
    <t>Opex</t>
  </si>
  <si>
    <t>Opex price deflator</t>
  </si>
  <si>
    <t xml:space="preserve"> - Opex price escalation (nominal)</t>
  </si>
  <si>
    <t>%</t>
  </si>
  <si>
    <t xml:space="preserve"> - Opex quantity</t>
  </si>
  <si>
    <t>Base Year: RY13</t>
  </si>
  <si>
    <t>Base Year: Average</t>
  </si>
  <si>
    <t>Mid-point of the period to 2013</t>
  </si>
  <si>
    <t>Weighted Average Output Growth (1)</t>
  </si>
  <si>
    <t>Real input cost escalation (3)</t>
  </si>
  <si>
    <t>PP Opex Growth Rates [2 = A+B-C]</t>
  </si>
  <si>
    <t>Opex rate of change [=(1 &amp; 3) / 2]</t>
  </si>
  <si>
    <t>SFA CD</t>
  </si>
  <si>
    <t>ACT</t>
  </si>
  <si>
    <t>AGD</t>
  </si>
  <si>
    <t>Vic/SA excl JEN</t>
  </si>
  <si>
    <t>CIT</t>
  </si>
  <si>
    <t>END</t>
  </si>
  <si>
    <t>ENX</t>
  </si>
  <si>
    <t>ERG</t>
  </si>
  <si>
    <t>ESS</t>
  </si>
  <si>
    <t>JEN</t>
  </si>
  <si>
    <t>PCR</t>
  </si>
  <si>
    <t>SAP</t>
  </si>
  <si>
    <t>SPD</t>
  </si>
  <si>
    <t>TND</t>
  </si>
  <si>
    <t>UED</t>
  </si>
  <si>
    <t>Reduction</t>
  </si>
  <si>
    <t>DNSP</t>
  </si>
  <si>
    <t>Opex Cost Function Modelling -- Medium Database Regression Results</t>
  </si>
  <si>
    <t>Cobb-Douglas SFA model</t>
  </si>
  <si>
    <t>Regressione estimates</t>
  </si>
  <si>
    <t>Efficiency score results</t>
  </si>
  <si>
    <t>Efficiency target to set</t>
  </si>
  <si>
    <t>Comparator</t>
  </si>
  <si>
    <t>1= yes, 0 = no</t>
  </si>
  <si>
    <t>Margin allowance</t>
  </si>
  <si>
    <t>Margin on input use</t>
  </si>
  <si>
    <t>Efficiency Target Option</t>
  </si>
  <si>
    <t>Implied opex reduction to reach effciency target</t>
  </si>
  <si>
    <t xml:space="preserve">Opex_average base year method </t>
  </si>
  <si>
    <t>Opex Base Year Adjustment Model</t>
  </si>
  <si>
    <t xml:space="preserve">Summary: </t>
  </si>
  <si>
    <t>Color-coding convention used for the data, analytical and application worksheets:</t>
  </si>
  <si>
    <t>– Raw data cell:</t>
  </si>
  <si>
    <t>– Calculation cell:</t>
  </si>
  <si>
    <t xml:space="preserve">– Input cell: </t>
  </si>
  <si>
    <t>light blue</t>
  </si>
  <si>
    <t>dark blue</t>
  </si>
  <si>
    <t>light yellow</t>
  </si>
  <si>
    <t>Data Worksheets:</t>
  </si>
  <si>
    <t>Analytical Worksheets:</t>
  </si>
  <si>
    <t>– Opex cost function modelling results, including parameter estimates and efficiency estimates</t>
  </si>
  <si>
    <t>– Setting out efficiency target for each DNSP</t>
  </si>
  <si>
    <t>A. Cost Drivers</t>
  </si>
  <si>
    <t>Worksheet links:</t>
  </si>
  <si>
    <t>Cost Drivers</t>
  </si>
  <si>
    <t>Opex Modelling Results</t>
  </si>
  <si>
    <t>Opex Forecasts</t>
  </si>
  <si>
    <t>Source: Economic Insights Opex Cost Funciton files provided on 16 October 2014</t>
  </si>
  <si>
    <t xml:space="preserve">1. Historical data are sourced from relevant AER data compiled for economic benchmarking. </t>
  </si>
  <si>
    <t>Input Worksheets:</t>
  </si>
  <si>
    <t>TFP Data and Forecasts</t>
  </si>
  <si>
    <t>RY2006 =1</t>
  </si>
  <si>
    <t>Opex quantity</t>
  </si>
  <si>
    <t xml:space="preserve">  Forecast increase: average to base</t>
  </si>
  <si>
    <t xml:space="preserve">  Difference</t>
  </si>
  <si>
    <t xml:space="preserve">  Actual Increase: average to base</t>
  </si>
  <si>
    <t>Cust No - 2013</t>
  </si>
  <si>
    <t>B. Opex Modelling Results</t>
  </si>
  <si>
    <t xml:space="preserve">C.  Efficiency Target Option </t>
  </si>
  <si>
    <t>D. Opex Forecasts</t>
  </si>
  <si>
    <t>– Modelling efficient opex (base year) for each DNSP, based on the efficiency target chosen</t>
  </si>
  <si>
    <t xml:space="preserve">– The modelling rolls forward the chosen efficient target on the basis of average-of-the-period (i.e., results from the opex cost function model) to the basis of 2013 base year.  </t>
  </si>
  <si>
    <t xml:space="preserve">– For rolling farward, the opex rate of change formula used for forecasting opex is adopted.     </t>
  </si>
  <si>
    <t>2012-13</t>
  </si>
  <si>
    <t>2013-14</t>
  </si>
  <si>
    <t>Opex data from Reset RIN</t>
  </si>
  <si>
    <t>Label</t>
  </si>
  <si>
    <t>Formula / source</t>
  </si>
  <si>
    <t>Total opex, nominal</t>
  </si>
  <si>
    <t>- debt raising costs, nominal</t>
  </si>
  <si>
    <t>a2</t>
  </si>
  <si>
    <t>- Jurisdictional schemes, nominal</t>
  </si>
  <si>
    <t>Adjusted total opex, nominal</t>
  </si>
  <si>
    <t>b1</t>
  </si>
  <si>
    <t>c1</t>
  </si>
  <si>
    <t>c1 = b1* CPI adjustment</t>
  </si>
  <si>
    <t>Substituting base opex figures from benchmarking analysis</t>
  </si>
  <si>
    <t>d</t>
  </si>
  <si>
    <t>from 'Opex Forecasts' worksheet</t>
  </si>
  <si>
    <t>e</t>
  </si>
  <si>
    <t>e = d * CPI adjustment</t>
  </si>
  <si>
    <t>f</t>
  </si>
  <si>
    <t>g</t>
  </si>
  <si>
    <t>For opex from Reset RIN</t>
  </si>
  <si>
    <t>Energex</t>
  </si>
  <si>
    <t>Ergon</t>
  </si>
  <si>
    <t>Comparison with adjustment from base year opex</t>
  </si>
  <si>
    <t>Percentage reducton difference</t>
  </si>
  <si>
    <t>opex reduction</t>
  </si>
  <si>
    <t>f= c1 - e</t>
  </si>
  <si>
    <t>a3</t>
  </si>
  <si>
    <t>[add other line items as necessary]</t>
  </si>
  <si>
    <t>$m nominal 2012-13</t>
  </si>
  <si>
    <t>Adjusted total opex</t>
  </si>
  <si>
    <t>Substitute base opex</t>
  </si>
  <si>
    <t>Substitute base</t>
  </si>
  <si>
    <t>Feed in tariffs ($'000 nominal)</t>
  </si>
  <si>
    <t>Frontier target with 10% margin on efficient input use</t>
  </si>
  <si>
    <t>- feed in tariff</t>
  </si>
  <si>
    <t>a1</t>
  </si>
  <si>
    <t>a4</t>
  </si>
  <si>
    <t>- Service classification change</t>
  </si>
  <si>
    <t>CPI index, nominal to real 2014–15 (end of year)</t>
  </si>
  <si>
    <t>$m real year end 2014-15</t>
  </si>
  <si>
    <t>2014-15</t>
  </si>
  <si>
    <t>Converting to real 2015 end of year value for PTRM purpose</t>
  </si>
  <si>
    <t>Version: 15 April 2015</t>
  </si>
  <si>
    <t xml:space="preserve">– This spreadsheet contains the modelling for opex base year adjustments for QLD DNSPs. </t>
  </si>
  <si>
    <t>– historical data on opex and cost driver for QLD DNSPs</t>
  </si>
  <si>
    <t>Base Year Adjustment</t>
  </si>
  <si>
    <t>– Calculating base year adjustment required for each of the NSW/ACT DNSPs</t>
  </si>
  <si>
    <t>E. Base Year Adjustment</t>
  </si>
  <si>
    <t xml:space="preserve">– The adjustments are calculated relative to base year opex measure from Reset RIN </t>
  </si>
  <si>
    <t>$'000</t>
  </si>
  <si>
    <t>Opex Cost Drivers – Historical Data – QLD</t>
  </si>
  <si>
    <t>$'000RY2013</t>
  </si>
  <si>
    <t>Note: Feed in tariff data sourced from annual reporting RINs</t>
  </si>
  <si>
    <t>QLD DNSP Opex – Base Opex – Using RIN Data and Estimated Opex Cost Function Model</t>
  </si>
  <si>
    <t>Base Opex Adjustment Calculations for QLD DNSPs</t>
  </si>
  <si>
    <t>a</t>
  </si>
  <si>
    <t>b1 = a+a1+a2+a3+a4</t>
  </si>
  <si>
    <t>I = f/c1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</si>
</sst>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164" formatCode="0.0000"/>
    <numFmt numFmtId="165" formatCode="_-* #,##0_-;\-* #,##0_-;_-* &quot;-&quot;??_-;_-@_-"/>
    <numFmt numFmtId="166" formatCode="_(#,##0_);\(#,##0\);_(&quot;-&quot;_)"/>
    <numFmt numFmtId="167" formatCode="0.000"/>
    <numFmt numFmtId="168" formatCode="#,##0.0000"/>
    <numFmt numFmtId="169" formatCode="0.0%"/>
    <numFmt numFmtId="170" formatCode="_-&quot;$&quot;* #,##0_-;\-&quot;$&quot;* #,##0_-;_-&quot;$&quot;* &quot;-&quot;??_-;_-@_-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i/>
      <sz val="1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12"/>
      <name val="Calibri"/>
      <family val="2"/>
    </font>
    <font>
      <sz val="10"/>
      <name val="Arial"/>
      <family val="2"/>
    </font>
    <font>
      <b/>
      <i/>
      <sz val="11"/>
      <color theme="0"/>
      <name val="Calibri"/>
      <family val="2"/>
    </font>
    <font>
      <sz val="11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166" fontId="3" fillId="0" borderId="1">
      <alignment horizontal="right" vertical="center"/>
      <protection locked="0"/>
    </xf>
    <xf numFmtId="0" fontId="8" fillId="0" borderId="0"/>
    <xf numFmtId="0" fontId="8" fillId="0" borderId="0"/>
    <xf numFmtId="9" fontId="2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44" fontId="31" fillId="0" borderId="0" applyFont="0" applyFill="0" applyBorder="0" applyAlignment="0" applyProtection="0"/>
  </cellStyleXfs>
  <cellXfs count="149">
    <xf numFmtId="0" fontId="0" fillId="0" borderId="0" xfId="0"/>
    <xf numFmtId="0" fontId="8" fillId="0" borderId="0" xfId="3"/>
    <xf numFmtId="0" fontId="4" fillId="0" borderId="0" xfId="3" applyFont="1"/>
    <xf numFmtId="0" fontId="11" fillId="0" borderId="0" xfId="3" applyFont="1"/>
    <xf numFmtId="0" fontId="11" fillId="0" borderId="0" xfId="3" applyNumberFormat="1" applyFont="1"/>
    <xf numFmtId="0" fontId="12" fillId="0" borderId="0" xfId="3" applyFont="1"/>
    <xf numFmtId="0" fontId="13" fillId="0" borderId="0" xfId="3" applyFont="1"/>
    <xf numFmtId="3" fontId="11" fillId="0" borderId="0" xfId="3" applyNumberFormat="1" applyFont="1"/>
    <xf numFmtId="0" fontId="12" fillId="0" borderId="0" xfId="3" applyFont="1" applyAlignment="1">
      <alignment wrapText="1"/>
    </xf>
    <xf numFmtId="9" fontId="11" fillId="0" borderId="0" xfId="3" applyNumberFormat="1" applyFont="1"/>
    <xf numFmtId="0" fontId="15" fillId="0" borderId="0" xfId="0" applyFont="1"/>
    <xf numFmtId="0" fontId="4" fillId="0" borderId="0" xfId="3" applyFont="1" applyAlignment="1">
      <alignment horizontal="left" vertical="top" wrapText="1"/>
    </xf>
    <xf numFmtId="0" fontId="11" fillId="0" borderId="0" xfId="3" applyFont="1" applyAlignment="1">
      <alignment horizontal="left" vertical="top" wrapText="1"/>
    </xf>
    <xf numFmtId="0" fontId="13" fillId="0" borderId="0" xfId="3" applyFont="1" applyAlignment="1">
      <alignment horizontal="left" vertical="top" wrapText="1"/>
    </xf>
    <xf numFmtId="0" fontId="8" fillId="0" borderId="0" xfId="3" applyAlignment="1">
      <alignment horizontal="left" vertical="top" wrapText="1"/>
    </xf>
    <xf numFmtId="0" fontId="13" fillId="0" borderId="0" xfId="3" applyFont="1" applyFill="1" applyAlignment="1">
      <alignment horizontal="left" vertical="top" wrapText="1"/>
    </xf>
    <xf numFmtId="0" fontId="11" fillId="2" borderId="0" xfId="3" applyFont="1" applyFill="1" applyAlignment="1">
      <alignment horizontal="center"/>
    </xf>
    <xf numFmtId="9" fontId="12" fillId="2" borderId="0" xfId="4" applyFont="1" applyFill="1" applyAlignment="1">
      <alignment horizontal="center"/>
    </xf>
    <xf numFmtId="0" fontId="16" fillId="0" borderId="0" xfId="3" applyFont="1" applyAlignment="1">
      <alignment horizontal="left" vertical="top" wrapText="1"/>
    </xf>
    <xf numFmtId="0" fontId="10" fillId="0" borderId="0" xfId="3" applyFont="1" applyAlignment="1">
      <alignment horizontal="left" vertical="top" wrapText="1"/>
    </xf>
    <xf numFmtId="0" fontId="17" fillId="0" borderId="0" xfId="3" applyFont="1" applyAlignment="1">
      <alignment horizontal="left" vertical="top" wrapText="1"/>
    </xf>
    <xf numFmtId="0" fontId="17" fillId="0" borderId="0" xfId="3" applyFont="1" applyAlignment="1">
      <alignment horizontal="left" vertical="top"/>
    </xf>
    <xf numFmtId="0" fontId="18" fillId="0" borderId="0" xfId="0" applyFont="1"/>
    <xf numFmtId="0" fontId="12" fillId="0" borderId="0" xfId="0" applyFont="1"/>
    <xf numFmtId="0" fontId="15" fillId="3" borderId="0" xfId="0" applyFont="1" applyFill="1"/>
    <xf numFmtId="0" fontId="15" fillId="4" borderId="0" xfId="0" applyFont="1" applyFill="1"/>
    <xf numFmtId="0" fontId="15" fillId="5" borderId="0" xfId="0" applyFont="1" applyFill="1"/>
    <xf numFmtId="0" fontId="21" fillId="0" borderId="0" xfId="0" applyFont="1"/>
    <xf numFmtId="0" fontId="9" fillId="0" borderId="0" xfId="0" applyFont="1"/>
    <xf numFmtId="0" fontId="22" fillId="0" borderId="0" xfId="5" quotePrefix="1"/>
    <xf numFmtId="0" fontId="22" fillId="0" borderId="0" xfId="5"/>
    <xf numFmtId="9" fontId="12" fillId="4" borderId="0" xfId="4" applyFont="1" applyFill="1" applyAlignment="1">
      <alignment horizontal="center"/>
    </xf>
    <xf numFmtId="9" fontId="9" fillId="4" borderId="0" xfId="4" applyFont="1" applyFill="1" applyAlignment="1">
      <alignment horizontal="center"/>
    </xf>
    <xf numFmtId="167" fontId="11" fillId="2" borderId="0" xfId="3" applyNumberFormat="1" applyFont="1" applyFill="1"/>
    <xf numFmtId="0" fontId="14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right" vertical="center" wrapText="1"/>
    </xf>
    <xf numFmtId="0" fontId="15" fillId="2" borderId="4" xfId="0" applyFont="1" applyFill="1" applyBorder="1"/>
    <xf numFmtId="164" fontId="6" fillId="2" borderId="4" xfId="0" applyNumberFormat="1" applyFont="1" applyFill="1" applyBorder="1"/>
    <xf numFmtId="0" fontId="6" fillId="2" borderId="4" xfId="0" applyFont="1" applyFill="1" applyBorder="1"/>
    <xf numFmtId="0" fontId="15" fillId="2" borderId="0" xfId="0" applyFont="1" applyFill="1" applyBorder="1"/>
    <xf numFmtId="164" fontId="6" fillId="2" borderId="0" xfId="0" applyNumberFormat="1" applyFont="1" applyFill="1" applyBorder="1"/>
    <xf numFmtId="0" fontId="6" fillId="2" borderId="0" xfId="0" applyFont="1" applyFill="1" applyBorder="1"/>
    <xf numFmtId="0" fontId="15" fillId="2" borderId="3" xfId="0" applyFont="1" applyFill="1" applyBorder="1"/>
    <xf numFmtId="164" fontId="6" fillId="2" borderId="3" xfId="0" applyNumberFormat="1" applyFont="1" applyFill="1" applyBorder="1"/>
    <xf numFmtId="0" fontId="6" fillId="2" borderId="3" xfId="0" applyFont="1" applyFill="1" applyBorder="1"/>
    <xf numFmtId="10" fontId="12" fillId="4" borderId="0" xfId="3" applyNumberFormat="1" applyFont="1" applyFill="1" applyAlignment="1">
      <alignment horizontal="center" wrapText="1"/>
    </xf>
    <xf numFmtId="0" fontId="19" fillId="0" borderId="0" xfId="3" applyFont="1"/>
    <xf numFmtId="10" fontId="19" fillId="2" borderId="0" xfId="0" applyNumberFormat="1" applyFont="1" applyFill="1" applyBorder="1" applyAlignment="1">
      <alignment horizontal="right" vertical="center"/>
    </xf>
    <xf numFmtId="3" fontId="19" fillId="4" borderId="0" xfId="2" applyNumberFormat="1" applyFont="1" applyFill="1"/>
    <xf numFmtId="3" fontId="19" fillId="0" borderId="0" xfId="2" applyNumberFormat="1" applyFont="1" applyFill="1"/>
    <xf numFmtId="0" fontId="23" fillId="0" borderId="0" xfId="0" applyFont="1"/>
    <xf numFmtId="0" fontId="20" fillId="0" borderId="0" xfId="0" applyFont="1"/>
    <xf numFmtId="0" fontId="23" fillId="0" borderId="0" xfId="0" applyFont="1" applyAlignment="1">
      <alignment horizontal="center"/>
    </xf>
    <xf numFmtId="165" fontId="24" fillId="0" borderId="0" xfId="0" applyNumberFormat="1" applyFont="1" applyAlignment="1">
      <alignment horizontal="left" vertical="center"/>
    </xf>
    <xf numFmtId="164" fontId="20" fillId="2" borderId="0" xfId="0" applyNumberFormat="1" applyFont="1" applyFill="1"/>
    <xf numFmtId="164" fontId="20" fillId="4" borderId="0" xfId="0" applyNumberFormat="1" applyFont="1" applyFill="1"/>
    <xf numFmtId="164" fontId="20" fillId="0" borderId="0" xfId="0" applyNumberFormat="1" applyFont="1"/>
    <xf numFmtId="9" fontId="20" fillId="2" borderId="0" xfId="0" applyNumberFormat="1" applyFont="1" applyFill="1"/>
    <xf numFmtId="9" fontId="20" fillId="0" borderId="0" xfId="0" applyNumberFormat="1" applyFont="1"/>
    <xf numFmtId="0" fontId="23" fillId="0" borderId="0" xfId="0" applyFont="1" applyAlignment="1">
      <alignment horizontal="right"/>
    </xf>
    <xf numFmtId="165" fontId="24" fillId="0" borderId="0" xfId="0" applyNumberFormat="1" applyFont="1" applyFill="1" applyAlignment="1">
      <alignment horizontal="left" vertical="center"/>
    </xf>
    <xf numFmtId="10" fontId="20" fillId="0" borderId="0" xfId="4" applyNumberFormat="1" applyFont="1" applyFill="1"/>
    <xf numFmtId="0" fontId="20" fillId="0" borderId="0" xfId="0" applyFont="1" applyFill="1"/>
    <xf numFmtId="0" fontId="23" fillId="0" borderId="0" xfId="0" applyFont="1" applyFill="1"/>
    <xf numFmtId="10" fontId="23" fillId="4" borderId="0" xfId="4" applyNumberFormat="1" applyFont="1" applyFill="1"/>
    <xf numFmtId="10" fontId="23" fillId="0" borderId="0" xfId="4" applyNumberFormat="1" applyFont="1" applyFill="1"/>
    <xf numFmtId="10" fontId="20" fillId="0" borderId="0" xfId="0" applyNumberFormat="1" applyFont="1" applyFill="1"/>
    <xf numFmtId="10" fontId="23" fillId="0" borderId="0" xfId="0" applyNumberFormat="1" applyFont="1" applyFill="1"/>
    <xf numFmtId="0" fontId="23" fillId="0" borderId="0" xfId="0" applyFont="1" applyFill="1" applyAlignment="1">
      <alignment horizontal="right"/>
    </xf>
    <xf numFmtId="10" fontId="20" fillId="4" borderId="0" xfId="0" applyNumberFormat="1" applyFont="1" applyFill="1"/>
    <xf numFmtId="10" fontId="23" fillId="4" borderId="0" xfId="0" applyNumberFormat="1" applyFont="1" applyFill="1"/>
    <xf numFmtId="0" fontId="23" fillId="0" borderId="0" xfId="0" applyFont="1" applyFill="1" applyBorder="1"/>
    <xf numFmtId="0" fontId="23" fillId="0" borderId="0" xfId="0" applyFont="1" applyFill="1" applyAlignment="1">
      <alignment horizontal="center"/>
    </xf>
    <xf numFmtId="10" fontId="23" fillId="4" borderId="0" xfId="4" applyNumberFormat="1" applyFont="1" applyFill="1" applyAlignment="1">
      <alignment horizontal="right"/>
    </xf>
    <xf numFmtId="3" fontId="9" fillId="0" borderId="0" xfId="0" applyNumberFormat="1" applyFont="1" applyFill="1"/>
    <xf numFmtId="3" fontId="20" fillId="0" borderId="0" xfId="0" applyNumberFormat="1" applyFont="1" applyFill="1"/>
    <xf numFmtId="3" fontId="23" fillId="4" borderId="0" xfId="0" applyNumberFormat="1" applyFont="1" applyFill="1"/>
    <xf numFmtId="3" fontId="23" fillId="0" borderId="0" xfId="0" applyNumberFormat="1" applyFont="1" applyFill="1"/>
    <xf numFmtId="164" fontId="20" fillId="0" borderId="0" xfId="0" applyNumberFormat="1" applyFont="1" applyFill="1"/>
    <xf numFmtId="165" fontId="19" fillId="0" borderId="0" xfId="0" applyNumberFormat="1" applyFont="1" applyAlignment="1">
      <alignment horizontal="left" vertical="center"/>
    </xf>
    <xf numFmtId="0" fontId="20" fillId="0" borderId="0" xfId="0" applyFont="1" applyBorder="1"/>
    <xf numFmtId="0" fontId="23" fillId="0" borderId="0" xfId="0" applyFont="1" applyBorder="1" applyAlignment="1">
      <alignment horizontal="center"/>
    </xf>
    <xf numFmtId="165" fontId="19" fillId="0" borderId="0" xfId="0" applyNumberFormat="1" applyFont="1"/>
    <xf numFmtId="165" fontId="25" fillId="0" borderId="0" xfId="0" applyNumberFormat="1" applyFont="1" applyAlignment="1">
      <alignment horizontal="center"/>
    </xf>
    <xf numFmtId="165" fontId="19" fillId="0" borderId="0" xfId="0" applyNumberFormat="1" applyFont="1" applyBorder="1" applyAlignment="1">
      <alignment horizontal="center"/>
    </xf>
    <xf numFmtId="165" fontId="26" fillId="0" borderId="0" xfId="0" applyNumberFormat="1" applyFont="1" applyAlignment="1">
      <alignment horizontal="center" vertical="center"/>
    </xf>
    <xf numFmtId="166" fontId="20" fillId="6" borderId="0" xfId="1" applyNumberFormat="1" applyFont="1" applyFill="1" applyBorder="1" applyAlignment="1" applyProtection="1">
      <alignment horizontal="center" vertical="center"/>
    </xf>
    <xf numFmtId="0" fontId="20" fillId="6" borderId="0" xfId="0" applyFont="1" applyFill="1" applyBorder="1"/>
    <xf numFmtId="3" fontId="20" fillId="4" borderId="0" xfId="1" applyNumberFormat="1" applyFont="1" applyFill="1" applyBorder="1" applyAlignment="1" applyProtection="1">
      <alignment horizontal="center" vertical="center"/>
    </xf>
    <xf numFmtId="0" fontId="20" fillId="4" borderId="0" xfId="0" applyFont="1" applyFill="1" applyBorder="1"/>
    <xf numFmtId="166" fontId="20" fillId="4" borderId="0" xfId="1" applyNumberFormat="1" applyFont="1" applyFill="1" applyBorder="1" applyAlignment="1" applyProtection="1">
      <alignment horizontal="center" vertical="center"/>
    </xf>
    <xf numFmtId="164" fontId="20" fillId="4" borderId="0" xfId="0" applyNumberFormat="1" applyFont="1" applyFill="1" applyBorder="1" applyAlignment="1">
      <alignment horizontal="center"/>
    </xf>
    <xf numFmtId="164" fontId="20" fillId="4" borderId="0" xfId="0" applyNumberFormat="1" applyFont="1" applyFill="1" applyBorder="1" applyAlignment="1">
      <alignment horizontal="center" vertical="center"/>
    </xf>
    <xf numFmtId="3" fontId="20" fillId="6" borderId="0" xfId="0" applyNumberFormat="1" applyFont="1" applyFill="1" applyBorder="1" applyAlignment="1">
      <alignment horizontal="center" vertical="center"/>
    </xf>
    <xf numFmtId="164" fontId="20" fillId="6" borderId="0" xfId="0" applyNumberFormat="1" applyFont="1" applyFill="1" applyBorder="1" applyAlignment="1">
      <alignment horizontal="center"/>
    </xf>
    <xf numFmtId="164" fontId="20" fillId="6" borderId="0" xfId="0" applyNumberFormat="1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10" fontId="20" fillId="4" borderId="0" xfId="4" applyNumberFormat="1" applyFont="1" applyFill="1" applyBorder="1" applyAlignment="1">
      <alignment horizontal="center" vertical="center"/>
    </xf>
    <xf numFmtId="10" fontId="20" fillId="4" borderId="0" xfId="4" applyNumberFormat="1" applyFont="1" applyFill="1" applyBorder="1" applyAlignment="1">
      <alignment horizontal="center"/>
    </xf>
    <xf numFmtId="3" fontId="20" fillId="4" borderId="0" xfId="0" applyNumberFormat="1" applyFont="1" applyFill="1" applyBorder="1" applyAlignment="1">
      <alignment horizontal="center" vertical="center"/>
    </xf>
    <xf numFmtId="166" fontId="23" fillId="4" borderId="0" xfId="0" applyNumberFormat="1" applyFont="1" applyFill="1" applyBorder="1"/>
    <xf numFmtId="10" fontId="20" fillId="4" borderId="0" xfId="0" applyNumberFormat="1" applyFont="1" applyFill="1" applyBorder="1"/>
    <xf numFmtId="10" fontId="20" fillId="4" borderId="0" xfId="4" applyNumberFormat="1" applyFont="1" applyFill="1" applyBorder="1"/>
    <xf numFmtId="164" fontId="23" fillId="4" borderId="0" xfId="0" applyNumberFormat="1" applyFont="1" applyFill="1" applyBorder="1"/>
    <xf numFmtId="3" fontId="23" fillId="4" borderId="0" xfId="0" applyNumberFormat="1" applyFont="1" applyFill="1" applyBorder="1"/>
    <xf numFmtId="165" fontId="26" fillId="0" borderId="0" xfId="0" applyNumberFormat="1" applyFont="1" applyFill="1" applyAlignment="1">
      <alignment horizontal="left" vertical="center"/>
    </xf>
    <xf numFmtId="3" fontId="20" fillId="6" borderId="0" xfId="1" applyNumberFormat="1" applyFont="1" applyFill="1" applyBorder="1" applyAlignment="1" applyProtection="1">
      <alignment horizontal="center" vertical="center"/>
    </xf>
    <xf numFmtId="3" fontId="23" fillId="4" borderId="0" xfId="0" applyNumberFormat="1" applyFont="1" applyFill="1" applyBorder="1" applyAlignment="1">
      <alignment horizontal="center"/>
    </xf>
    <xf numFmtId="164" fontId="20" fillId="0" borderId="0" xfId="4" applyNumberFormat="1" applyFont="1" applyBorder="1"/>
    <xf numFmtId="164" fontId="20" fillId="0" borderId="0" xfId="0" applyNumberFormat="1" applyFont="1" applyBorder="1"/>
    <xf numFmtId="1" fontId="20" fillId="0" borderId="0" xfId="0" applyNumberFormat="1" applyFont="1" applyBorder="1"/>
    <xf numFmtId="0" fontId="23" fillId="4" borderId="0" xfId="0" applyFont="1" applyFill="1" applyBorder="1"/>
    <xf numFmtId="168" fontId="23" fillId="4" borderId="0" xfId="0" applyNumberFormat="1" applyFont="1" applyFill="1" applyBorder="1"/>
    <xf numFmtId="10" fontId="20" fillId="2" borderId="0" xfId="4" applyNumberFormat="1" applyFont="1" applyFill="1"/>
    <xf numFmtId="0" fontId="4" fillId="0" borderId="0" xfId="6" applyFont="1" applyFill="1"/>
    <xf numFmtId="0" fontId="4" fillId="0" borderId="0" xfId="6" applyFont="1"/>
    <xf numFmtId="0" fontId="15" fillId="0" borderId="0" xfId="0" applyFont="1" applyAlignment="1">
      <alignment horizontal="right"/>
    </xf>
    <xf numFmtId="167" fontId="15" fillId="2" borderId="0" xfId="0" applyNumberFormat="1" applyFont="1" applyFill="1"/>
    <xf numFmtId="0" fontId="21" fillId="0" borderId="0" xfId="0" applyFont="1" applyAlignment="1">
      <alignment horizontal="right"/>
    </xf>
    <xf numFmtId="49" fontId="27" fillId="0" borderId="0" xfId="0" applyNumberFormat="1" applyFont="1"/>
    <xf numFmtId="49" fontId="15" fillId="0" borderId="0" xfId="0" applyNumberFormat="1" applyFont="1"/>
    <xf numFmtId="2" fontId="15" fillId="7" borderId="0" xfId="0" applyNumberFormat="1" applyFont="1" applyFill="1"/>
    <xf numFmtId="0" fontId="15" fillId="7" borderId="0" xfId="0" applyFont="1" applyFill="1"/>
    <xf numFmtId="0" fontId="27" fillId="0" borderId="0" xfId="0" applyFont="1"/>
    <xf numFmtId="2" fontId="15" fillId="4" borderId="0" xfId="0" applyNumberFormat="1" applyFont="1" applyFill="1"/>
    <xf numFmtId="49" fontId="28" fillId="0" borderId="0" xfId="0" applyNumberFormat="1" applyFont="1"/>
    <xf numFmtId="2" fontId="29" fillId="0" borderId="0" xfId="0" applyNumberFormat="1" applyFont="1"/>
    <xf numFmtId="2" fontId="15" fillId="0" borderId="0" xfId="0" applyNumberFormat="1" applyFont="1"/>
    <xf numFmtId="49" fontId="18" fillId="0" borderId="0" xfId="0" applyNumberFormat="1" applyFont="1"/>
    <xf numFmtId="169" fontId="15" fillId="0" borderId="0" xfId="4" applyNumberFormat="1" applyFont="1"/>
    <xf numFmtId="169" fontId="15" fillId="4" borderId="0" xfId="0" applyNumberFormat="1" applyFont="1" applyFill="1"/>
    <xf numFmtId="0" fontId="30" fillId="0" borderId="0" xfId="0" applyFont="1"/>
    <xf numFmtId="0" fontId="20" fillId="0" borderId="0" xfId="0" applyFont="1" applyFill="1" applyBorder="1"/>
    <xf numFmtId="10" fontId="20" fillId="0" borderId="0" xfId="0" applyNumberFormat="1" applyFont="1" applyFill="1" applyBorder="1"/>
    <xf numFmtId="10" fontId="20" fillId="0" borderId="0" xfId="4" applyNumberFormat="1" applyFont="1" applyFill="1" applyBorder="1"/>
    <xf numFmtId="166" fontId="23" fillId="0" borderId="0" xfId="0" applyNumberFormat="1" applyFont="1" applyFill="1" applyBorder="1"/>
    <xf numFmtId="164" fontId="23" fillId="0" borderId="0" xfId="0" applyNumberFormat="1" applyFont="1" applyFill="1" applyBorder="1"/>
    <xf numFmtId="168" fontId="23" fillId="0" borderId="0" xfId="0" applyNumberFormat="1" applyFont="1" applyFill="1" applyBorder="1"/>
    <xf numFmtId="3" fontId="23" fillId="0" borderId="0" xfId="0" applyNumberFormat="1" applyFont="1" applyFill="1" applyBorder="1"/>
    <xf numFmtId="170" fontId="20" fillId="0" borderId="0" xfId="7" applyNumberFormat="1" applyFont="1"/>
    <xf numFmtId="170" fontId="20" fillId="0" borderId="0" xfId="7" applyNumberFormat="1" applyFont="1" applyBorder="1"/>
    <xf numFmtId="0" fontId="32" fillId="0" borderId="0" xfId="3" applyFont="1" applyFill="1" applyAlignment="1">
      <alignment horizontal="left" vertical="top" wrapText="1"/>
    </xf>
    <xf numFmtId="3" fontId="33" fillId="0" borderId="0" xfId="3" applyNumberFormat="1" applyFont="1" applyFill="1"/>
    <xf numFmtId="0" fontId="33" fillId="0" borderId="0" xfId="3" applyFont="1" applyFill="1"/>
    <xf numFmtId="9" fontId="20" fillId="0" borderId="0" xfId="0" applyNumberFormat="1" applyFont="1" applyFill="1"/>
    <xf numFmtId="10" fontId="19" fillId="0" borderId="0" xfId="0" applyNumberFormat="1" applyFont="1" applyFill="1" applyBorder="1" applyAlignment="1">
      <alignment horizontal="right" vertical="center"/>
    </xf>
    <xf numFmtId="10" fontId="23" fillId="0" borderId="0" xfId="4" applyNumberFormat="1" applyFont="1" applyFill="1" applyAlignment="1">
      <alignment horizontal="right"/>
    </xf>
    <xf numFmtId="3" fontId="20" fillId="0" borderId="0" xfId="0" applyNumberFormat="1" applyFont="1"/>
    <xf numFmtId="3" fontId="0" fillId="0" borderId="0" xfId="0" applyNumberFormat="1"/>
  </cellXfs>
  <cellStyles count="8">
    <cellStyle name="Assumptions Right Number" xfId="1"/>
    <cellStyle name="Currency" xfId="7" builtinId="4"/>
    <cellStyle name="Hyperlink" xfId="5" builtinId="8"/>
    <cellStyle name="Normal" xfId="0" builtinId="0"/>
    <cellStyle name="Normal 2" xfId="2"/>
    <cellStyle name="Normal 3" xfId="3"/>
    <cellStyle name="Normal 3 2" xfId="6"/>
    <cellStyle name="Percent" xfId="4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ER\EBTRIN\00AER\00AER%20consolidated%20master%20shee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ER\EBTRIN\00AER\DNSP%20opex%20capital%20constant%20price%20inde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ER\NSWACT%20electricity%20DX%20resets%202014-19\Base%20opex\Opex%20benchmarking%20results\Economic%20Insights%20DNSP%20Opex%20Efficiency%20Scores%2016Oct201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wu\AppData\Local\Microsoft\Windows\Temporary%20Internet%20Files\Content.Outlook\2ITEDFV7\AER%20opex%20model%20Energex%20DD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Opex%20modelling/Opex%20proposal%20decompositions/Qld%20SA%202015/Opex%20decomposition%20-%20Energex%20-%20From%20info%20request%20response%20v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Old%20versions/AER%20opex%20model%20Energex%20DD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Old%20versions/AER%20opex%20model%20Ergon%20Energy%20D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  <sheetName val="Second phase checking"/>
      <sheetName val="Macro"/>
      <sheetName val="2014 data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D10">
            <v>38584.391609999999</v>
          </cell>
          <cell r="AN10">
            <v>189286.78651596923</v>
          </cell>
          <cell r="AO10">
            <v>229999.82498122202</v>
          </cell>
          <cell r="AP10">
            <v>249220.28103108739</v>
          </cell>
          <cell r="AQ10">
            <v>269392.65437999991</v>
          </cell>
          <cell r="AR10">
            <v>278759.46134999994</v>
          </cell>
          <cell r="AS10">
            <v>337027.73702</v>
          </cell>
          <cell r="AT10">
            <v>424858.66492000007</v>
          </cell>
          <cell r="AU10">
            <v>554977.9989499998</v>
          </cell>
          <cell r="AW10">
            <v>259957.891</v>
          </cell>
          <cell r="AX10">
            <v>248688.704</v>
          </cell>
          <cell r="AY10">
            <v>279032.07</v>
          </cell>
          <cell r="AZ10">
            <v>281407.71199999994</v>
          </cell>
          <cell r="BA10">
            <v>286622.94600000005</v>
          </cell>
          <cell r="BB10">
            <v>369498.38999999996</v>
          </cell>
          <cell r="BC10">
            <v>418463.48300000012</v>
          </cell>
          <cell r="BD10">
            <v>403134.28600000002</v>
          </cell>
        </row>
      </sheetData>
      <sheetData sheetId="10"/>
      <sheetData sheetId="11"/>
      <sheetData sheetId="12">
        <row r="47">
          <cell r="D47">
            <v>154510</v>
          </cell>
          <cell r="K47">
            <v>177255</v>
          </cell>
          <cell r="AC47">
            <v>322735.81579787645</v>
          </cell>
          <cell r="AL47">
            <v>919384.82389900391</v>
          </cell>
          <cell r="AN47">
            <v>1212063.5623809525</v>
          </cell>
          <cell r="AO47">
            <v>1236100.9766666668</v>
          </cell>
          <cell r="AP47">
            <v>1263762.9433333334</v>
          </cell>
          <cell r="AQ47">
            <v>1287435.6833333333</v>
          </cell>
          <cell r="AR47">
            <v>1307554.3333333333</v>
          </cell>
          <cell r="AS47">
            <v>1326563.5</v>
          </cell>
          <cell r="AT47">
            <v>1343864.5</v>
          </cell>
          <cell r="AU47">
            <v>1359711.5</v>
          </cell>
          <cell r="AW47">
            <v>624130</v>
          </cell>
          <cell r="AX47">
            <v>635123</v>
          </cell>
          <cell r="AY47">
            <v>647729</v>
          </cell>
          <cell r="AZ47">
            <v>663216</v>
          </cell>
          <cell r="BA47">
            <v>676960</v>
          </cell>
          <cell r="BB47">
            <v>688959</v>
          </cell>
          <cell r="BC47">
            <v>699264</v>
          </cell>
          <cell r="BD47">
            <v>710431</v>
          </cell>
          <cell r="BM47">
            <v>844244</v>
          </cell>
          <cell r="BV47">
            <v>318830</v>
          </cell>
          <cell r="CE47">
            <v>753913.41676783864</v>
          </cell>
          <cell r="CN47">
            <v>847766</v>
          </cell>
          <cell r="CW47">
            <v>681299.00000000012</v>
          </cell>
          <cell r="DF47">
            <v>279868</v>
          </cell>
          <cell r="DO47">
            <v>656516</v>
          </cell>
        </row>
        <row r="54">
          <cell r="T54">
            <v>1635052.5</v>
          </cell>
        </row>
        <row r="71">
          <cell r="AN71">
            <v>4225.3853993415833</v>
          </cell>
          <cell r="AO71">
            <v>4618</v>
          </cell>
          <cell r="AP71">
            <v>4796.7614080429075</v>
          </cell>
          <cell r="AQ71">
            <v>5027.5095144271854</v>
          </cell>
          <cell r="AR71">
            <v>5297.7098321914673</v>
          </cell>
          <cell r="AS71">
            <v>5048.767879486084</v>
          </cell>
          <cell r="AT71">
            <v>4633.7388401031494</v>
          </cell>
          <cell r="AU71">
            <v>4685.886848449707</v>
          </cell>
          <cell r="AW71">
            <v>2804.212</v>
          </cell>
          <cell r="AX71">
            <v>2851.5990000000002</v>
          </cell>
          <cell r="AY71">
            <v>3078.596</v>
          </cell>
          <cell r="AZ71">
            <v>3040.864</v>
          </cell>
          <cell r="BA71">
            <v>3238.0459999999998</v>
          </cell>
          <cell r="BB71">
            <v>3057.3649999999998</v>
          </cell>
          <cell r="BC71">
            <v>3212.5889999999999</v>
          </cell>
          <cell r="BD71">
            <v>3149.4879999999998</v>
          </cell>
        </row>
      </sheetData>
      <sheetData sheetId="13">
        <row r="19">
          <cell r="D19">
            <v>2421.0666666666693</v>
          </cell>
          <cell r="AN19">
            <v>34457</v>
          </cell>
          <cell r="AO19">
            <v>34623</v>
          </cell>
          <cell r="AP19">
            <v>34659</v>
          </cell>
          <cell r="AQ19">
            <v>34731</v>
          </cell>
          <cell r="AR19">
            <v>34780</v>
          </cell>
          <cell r="AS19">
            <v>34900</v>
          </cell>
          <cell r="AT19">
            <v>34992</v>
          </cell>
          <cell r="AU19">
            <v>35033</v>
          </cell>
          <cell r="AW19">
            <v>151615.86199999999</v>
          </cell>
          <cell r="AX19">
            <v>152936.94200000001</v>
          </cell>
          <cell r="AY19">
            <v>152635.677</v>
          </cell>
          <cell r="AZ19">
            <v>152695.42199999999</v>
          </cell>
          <cell r="BA19">
            <v>152969.21599999999</v>
          </cell>
          <cell r="BB19">
            <v>152659.837</v>
          </cell>
          <cell r="BC19">
            <v>153324.30600000001</v>
          </cell>
          <cell r="BD19">
            <v>151930.478</v>
          </cell>
        </row>
        <row r="34">
          <cell r="AJ34">
            <v>10761</v>
          </cell>
          <cell r="AK34">
            <v>11151</v>
          </cell>
          <cell r="AL34">
            <v>11617</v>
          </cell>
          <cell r="AM34">
            <v>12104.67</v>
          </cell>
          <cell r="AN34">
            <v>12201</v>
          </cell>
          <cell r="AO34">
            <v>13022</v>
          </cell>
          <cell r="AP34">
            <v>13827</v>
          </cell>
          <cell r="AQ34">
            <v>14696</v>
          </cell>
          <cell r="AR34">
            <v>15337</v>
          </cell>
          <cell r="AS34">
            <v>15871</v>
          </cell>
          <cell r="AT34">
            <v>16350</v>
          </cell>
          <cell r="AU34">
            <v>16748</v>
          </cell>
          <cell r="AW34">
            <v>3957.51</v>
          </cell>
          <cell r="AX34">
            <v>4482.4459999999999</v>
          </cell>
          <cell r="AY34">
            <v>5292.8770000000004</v>
          </cell>
          <cell r="AZ34">
            <v>6346.0159999999996</v>
          </cell>
          <cell r="BA34">
            <v>6894.8040000000001</v>
          </cell>
          <cell r="BB34">
            <v>7339.335</v>
          </cell>
          <cell r="BC34">
            <v>7724.8860000000004</v>
          </cell>
          <cell r="BD34">
            <v>8179.3249999999998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Data_Documentation"/>
      <sheetName val="RealCapitalStock"/>
      <sheetName val="OpexPriceIndex"/>
      <sheetName val="OpexPriceIndex_AWOTE"/>
      <sheetName val="DNSP opex capital constant pric"/>
    </sheetNames>
    <sheetDataSet>
      <sheetData sheetId="0"/>
      <sheetData sheetId="1"/>
      <sheetData sheetId="2">
        <row r="6">
          <cell r="AS6">
            <v>1</v>
          </cell>
        </row>
        <row r="7">
          <cell r="AS7">
            <v>1.0454920667118421</v>
          </cell>
        </row>
        <row r="8">
          <cell r="AS8">
            <v>1.0872685754040716</v>
          </cell>
        </row>
        <row r="9">
          <cell r="AS9">
            <v>1.1321182044122251</v>
          </cell>
        </row>
        <row r="10">
          <cell r="AS10">
            <v>1.1595757908082607</v>
          </cell>
        </row>
        <row r="11">
          <cell r="AS11">
            <v>1.2029164834408892</v>
          </cell>
        </row>
        <row r="12">
          <cell r="AS12">
            <v>1.2422205593852655</v>
          </cell>
        </row>
        <row r="13">
          <cell r="AS13">
            <v>1.2833501132995373</v>
          </cell>
        </row>
      </sheetData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Efficiency Estimates"/>
    </sheetNames>
    <sheetDataSet>
      <sheetData sheetId="0"/>
      <sheetData sheetId="1">
        <row r="43">
          <cell r="P43">
            <v>0.39852270000000001</v>
          </cell>
        </row>
        <row r="44">
          <cell r="P44">
            <v>0.44665319999999997</v>
          </cell>
        </row>
        <row r="45">
          <cell r="P45">
            <v>0.95049260000000002</v>
          </cell>
        </row>
        <row r="46">
          <cell r="P46">
            <v>0.59330159999999998</v>
          </cell>
        </row>
        <row r="47">
          <cell r="P47">
            <v>0.61800180000000005</v>
          </cell>
        </row>
        <row r="48">
          <cell r="P48">
            <v>0.4816415</v>
          </cell>
        </row>
        <row r="49">
          <cell r="P49">
            <v>0.54869849999999998</v>
          </cell>
        </row>
        <row r="50">
          <cell r="P50">
            <v>0.71820779999999995</v>
          </cell>
        </row>
        <row r="51">
          <cell r="P51">
            <v>0.94602019999999998</v>
          </cell>
        </row>
        <row r="52">
          <cell r="P52">
            <v>0.84367110000000001</v>
          </cell>
        </row>
        <row r="53">
          <cell r="P53">
            <v>0.76780820000000005</v>
          </cell>
        </row>
        <row r="54">
          <cell r="P54">
            <v>0.7334465</v>
          </cell>
        </row>
        <row r="55">
          <cell r="P55">
            <v>0.84272919999999996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|General"/>
      <sheetName val="Input|Inflation"/>
      <sheetName val="Input|Reported opex"/>
      <sheetName val="Input|Rate of change"/>
      <sheetName val="Input|Step changes"/>
      <sheetName val="Calc|Opex forecast"/>
      <sheetName val="Output|Models"/>
      <sheetName val="Output|Decision tables"/>
      <sheetName val="Output|Appendix"/>
      <sheetName val="Output|Decomposition"/>
      <sheetName val="Lookup|Tables"/>
      <sheetName val="Check|List"/>
    </sheetNames>
    <sheetDataSet>
      <sheetData sheetId="0" refreshError="1"/>
      <sheetData sheetId="1" refreshError="1"/>
      <sheetData sheetId="2" refreshError="1"/>
      <sheetData sheetId="3">
        <row r="32">
          <cell r="L32">
            <v>572.02559999999994</v>
          </cell>
        </row>
      </sheetData>
      <sheetData sheetId="4">
        <row r="32">
          <cell r="M32">
            <v>1.0632434553044767</v>
          </cell>
          <cell r="N32">
            <v>1.0352651495926488</v>
          </cell>
          <cell r="O32">
            <v>1.0099504938362078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omposition"/>
      <sheetName val="Total forecast summary"/>
      <sheetName val="BST forecast summary"/>
      <sheetName val="Non-BST forecast summary"/>
      <sheetName val="Allocation of overheads"/>
      <sheetName val="Base year expenditure"/>
      <sheetName val="Base year adjustments"/>
      <sheetName val="Significant items"/>
      <sheetName val="Step changes"/>
      <sheetName val="Efficiencies"/>
      <sheetName val="Labour cost breakdown"/>
      <sheetName val="Base year opex reconciliation"/>
      <sheetName val="Appendix BST 15-20"/>
    </sheetNames>
    <sheetDataSet>
      <sheetData sheetId="0"/>
      <sheetData sheetId="1"/>
      <sheetData sheetId="2"/>
      <sheetData sheetId="3"/>
      <sheetData sheetId="4"/>
      <sheetData sheetId="5"/>
      <sheetData sheetId="6">
        <row r="44">
          <cell r="B44">
            <v>-13.629138064999999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|General"/>
      <sheetName val="Input|Inflation"/>
      <sheetName val="Input|Reported opex"/>
      <sheetName val="Input|Rate of change"/>
      <sheetName val="Input|Step changes"/>
      <sheetName val="Calc|Opex forecast"/>
      <sheetName val="Output|Models"/>
      <sheetName val="Output|Decision tables"/>
      <sheetName val="Output|Appendix"/>
      <sheetName val="Output|Decomposition"/>
      <sheetName val="Lookup|Tables"/>
      <sheetName val="Check|List"/>
    </sheetNames>
    <sheetDataSet>
      <sheetData sheetId="0" refreshError="1"/>
      <sheetData sheetId="1" refreshError="1"/>
      <sheetData sheetId="2" refreshError="1"/>
      <sheetData sheetId="3" refreshError="1">
        <row r="32">
          <cell r="L32">
            <v>572.02559999999994</v>
          </cell>
        </row>
        <row r="33">
          <cell r="L33">
            <v>-4.4811000000000005</v>
          </cell>
        </row>
        <row r="34">
          <cell r="L34">
            <v>-167.08870000000002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|General"/>
      <sheetName val="Input|Inflation"/>
      <sheetName val="Input|Reported opex"/>
      <sheetName val="Input|Rate of change"/>
      <sheetName val="Input|Step changes"/>
      <sheetName val="Calc|Opex forecast"/>
      <sheetName val="Output|Models"/>
      <sheetName val="Output|Decision tables"/>
      <sheetName val="Output|Appendix"/>
      <sheetName val="Output|Decomposition"/>
      <sheetName val="Lookup|Tables"/>
      <sheetName val="Check|List"/>
    </sheetNames>
    <sheetDataSet>
      <sheetData sheetId="0" refreshError="1"/>
      <sheetData sheetId="1" refreshError="1"/>
      <sheetData sheetId="2" refreshError="1"/>
      <sheetData sheetId="3" refreshError="1">
        <row r="32">
          <cell r="L32">
            <v>422.137</v>
          </cell>
        </row>
        <row r="33">
          <cell r="L33">
            <v>-5.194</v>
          </cell>
        </row>
        <row r="34">
          <cell r="L34">
            <v>-75.867000000000004</v>
          </cell>
        </row>
        <row r="53">
          <cell r="L53">
            <v>-20.246826752255458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A2" sqref="A2"/>
    </sheetView>
  </sheetViews>
  <sheetFormatPr defaultRowHeight="15" x14ac:dyDescent="0.25"/>
  <cols>
    <col min="1" max="1" width="20.5703125" style="10" customWidth="1"/>
    <col min="2" max="9" width="9.140625" style="10"/>
  </cols>
  <sheetData>
    <row r="1" spans="1:14" x14ac:dyDescent="0.25">
      <c r="A1" s="22" t="s">
        <v>86</v>
      </c>
    </row>
    <row r="2" spans="1:14" x14ac:dyDescent="0.25">
      <c r="A2" s="27" t="s">
        <v>163</v>
      </c>
    </row>
    <row r="4" spans="1:14" x14ac:dyDescent="0.25">
      <c r="A4" s="23" t="s">
        <v>87</v>
      </c>
    </row>
    <row r="5" spans="1:14" x14ac:dyDescent="0.25">
      <c r="A5" s="10" t="s">
        <v>164</v>
      </c>
    </row>
    <row r="6" spans="1:14" x14ac:dyDescent="0.25">
      <c r="A6" s="10" t="s">
        <v>118</v>
      </c>
    </row>
    <row r="7" spans="1:14" x14ac:dyDescent="0.25">
      <c r="A7" s="10" t="s">
        <v>119</v>
      </c>
    </row>
    <row r="9" spans="1:14" x14ac:dyDescent="0.25">
      <c r="A9" s="23" t="s">
        <v>88</v>
      </c>
    </row>
    <row r="10" spans="1:14" x14ac:dyDescent="0.25">
      <c r="A10" s="10" t="s">
        <v>89</v>
      </c>
      <c r="B10" s="24" t="s">
        <v>92</v>
      </c>
    </row>
    <row r="11" spans="1:14" x14ac:dyDescent="0.25">
      <c r="A11" s="10" t="s">
        <v>90</v>
      </c>
      <c r="B11" s="25" t="s">
        <v>93</v>
      </c>
    </row>
    <row r="12" spans="1:14" x14ac:dyDescent="0.25">
      <c r="A12" s="10" t="s">
        <v>91</v>
      </c>
      <c r="B12" s="26" t="s">
        <v>94</v>
      </c>
    </row>
    <row r="14" spans="1:14" x14ac:dyDescent="0.25">
      <c r="A14" s="22" t="s">
        <v>95</v>
      </c>
      <c r="N14" s="28" t="s">
        <v>100</v>
      </c>
    </row>
    <row r="15" spans="1:14" x14ac:dyDescent="0.25">
      <c r="A15" s="10" t="s">
        <v>99</v>
      </c>
      <c r="N15" s="29" t="s">
        <v>101</v>
      </c>
    </row>
    <row r="16" spans="1:14" x14ac:dyDescent="0.25">
      <c r="A16" s="10" t="s">
        <v>165</v>
      </c>
    </row>
    <row r="18" spans="1:14" x14ac:dyDescent="0.25">
      <c r="A18" s="22" t="s">
        <v>106</v>
      </c>
    </row>
    <row r="19" spans="1:14" x14ac:dyDescent="0.25">
      <c r="A19" s="10" t="s">
        <v>114</v>
      </c>
      <c r="N19" s="29" t="s">
        <v>102</v>
      </c>
    </row>
    <row r="20" spans="1:14" x14ac:dyDescent="0.25">
      <c r="A20" s="10" t="s">
        <v>97</v>
      </c>
    </row>
    <row r="22" spans="1:14" x14ac:dyDescent="0.25">
      <c r="A22" s="22" t="s">
        <v>96</v>
      </c>
    </row>
    <row r="23" spans="1:14" x14ac:dyDescent="0.25">
      <c r="A23" s="10" t="s">
        <v>115</v>
      </c>
      <c r="N23" s="30" t="s">
        <v>83</v>
      </c>
    </row>
    <row r="24" spans="1:14" x14ac:dyDescent="0.25">
      <c r="A24" s="10" t="s">
        <v>98</v>
      </c>
    </row>
    <row r="26" spans="1:14" x14ac:dyDescent="0.25">
      <c r="A26" s="10" t="s">
        <v>116</v>
      </c>
      <c r="N26" s="30" t="s">
        <v>103</v>
      </c>
    </row>
    <row r="27" spans="1:14" x14ac:dyDescent="0.25">
      <c r="A27" s="10" t="s">
        <v>117</v>
      </c>
    </row>
    <row r="29" spans="1:14" x14ac:dyDescent="0.25">
      <c r="A29" s="10" t="s">
        <v>168</v>
      </c>
      <c r="N29" s="30" t="s">
        <v>166</v>
      </c>
    </row>
    <row r="30" spans="1:14" x14ac:dyDescent="0.25">
      <c r="A30" s="10" t="s">
        <v>167</v>
      </c>
    </row>
    <row r="31" spans="1:14" x14ac:dyDescent="0.25">
      <c r="A31" s="10" t="s">
        <v>169</v>
      </c>
    </row>
  </sheetData>
  <hyperlinks>
    <hyperlink ref="N15" location="'Cost Drivers'!A1" display="Cost Drivers"/>
    <hyperlink ref="N19" location="'Opex Modelling Results'!A1" display="Opex Modelling Results"/>
    <hyperlink ref="N23" location="'Efficiency Target Option'!A1" display="Efficiency Target Option"/>
    <hyperlink ref="N26" location="'Opex Forecasts'!A1" display="Opex Forecasts"/>
    <hyperlink ref="N29" location="'Base Year Adjustment'!A1" display="Base Year Adjustment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6"/>
  <sheetViews>
    <sheetView zoomScaleNormal="100" zoomScalePageLayoutView="150" workbookViewId="0">
      <pane xSplit="2" topLeftCell="C1" activePane="topRight" state="frozen"/>
      <selection activeCell="D41" sqref="D41"/>
      <selection pane="topRight" activeCell="Z1" sqref="Z1"/>
    </sheetView>
  </sheetViews>
  <sheetFormatPr defaultColWidth="8.7109375" defaultRowHeight="12.75" x14ac:dyDescent="0.2"/>
  <cols>
    <col min="1" max="1" width="31" customWidth="1"/>
    <col min="2" max="2" width="10.85546875" customWidth="1"/>
    <col min="4" max="4" width="9.5703125" customWidth="1"/>
    <col min="5" max="5" width="9.42578125" customWidth="1"/>
    <col min="6" max="7" width="9.7109375" customWidth="1"/>
    <col min="8" max="8" width="10.7109375" customWidth="1"/>
    <col min="9" max="9" width="10" customWidth="1"/>
    <col min="10" max="10" width="11" customWidth="1"/>
    <col min="11" max="12" width="16.5703125" customWidth="1"/>
    <col min="13" max="13" width="5.7109375" customWidth="1"/>
    <col min="14" max="14" width="17.85546875" customWidth="1"/>
    <col min="15" max="22" width="12.7109375" customWidth="1"/>
  </cols>
  <sheetData>
    <row r="1" spans="1:22" s="51" customFormat="1" ht="15" x14ac:dyDescent="0.25">
      <c r="A1" s="50" t="s">
        <v>171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</row>
    <row r="2" spans="1:22" s="52" customFormat="1" ht="15" x14ac:dyDescent="0.25">
      <c r="D2" s="81" t="s">
        <v>33</v>
      </c>
      <c r="E2" s="81" t="s">
        <v>33</v>
      </c>
      <c r="F2" s="81" t="s">
        <v>33</v>
      </c>
      <c r="G2" s="81" t="s">
        <v>33</v>
      </c>
      <c r="H2" s="81" t="s">
        <v>33</v>
      </c>
      <c r="I2" s="81" t="s">
        <v>33</v>
      </c>
      <c r="J2" s="81" t="s">
        <v>33</v>
      </c>
      <c r="K2" s="81" t="s">
        <v>33</v>
      </c>
      <c r="L2" s="81"/>
      <c r="M2" s="81"/>
      <c r="N2" s="81" t="s">
        <v>34</v>
      </c>
      <c r="O2" s="81" t="s">
        <v>34</v>
      </c>
      <c r="P2" s="81" t="s">
        <v>34</v>
      </c>
      <c r="Q2" s="81" t="s">
        <v>34</v>
      </c>
      <c r="R2" s="81" t="s">
        <v>34</v>
      </c>
      <c r="S2" s="81" t="s">
        <v>34</v>
      </c>
      <c r="T2" s="81" t="s">
        <v>34</v>
      </c>
      <c r="U2" s="81" t="s">
        <v>34</v>
      </c>
      <c r="V2" s="81"/>
    </row>
    <row r="3" spans="1:22" s="51" customFormat="1" ht="15" x14ac:dyDescent="0.25">
      <c r="A3" s="82" t="s">
        <v>107</v>
      </c>
      <c r="B3" s="83" t="s">
        <v>9</v>
      </c>
      <c r="C3" s="83"/>
      <c r="D3" s="84" t="s">
        <v>35</v>
      </c>
      <c r="E3" s="84" t="s">
        <v>36</v>
      </c>
      <c r="F3" s="84" t="s">
        <v>37</v>
      </c>
      <c r="G3" s="84" t="s">
        <v>38</v>
      </c>
      <c r="H3" s="84" t="s">
        <v>39</v>
      </c>
      <c r="I3" s="84" t="s">
        <v>40</v>
      </c>
      <c r="J3" s="84" t="s">
        <v>41</v>
      </c>
      <c r="K3" s="84" t="s">
        <v>14</v>
      </c>
      <c r="L3" s="84"/>
      <c r="M3" s="84"/>
      <c r="N3" s="84" t="s">
        <v>35</v>
      </c>
      <c r="O3" s="84" t="s">
        <v>36</v>
      </c>
      <c r="P3" s="84" t="s">
        <v>37</v>
      </c>
      <c r="Q3" s="84" t="s">
        <v>38</v>
      </c>
      <c r="R3" s="84" t="s">
        <v>39</v>
      </c>
      <c r="S3" s="84" t="s">
        <v>40</v>
      </c>
      <c r="T3" s="84" t="s">
        <v>41</v>
      </c>
      <c r="U3" s="84" t="s">
        <v>14</v>
      </c>
      <c r="V3" s="84"/>
    </row>
    <row r="4" spans="1:22" s="51" customFormat="1" ht="15" x14ac:dyDescent="0.25">
      <c r="A4" s="53" t="s">
        <v>10</v>
      </c>
      <c r="B4" s="85" t="s">
        <v>11</v>
      </c>
      <c r="C4" s="85"/>
      <c r="D4" s="93">
        <f>'[1]SD 5. Operational data'!AN$47</f>
        <v>1212063.5623809525</v>
      </c>
      <c r="E4" s="93">
        <f>'[1]SD 5. Operational data'!AO$47</f>
        <v>1236100.9766666668</v>
      </c>
      <c r="F4" s="93">
        <f>'[1]SD 5. Operational data'!AP$47</f>
        <v>1263762.9433333334</v>
      </c>
      <c r="G4" s="93">
        <f>'[1]SD 5. Operational data'!AQ$47</f>
        <v>1287435.6833333333</v>
      </c>
      <c r="H4" s="93">
        <f>'[1]SD 5. Operational data'!AR$47</f>
        <v>1307554.3333333333</v>
      </c>
      <c r="I4" s="93">
        <f>'[1]SD 5. Operational data'!AS$47</f>
        <v>1326563.5</v>
      </c>
      <c r="J4" s="93">
        <f>'[1]SD 5. Operational data'!AT$47</f>
        <v>1343864.5</v>
      </c>
      <c r="K4" s="93">
        <f>'[1]SD 5. Operational data'!AU$47</f>
        <v>1359711.5</v>
      </c>
      <c r="L4" s="93"/>
      <c r="M4" s="86"/>
      <c r="N4" s="93">
        <f>'[1]SD 5. Operational data'!AW$47</f>
        <v>624130</v>
      </c>
      <c r="O4" s="93">
        <f>'[1]SD 5. Operational data'!AX$47</f>
        <v>635123</v>
      </c>
      <c r="P4" s="93">
        <f>'[1]SD 5. Operational data'!AY$47</f>
        <v>647729</v>
      </c>
      <c r="Q4" s="93">
        <f>'[1]SD 5. Operational data'!AZ$47</f>
        <v>663216</v>
      </c>
      <c r="R4" s="93">
        <f>'[1]SD 5. Operational data'!BA$47</f>
        <v>676960</v>
      </c>
      <c r="S4" s="93">
        <f>'[1]SD 5. Operational data'!BB$47</f>
        <v>688959</v>
      </c>
      <c r="T4" s="93">
        <f>'[1]SD 5. Operational data'!BC$47</f>
        <v>699264</v>
      </c>
      <c r="U4" s="93">
        <f>'[1]SD 5. Operational data'!BD$47</f>
        <v>710431</v>
      </c>
      <c r="V4" s="93"/>
    </row>
    <row r="5" spans="1:22" s="51" customFormat="1" ht="15" x14ac:dyDescent="0.25">
      <c r="A5" s="53" t="s">
        <v>15</v>
      </c>
      <c r="B5" s="85" t="s">
        <v>12</v>
      </c>
      <c r="C5" s="85"/>
      <c r="D5" s="106">
        <f>'[1]SD 6.Physical assets'!AN$19+'[1]SD 6.Physical assets'!AN$34</f>
        <v>46658</v>
      </c>
      <c r="E5" s="106">
        <f>'[1]SD 6.Physical assets'!AO$19+'[1]SD 6.Physical assets'!AO$34</f>
        <v>47645</v>
      </c>
      <c r="F5" s="106">
        <f>'[1]SD 6.Physical assets'!AP$19+'[1]SD 6.Physical assets'!AP$34</f>
        <v>48486</v>
      </c>
      <c r="G5" s="106">
        <f>'[1]SD 6.Physical assets'!AQ$19+'[1]SD 6.Physical assets'!AQ$34</f>
        <v>49427</v>
      </c>
      <c r="H5" s="106">
        <f>'[1]SD 6.Physical assets'!AR$19+'[1]SD 6.Physical assets'!AR$34</f>
        <v>50117</v>
      </c>
      <c r="I5" s="106">
        <f>'[1]SD 6.Physical assets'!AS$19+'[1]SD 6.Physical assets'!AS$34</f>
        <v>50771</v>
      </c>
      <c r="J5" s="106">
        <f>'[1]SD 6.Physical assets'!AT$19+'[1]SD 6.Physical assets'!AT$34</f>
        <v>51342</v>
      </c>
      <c r="K5" s="106">
        <f>'[1]SD 6.Physical assets'!AU$19+'[1]SD 6.Physical assets'!AU$34</f>
        <v>51781</v>
      </c>
      <c r="L5" s="106"/>
      <c r="M5" s="86"/>
      <c r="N5" s="106">
        <f>'[1]SD 6.Physical assets'!AW19</f>
        <v>151615.86199999999</v>
      </c>
      <c r="O5" s="106">
        <f>'[1]SD 6.Physical assets'!AX19</f>
        <v>152936.94200000001</v>
      </c>
      <c r="P5" s="106">
        <f>'[1]SD 6.Physical assets'!AY19</f>
        <v>152635.677</v>
      </c>
      <c r="Q5" s="106">
        <f>'[1]SD 6.Physical assets'!AZ19</f>
        <v>152695.42199999999</v>
      </c>
      <c r="R5" s="106">
        <f>'[1]SD 6.Physical assets'!BA19</f>
        <v>152969.21599999999</v>
      </c>
      <c r="S5" s="106">
        <f>'[1]SD 6.Physical assets'!BB19</f>
        <v>152659.837</v>
      </c>
      <c r="T5" s="106">
        <f>'[1]SD 6.Physical assets'!BC19</f>
        <v>153324.30600000001</v>
      </c>
      <c r="U5" s="106">
        <f>'[1]SD 6.Physical assets'!BD19</f>
        <v>151930.478</v>
      </c>
      <c r="V5" s="106"/>
    </row>
    <row r="6" spans="1:22" s="51" customFormat="1" ht="15" x14ac:dyDescent="0.25">
      <c r="A6" s="53" t="s">
        <v>16</v>
      </c>
      <c r="B6" s="85" t="s">
        <v>18</v>
      </c>
      <c r="C6" s="85"/>
      <c r="D6" s="106">
        <f>'[1]SD 5. Operational data'!AN$71</f>
        <v>4225.3853993415833</v>
      </c>
      <c r="E6" s="106">
        <f>'[1]SD 5. Operational data'!AO$71</f>
        <v>4618</v>
      </c>
      <c r="F6" s="106">
        <f>'[1]SD 5. Operational data'!AP$71</f>
        <v>4796.7614080429075</v>
      </c>
      <c r="G6" s="106">
        <f>'[1]SD 5. Operational data'!AQ$71</f>
        <v>5027.5095144271854</v>
      </c>
      <c r="H6" s="106">
        <f>'[1]SD 5. Operational data'!AR$71</f>
        <v>5297.7098321914673</v>
      </c>
      <c r="I6" s="106">
        <f>'[1]SD 5. Operational data'!AS$71</f>
        <v>5048.767879486084</v>
      </c>
      <c r="J6" s="106">
        <f>'[1]SD 5. Operational data'!AT$71</f>
        <v>4633.7388401031494</v>
      </c>
      <c r="K6" s="106">
        <f>'[1]SD 5. Operational data'!AU$71</f>
        <v>4685.886848449707</v>
      </c>
      <c r="L6" s="106"/>
      <c r="M6" s="86"/>
      <c r="N6" s="106">
        <f>'[1]SD 5. Operational data'!AW$71</f>
        <v>2804.212</v>
      </c>
      <c r="O6" s="106">
        <f>'[1]SD 5. Operational data'!AX$71</f>
        <v>2851.5990000000002</v>
      </c>
      <c r="P6" s="106">
        <f>'[1]SD 5. Operational data'!AY$71</f>
        <v>3078.596</v>
      </c>
      <c r="Q6" s="106">
        <f>'[1]SD 5. Operational data'!AZ$71</f>
        <v>3040.864</v>
      </c>
      <c r="R6" s="106">
        <f>'[1]SD 5. Operational data'!BA$71</f>
        <v>3238.0459999999998</v>
      </c>
      <c r="S6" s="106">
        <f>'[1]SD 5. Operational data'!BB$71</f>
        <v>3057.3649999999998</v>
      </c>
      <c r="T6" s="106">
        <f>'[1]SD 5. Operational data'!BC$71</f>
        <v>3212.5889999999999</v>
      </c>
      <c r="U6" s="106">
        <f>'[1]SD 5. Operational data'!BD$71</f>
        <v>3149.4879999999998</v>
      </c>
      <c r="V6" s="106"/>
    </row>
    <row r="7" spans="1:22" s="51" customFormat="1" ht="15" x14ac:dyDescent="0.25">
      <c r="A7" s="53" t="s">
        <v>17</v>
      </c>
      <c r="B7" s="85" t="s">
        <v>18</v>
      </c>
      <c r="C7" s="85"/>
      <c r="D7" s="88">
        <f>MAX(D6)</f>
        <v>4225.3853993415833</v>
      </c>
      <c r="E7" s="88">
        <f>MAX(D7,E6)</f>
        <v>4618</v>
      </c>
      <c r="F7" s="88">
        <f t="shared" ref="F7:K7" si="0">MAX(E7,F6)</f>
        <v>4796.7614080429075</v>
      </c>
      <c r="G7" s="88">
        <f t="shared" si="0"/>
        <v>5027.5095144271854</v>
      </c>
      <c r="H7" s="88">
        <f t="shared" si="0"/>
        <v>5297.7098321914673</v>
      </c>
      <c r="I7" s="88">
        <f t="shared" si="0"/>
        <v>5297.7098321914673</v>
      </c>
      <c r="J7" s="88">
        <f t="shared" si="0"/>
        <v>5297.7098321914673</v>
      </c>
      <c r="K7" s="88">
        <f t="shared" si="0"/>
        <v>5297.7098321914673</v>
      </c>
      <c r="L7" s="88"/>
      <c r="M7" s="90"/>
      <c r="N7" s="88">
        <f>MAX(N6)</f>
        <v>2804.212</v>
      </c>
      <c r="O7" s="88">
        <f>MAX(N7,O6)</f>
        <v>2851.5990000000002</v>
      </c>
      <c r="P7" s="88">
        <f t="shared" ref="P7:U7" si="1">MAX(O7,P6)</f>
        <v>3078.596</v>
      </c>
      <c r="Q7" s="88">
        <f t="shared" si="1"/>
        <v>3078.596</v>
      </c>
      <c r="R7" s="88">
        <f t="shared" si="1"/>
        <v>3238.0459999999998</v>
      </c>
      <c r="S7" s="88">
        <f t="shared" si="1"/>
        <v>3238.0459999999998</v>
      </c>
      <c r="T7" s="88">
        <f t="shared" si="1"/>
        <v>3238.0459999999998</v>
      </c>
      <c r="U7" s="88">
        <f t="shared" si="1"/>
        <v>3238.0459999999998</v>
      </c>
      <c r="V7" s="88"/>
    </row>
    <row r="8" spans="1:22" s="51" customFormat="1" ht="15" x14ac:dyDescent="0.25">
      <c r="A8" s="53" t="s">
        <v>19</v>
      </c>
      <c r="B8" s="85" t="s">
        <v>12</v>
      </c>
      <c r="C8" s="85"/>
      <c r="D8" s="106">
        <f>'[1]SD 6.Physical assets'!AJ$34</f>
        <v>10761</v>
      </c>
      <c r="E8" s="106">
        <f>'[1]SD 6.Physical assets'!AK$34</f>
        <v>11151</v>
      </c>
      <c r="F8" s="106">
        <f>'[1]SD 6.Physical assets'!AL$34</f>
        <v>11617</v>
      </c>
      <c r="G8" s="106">
        <f>'[1]SD 6.Physical assets'!AM$34</f>
        <v>12104.67</v>
      </c>
      <c r="H8" s="106">
        <f>'[1]SD 6.Physical assets'!AN$34</f>
        <v>12201</v>
      </c>
      <c r="I8" s="106">
        <f>'[1]SD 6.Physical assets'!AO$34</f>
        <v>13022</v>
      </c>
      <c r="J8" s="106">
        <f>'[1]SD 6.Physical assets'!AP$34</f>
        <v>13827</v>
      </c>
      <c r="K8" s="106">
        <f>'[1]SD 6.Physical assets'!AQ$34</f>
        <v>14696</v>
      </c>
      <c r="L8" s="106"/>
      <c r="M8" s="86"/>
      <c r="N8" s="106">
        <f>'[1]SD 6.Physical assets'!AW$34</f>
        <v>3957.51</v>
      </c>
      <c r="O8" s="106">
        <f>'[1]SD 6.Physical assets'!AX$34</f>
        <v>4482.4459999999999</v>
      </c>
      <c r="P8" s="106">
        <f>'[1]SD 6.Physical assets'!AY$34</f>
        <v>5292.8770000000004</v>
      </c>
      <c r="Q8" s="106">
        <f>'[1]SD 6.Physical assets'!AZ$34</f>
        <v>6346.0159999999996</v>
      </c>
      <c r="R8" s="106">
        <f>'[1]SD 6.Physical assets'!BA$34</f>
        <v>6894.8040000000001</v>
      </c>
      <c r="S8" s="106">
        <f>'[1]SD 6.Physical assets'!BB$34</f>
        <v>7339.335</v>
      </c>
      <c r="T8" s="106">
        <f>'[1]SD 6.Physical assets'!BC$34</f>
        <v>7724.8860000000004</v>
      </c>
      <c r="U8" s="106">
        <f>'[1]SD 6.Physical assets'!BD$34</f>
        <v>8179.3249999999998</v>
      </c>
      <c r="V8" s="106"/>
    </row>
    <row r="9" spans="1:22" s="51" customFormat="1" ht="15" x14ac:dyDescent="0.25">
      <c r="A9" s="53" t="s">
        <v>20</v>
      </c>
      <c r="B9" s="85" t="s">
        <v>21</v>
      </c>
      <c r="C9" s="85"/>
      <c r="D9" s="92">
        <f t="shared" ref="D9:K9" si="2">D8/D5</f>
        <v>0.23063568948519012</v>
      </c>
      <c r="E9" s="92">
        <f t="shared" si="2"/>
        <v>0.23404344632175464</v>
      </c>
      <c r="F9" s="92">
        <f t="shared" si="2"/>
        <v>0.23959493462030276</v>
      </c>
      <c r="G9" s="92">
        <f t="shared" si="2"/>
        <v>0.24489995346672871</v>
      </c>
      <c r="H9" s="92">
        <f t="shared" si="2"/>
        <v>0.24345032623660634</v>
      </c>
      <c r="I9" s="92">
        <f t="shared" si="2"/>
        <v>0.25648500128025842</v>
      </c>
      <c r="J9" s="92">
        <f t="shared" si="2"/>
        <v>0.26931167465233141</v>
      </c>
      <c r="K9" s="92">
        <f t="shared" si="2"/>
        <v>0.28381066414321854</v>
      </c>
      <c r="L9" s="92"/>
      <c r="M9" s="91"/>
      <c r="N9" s="92">
        <f>N8/N5</f>
        <v>2.6102216138836454E-2</v>
      </c>
      <c r="O9" s="92">
        <f t="shared" ref="O9:U9" si="3">O8/O5</f>
        <v>2.930911224836704E-2</v>
      </c>
      <c r="P9" s="92">
        <f t="shared" si="3"/>
        <v>3.467653895884381E-2</v>
      </c>
      <c r="Q9" s="92">
        <f t="shared" si="3"/>
        <v>4.1559962419829455E-2</v>
      </c>
      <c r="R9" s="92">
        <f t="shared" si="3"/>
        <v>4.5073147266440856E-2</v>
      </c>
      <c r="S9" s="92">
        <f t="shared" si="3"/>
        <v>4.8076397461370275E-2</v>
      </c>
      <c r="T9" s="92">
        <f t="shared" si="3"/>
        <v>5.0382657528546058E-2</v>
      </c>
      <c r="U9" s="92">
        <f t="shared" si="3"/>
        <v>5.3835972266209807E-2</v>
      </c>
      <c r="V9" s="92"/>
    </row>
    <row r="10" spans="1:22" s="51" customFormat="1" ht="15" x14ac:dyDescent="0.25">
      <c r="A10" s="53" t="s">
        <v>45</v>
      </c>
      <c r="B10" s="85" t="s">
        <v>170</v>
      </c>
      <c r="C10" s="85"/>
      <c r="D10" s="93">
        <f>'[1]SD 3. Opex'!AN$10-B42</f>
        <v>189286.78651596923</v>
      </c>
      <c r="E10" s="93">
        <f>'[1]SD 3. Opex'!AO$10-C42</f>
        <v>229999.82498122202</v>
      </c>
      <c r="F10" s="93">
        <f>'[1]SD 3. Opex'!AP$10-D42</f>
        <v>249220.28103108739</v>
      </c>
      <c r="G10" s="93">
        <f>'[1]SD 3. Opex'!AQ$10-E42</f>
        <v>269392.65437999991</v>
      </c>
      <c r="H10" s="93">
        <f>'[1]SD 3. Opex'!AR$10-F42</f>
        <v>278759.46134999994</v>
      </c>
      <c r="I10" s="93">
        <f>'[1]SD 3. Opex'!AS$10-G42</f>
        <v>317627.73702</v>
      </c>
      <c r="J10" s="93">
        <f>'[1]SD 3. Opex'!AT$10-H42</f>
        <v>350958.66492000007</v>
      </c>
      <c r="K10" s="93">
        <f>'[1]SD 3. Opex'!AU$10-I42</f>
        <v>387877.9989499998</v>
      </c>
      <c r="L10" s="93"/>
      <c r="M10" s="87"/>
      <c r="N10" s="93">
        <f>'[1]SD 3. Opex'!AW$10-B43</f>
        <v>259957.891</v>
      </c>
      <c r="O10" s="93">
        <f>'[1]SD 3. Opex'!AX$10-C43</f>
        <v>248688.704</v>
      </c>
      <c r="P10" s="93">
        <f>'[1]SD 3. Opex'!AY$10-D43</f>
        <v>279032.07</v>
      </c>
      <c r="Q10" s="93">
        <f>'[1]SD 3. Opex'!AZ$10-E43</f>
        <v>281407.71199999994</v>
      </c>
      <c r="R10" s="93">
        <f>'[1]SD 3. Opex'!BA$10-F43</f>
        <v>286622.94600000005</v>
      </c>
      <c r="S10" s="93">
        <f>'[1]SD 3. Opex'!BB$10-G43</f>
        <v>363809.97099999996</v>
      </c>
      <c r="T10" s="93">
        <f>'[1]SD 3. Opex'!BC$10-H43</f>
        <v>390525.9200000001</v>
      </c>
      <c r="U10" s="93">
        <f>'[1]SD 3. Opex'!BD$10-I43</f>
        <v>327267.28600000002</v>
      </c>
      <c r="V10" s="93"/>
    </row>
    <row r="11" spans="1:22" s="51" customFormat="1" ht="15" x14ac:dyDescent="0.25">
      <c r="A11" s="53" t="s">
        <v>46</v>
      </c>
      <c r="B11" s="85" t="s">
        <v>108</v>
      </c>
      <c r="C11" s="85"/>
      <c r="D11" s="94">
        <f>[2]OpexPriceIndex!$AS$6</f>
        <v>1</v>
      </c>
      <c r="E11" s="94">
        <f>[2]OpexPriceIndex!$AS$7</f>
        <v>1.0454920667118421</v>
      </c>
      <c r="F11" s="94">
        <f>[2]OpexPriceIndex!$AS$8</f>
        <v>1.0872685754040716</v>
      </c>
      <c r="G11" s="94">
        <f>[2]OpexPriceIndex!$AS$9</f>
        <v>1.1321182044122251</v>
      </c>
      <c r="H11" s="94">
        <f>[2]OpexPriceIndex!$AS$10</f>
        <v>1.1595757908082607</v>
      </c>
      <c r="I11" s="94">
        <f>[2]OpexPriceIndex!$AS$11</f>
        <v>1.2029164834408892</v>
      </c>
      <c r="J11" s="94">
        <f>[2]OpexPriceIndex!$AS$12</f>
        <v>1.2422205593852655</v>
      </c>
      <c r="K11" s="94">
        <f>[2]OpexPriceIndex!$AS$13</f>
        <v>1.2833501132995373</v>
      </c>
      <c r="L11" s="94"/>
      <c r="M11" s="87"/>
      <c r="N11" s="95">
        <f t="shared" ref="N11:U11" si="4">D11</f>
        <v>1</v>
      </c>
      <c r="O11" s="95">
        <f t="shared" si="4"/>
        <v>1.0454920667118421</v>
      </c>
      <c r="P11" s="95">
        <f t="shared" si="4"/>
        <v>1.0872685754040716</v>
      </c>
      <c r="Q11" s="95">
        <f t="shared" si="4"/>
        <v>1.1321182044122251</v>
      </c>
      <c r="R11" s="95">
        <f t="shared" si="4"/>
        <v>1.1595757908082607</v>
      </c>
      <c r="S11" s="95">
        <f t="shared" si="4"/>
        <v>1.2029164834408892</v>
      </c>
      <c r="T11" s="95">
        <f t="shared" si="4"/>
        <v>1.2422205593852655</v>
      </c>
      <c r="U11" s="94">
        <f t="shared" si="4"/>
        <v>1.2833501132995373</v>
      </c>
      <c r="V11" s="94"/>
    </row>
    <row r="12" spans="1:22" s="51" customFormat="1" ht="15" x14ac:dyDescent="0.25">
      <c r="A12" s="53" t="s">
        <v>47</v>
      </c>
      <c r="B12" s="85" t="s">
        <v>48</v>
      </c>
      <c r="C12" s="85"/>
      <c r="D12" s="96"/>
      <c r="E12" s="97">
        <f t="shared" ref="E12:K12" si="5">E11/D11-1</f>
        <v>4.5492066711842138E-2</v>
      </c>
      <c r="F12" s="97">
        <f t="shared" si="5"/>
        <v>3.9958704635244091E-2</v>
      </c>
      <c r="G12" s="97">
        <f t="shared" si="5"/>
        <v>4.1249816303653875E-2</v>
      </c>
      <c r="H12" s="97">
        <f t="shared" si="5"/>
        <v>2.4253285822120496E-2</v>
      </c>
      <c r="I12" s="97">
        <f t="shared" si="5"/>
        <v>3.7376334497651653E-2</v>
      </c>
      <c r="J12" s="97">
        <f t="shared" si="5"/>
        <v>3.2673985671847205E-2</v>
      </c>
      <c r="K12" s="98">
        <f t="shared" si="5"/>
        <v>3.310970310668937E-2</v>
      </c>
      <c r="L12" s="98"/>
      <c r="M12" s="89"/>
      <c r="N12" s="96"/>
      <c r="O12" s="97">
        <f t="shared" ref="O12:U12" si="6">O11/N11-1</f>
        <v>4.5492066711842138E-2</v>
      </c>
      <c r="P12" s="97">
        <f t="shared" si="6"/>
        <v>3.9958704635244091E-2</v>
      </c>
      <c r="Q12" s="97">
        <f t="shared" si="6"/>
        <v>4.1249816303653875E-2</v>
      </c>
      <c r="R12" s="97">
        <f t="shared" si="6"/>
        <v>2.4253285822120496E-2</v>
      </c>
      <c r="S12" s="97">
        <f t="shared" si="6"/>
        <v>3.7376334497651653E-2</v>
      </c>
      <c r="T12" s="97">
        <f t="shared" si="6"/>
        <v>3.2673985671847205E-2</v>
      </c>
      <c r="U12" s="98">
        <f t="shared" si="6"/>
        <v>3.310970310668937E-2</v>
      </c>
      <c r="V12" s="98"/>
    </row>
    <row r="13" spans="1:22" s="51" customFormat="1" ht="15" x14ac:dyDescent="0.25">
      <c r="A13" s="53" t="s">
        <v>49</v>
      </c>
      <c r="B13" s="85" t="s">
        <v>172</v>
      </c>
      <c r="C13" s="85"/>
      <c r="D13" s="99">
        <f t="shared" ref="D13:K13" si="7">D10/D11*$K11</f>
        <v>242921.21892137444</v>
      </c>
      <c r="E13" s="99">
        <f t="shared" si="7"/>
        <v>282326.67740546295</v>
      </c>
      <c r="F13" s="99">
        <f t="shared" si="7"/>
        <v>294165.47404483258</v>
      </c>
      <c r="G13" s="99">
        <f t="shared" si="7"/>
        <v>305378.97206602211</v>
      </c>
      <c r="H13" s="99">
        <f t="shared" si="7"/>
        <v>308514.53535217413</v>
      </c>
      <c r="I13" s="99">
        <f t="shared" si="7"/>
        <v>338866.07915263739</v>
      </c>
      <c r="J13" s="99">
        <f t="shared" si="7"/>
        <v>362578.80211822141</v>
      </c>
      <c r="K13" s="107">
        <f t="shared" si="7"/>
        <v>387877.9989499998</v>
      </c>
      <c r="L13" s="107"/>
      <c r="M13" s="89"/>
      <c r="N13" s="99">
        <f t="shared" ref="N13:U13" si="8">N10/N11*$U11</f>
        <v>333616.98886795877</v>
      </c>
      <c r="O13" s="99">
        <f t="shared" si="8"/>
        <v>305267.43015705765</v>
      </c>
      <c r="P13" s="99">
        <f t="shared" si="8"/>
        <v>329353.61763363937</v>
      </c>
      <c r="Q13" s="99">
        <f t="shared" si="8"/>
        <v>318999.03885572014</v>
      </c>
      <c r="R13" s="99">
        <f t="shared" si="8"/>
        <v>317217.37650882907</v>
      </c>
      <c r="S13" s="99">
        <f t="shared" si="8"/>
        <v>388136.31197971222</v>
      </c>
      <c r="T13" s="99">
        <f t="shared" si="8"/>
        <v>403456.11726666684</v>
      </c>
      <c r="U13" s="99">
        <f t="shared" si="8"/>
        <v>327267.28600000002</v>
      </c>
      <c r="V13" s="99"/>
    </row>
    <row r="14" spans="1:22" s="51" customFormat="1" ht="15" x14ac:dyDescent="0.25">
      <c r="A14" s="53"/>
      <c r="B14" s="85"/>
      <c r="C14" s="85"/>
      <c r="D14" s="99"/>
      <c r="E14" s="99"/>
      <c r="F14" s="99"/>
      <c r="G14" s="99"/>
      <c r="H14" s="99"/>
      <c r="I14" s="99"/>
      <c r="J14" s="99"/>
      <c r="K14" s="99"/>
      <c r="L14" s="99"/>
      <c r="M14" s="89"/>
      <c r="N14" s="99"/>
      <c r="O14" s="99"/>
      <c r="P14" s="99"/>
      <c r="Q14" s="99"/>
      <c r="R14" s="99"/>
      <c r="S14" s="99"/>
      <c r="T14" s="99"/>
      <c r="U14" s="99"/>
      <c r="V14" s="99"/>
    </row>
    <row r="15" spans="1:22" s="51" customFormat="1" ht="15" x14ac:dyDescent="0.25">
      <c r="A15" s="53"/>
      <c r="B15" s="85"/>
      <c r="C15" s="85"/>
      <c r="D15" s="108"/>
      <c r="E15" s="108"/>
      <c r="F15" s="108"/>
      <c r="G15" s="108"/>
      <c r="H15" s="108"/>
      <c r="I15" s="108"/>
      <c r="J15" s="108"/>
      <c r="K15" s="108"/>
      <c r="L15" s="108"/>
      <c r="M15" s="80"/>
      <c r="N15" s="109"/>
      <c r="O15" s="109"/>
      <c r="P15" s="109"/>
      <c r="Q15" s="109"/>
      <c r="R15" s="109"/>
      <c r="S15" s="109"/>
      <c r="T15" s="109"/>
      <c r="U15" s="109"/>
      <c r="V15" s="109"/>
    </row>
    <row r="16" spans="1:22" s="51" customFormat="1" ht="15" x14ac:dyDescent="0.25">
      <c r="A16" s="53"/>
      <c r="B16" s="85"/>
      <c r="C16" s="85"/>
      <c r="D16" s="110"/>
      <c r="E16" s="110"/>
      <c r="F16" s="110"/>
      <c r="G16" s="110"/>
      <c r="H16" s="110"/>
      <c r="I16" s="110"/>
      <c r="J16" s="110"/>
      <c r="K16" s="110"/>
      <c r="L16" s="110"/>
      <c r="M16" s="80"/>
      <c r="N16" s="110"/>
      <c r="O16" s="110"/>
      <c r="P16" s="110"/>
      <c r="Q16" s="110"/>
      <c r="R16" s="110"/>
      <c r="S16" s="110"/>
      <c r="T16" s="110"/>
      <c r="U16" s="110"/>
      <c r="V16" s="110"/>
    </row>
    <row r="17" spans="1:35" s="51" customFormat="1" ht="15" x14ac:dyDescent="0.25"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</row>
    <row r="18" spans="1:35" s="51" customFormat="1" ht="15" x14ac:dyDescent="0.25">
      <c r="A18" s="82" t="s">
        <v>13</v>
      </c>
      <c r="D18" s="89"/>
      <c r="E18" s="89"/>
      <c r="F18" s="89"/>
      <c r="G18" s="89"/>
      <c r="H18" s="111" t="s">
        <v>51</v>
      </c>
      <c r="I18" s="89"/>
      <c r="J18" s="111" t="s">
        <v>50</v>
      </c>
      <c r="K18" s="111" t="s">
        <v>52</v>
      </c>
      <c r="L18" s="111"/>
      <c r="M18" s="89"/>
      <c r="N18" s="89"/>
      <c r="O18" s="89"/>
      <c r="P18" s="89"/>
      <c r="Q18" s="89"/>
      <c r="R18" s="111" t="s">
        <v>51</v>
      </c>
      <c r="S18" s="89"/>
      <c r="T18" s="111" t="s">
        <v>50</v>
      </c>
      <c r="U18" s="111" t="s">
        <v>52</v>
      </c>
      <c r="V18" s="111"/>
    </row>
    <row r="19" spans="1:35" s="51" customFormat="1" ht="15" x14ac:dyDescent="0.25">
      <c r="A19" s="53" t="s">
        <v>10</v>
      </c>
      <c r="D19" s="89"/>
      <c r="E19" s="89"/>
      <c r="F19" s="89"/>
      <c r="G19" s="89"/>
      <c r="H19" s="100">
        <f>AVERAGE(D4:K4)</f>
        <v>1292132.1248809523</v>
      </c>
      <c r="I19" s="89"/>
      <c r="J19" s="100">
        <f>K4</f>
        <v>1359711.5</v>
      </c>
      <c r="K19" s="101">
        <f>LN(K4/AVERAGE(D4:K4))</f>
        <v>5.0978880920202981E-2</v>
      </c>
      <c r="L19" s="101"/>
      <c r="M19" s="102"/>
      <c r="N19" s="89"/>
      <c r="O19" s="89"/>
      <c r="P19" s="89"/>
      <c r="Q19" s="89"/>
      <c r="R19" s="100">
        <f>AVERAGE(N4:U4)</f>
        <v>668226.5</v>
      </c>
      <c r="S19" s="89"/>
      <c r="T19" s="100">
        <f>U4</f>
        <v>710431</v>
      </c>
      <c r="U19" s="102">
        <f>LN(U4/AVERAGE(N4:U4))</f>
        <v>6.1244640192202222E-2</v>
      </c>
      <c r="V19" s="102"/>
    </row>
    <row r="20" spans="1:35" s="51" customFormat="1" ht="15" x14ac:dyDescent="0.25">
      <c r="A20" s="53" t="s">
        <v>15</v>
      </c>
      <c r="D20" s="89"/>
      <c r="E20" s="89"/>
      <c r="F20" s="89"/>
      <c r="G20" s="89"/>
      <c r="H20" s="100">
        <f>AVERAGE(D5:K5)</f>
        <v>49528.375</v>
      </c>
      <c r="I20" s="89"/>
      <c r="J20" s="100">
        <f>K5</f>
        <v>51781</v>
      </c>
      <c r="K20" s="101">
        <f>LN(K5/AVERAGE(D5:K5))</f>
        <v>4.4477548949778706E-2</v>
      </c>
      <c r="L20" s="101"/>
      <c r="M20" s="102"/>
      <c r="N20" s="89"/>
      <c r="O20" s="89"/>
      <c r="P20" s="89"/>
      <c r="Q20" s="89"/>
      <c r="R20" s="100">
        <f>AVERAGE(N5:U5)</f>
        <v>152595.96750000003</v>
      </c>
      <c r="S20" s="89"/>
      <c r="T20" s="100">
        <f>U5</f>
        <v>151930.478</v>
      </c>
      <c r="U20" s="102">
        <f>LN(U5/AVERAGE(N5:U5))</f>
        <v>-4.3706585698446388E-3</v>
      </c>
      <c r="V20" s="102"/>
    </row>
    <row r="21" spans="1:35" s="51" customFormat="1" ht="15" x14ac:dyDescent="0.25">
      <c r="A21" s="53" t="s">
        <v>17</v>
      </c>
      <c r="D21" s="89"/>
      <c r="E21" s="89"/>
      <c r="F21" s="89"/>
      <c r="G21" s="89"/>
      <c r="H21" s="100">
        <f>AVERAGE(D7:K7)</f>
        <v>4982.3119563221935</v>
      </c>
      <c r="I21" s="89"/>
      <c r="J21" s="100">
        <f>K7</f>
        <v>5297.7098321914673</v>
      </c>
      <c r="K21" s="101">
        <f>LN(K7/AVERAGE(D7:K7))</f>
        <v>6.1380588475051824E-2</v>
      </c>
      <c r="L21" s="101"/>
      <c r="M21" s="102"/>
      <c r="N21" s="89"/>
      <c r="O21" s="89"/>
      <c r="P21" s="89"/>
      <c r="Q21" s="89"/>
      <c r="R21" s="100">
        <f>AVERAGE(N7:U7)</f>
        <v>3095.6483749999993</v>
      </c>
      <c r="S21" s="89"/>
      <c r="T21" s="100">
        <f>U7</f>
        <v>3238.0459999999998</v>
      </c>
      <c r="U21" s="102">
        <f>LN(U7/AVERAGE(N7:U7))</f>
        <v>4.4972686143659249E-2</v>
      </c>
      <c r="V21" s="102"/>
    </row>
    <row r="22" spans="1:35" s="51" customFormat="1" ht="15" x14ac:dyDescent="0.25">
      <c r="A22" s="53" t="s">
        <v>20</v>
      </c>
      <c r="D22" s="89"/>
      <c r="E22" s="89"/>
      <c r="F22" s="89"/>
      <c r="G22" s="89"/>
      <c r="H22" s="103">
        <f>AVERAGE(D9:K9)</f>
        <v>0.25027896127579885</v>
      </c>
      <c r="I22" s="89"/>
      <c r="J22" s="112">
        <f>K9</f>
        <v>0.28381066414321854</v>
      </c>
      <c r="K22" s="101">
        <f>LN(K9/AVERAGE(D9:K9))</f>
        <v>0.12573119940916982</v>
      </c>
      <c r="L22" s="101"/>
      <c r="M22" s="102"/>
      <c r="N22" s="89"/>
      <c r="O22" s="89"/>
      <c r="P22" s="89"/>
      <c r="Q22" s="89"/>
      <c r="R22" s="103">
        <f>AVERAGE(N9:U9)</f>
        <v>4.1127000536055461E-2</v>
      </c>
      <c r="S22" s="89"/>
      <c r="T22" s="112">
        <f>U9</f>
        <v>5.3835972266209807E-2</v>
      </c>
      <c r="U22" s="102">
        <f>LN(U9/AVERAGE(N9:U9))</f>
        <v>0.26927702006206761</v>
      </c>
      <c r="V22" s="102"/>
    </row>
    <row r="23" spans="1:35" s="51" customFormat="1" ht="15" x14ac:dyDescent="0.25">
      <c r="A23" s="53" t="s">
        <v>109</v>
      </c>
      <c r="B23" s="85"/>
      <c r="D23" s="89"/>
      <c r="E23" s="89"/>
      <c r="F23" s="89"/>
      <c r="G23" s="89"/>
      <c r="H23" s="104">
        <f>AVERAGE(D13:K13)</f>
        <v>315328.71975134063</v>
      </c>
      <c r="I23" s="89"/>
      <c r="J23" s="104">
        <f>K13</f>
        <v>387877.9989499998</v>
      </c>
      <c r="K23" s="89"/>
      <c r="L23" s="89"/>
      <c r="M23" s="102"/>
      <c r="N23" s="89"/>
      <c r="O23" s="89"/>
      <c r="P23" s="89"/>
      <c r="Q23" s="89"/>
      <c r="R23" s="104">
        <f>AVERAGE(N13:U13)</f>
        <v>340414.27090869797</v>
      </c>
      <c r="S23" s="89"/>
      <c r="T23" s="104">
        <f>U13</f>
        <v>327267.28600000002</v>
      </c>
      <c r="U23" s="89"/>
      <c r="V23" s="89"/>
    </row>
    <row r="24" spans="1:35" s="51" customFormat="1" ht="15" x14ac:dyDescent="0.25">
      <c r="A24" s="105" t="s">
        <v>112</v>
      </c>
      <c r="D24" s="89"/>
      <c r="E24" s="89"/>
      <c r="F24" s="89"/>
      <c r="G24" s="89"/>
      <c r="H24" s="89"/>
      <c r="I24" s="89"/>
      <c r="J24" s="101">
        <f>J23/H23-1</f>
        <v>0.23007507611697875</v>
      </c>
      <c r="K24" s="89"/>
      <c r="L24" s="89"/>
      <c r="M24" s="102"/>
      <c r="N24" s="89"/>
      <c r="O24" s="89"/>
      <c r="P24" s="89"/>
      <c r="Q24" s="89"/>
      <c r="R24" s="89"/>
      <c r="S24" s="89"/>
      <c r="T24" s="101">
        <f>T23/R23-1</f>
        <v>-3.8620545706275933E-2</v>
      </c>
      <c r="U24" s="89"/>
      <c r="V24" s="89"/>
    </row>
    <row r="25" spans="1:35" s="51" customFormat="1" ht="15" x14ac:dyDescent="0.25">
      <c r="A25" s="105" t="s">
        <v>110</v>
      </c>
      <c r="D25" s="89"/>
      <c r="E25" s="89"/>
      <c r="F25" s="89"/>
      <c r="G25" s="89"/>
      <c r="H25" s="89"/>
      <c r="I25" s="89"/>
      <c r="J25" s="101">
        <f>'Opex Forecasts'!E28</f>
        <v>0.10020097617387136</v>
      </c>
      <c r="K25" s="89"/>
      <c r="L25" s="89"/>
      <c r="M25" s="102"/>
      <c r="N25" s="102"/>
      <c r="O25" s="102"/>
      <c r="P25" s="102"/>
      <c r="Q25" s="102"/>
      <c r="R25" s="102"/>
      <c r="S25" s="102"/>
      <c r="T25" s="102">
        <f>'Opex Forecasts'!I28</f>
        <v>7.848923095566307E-2</v>
      </c>
      <c r="U25" s="102"/>
      <c r="V25" s="102"/>
    </row>
    <row r="26" spans="1:35" s="51" customFormat="1" ht="15" x14ac:dyDescent="0.25">
      <c r="A26" s="105" t="s">
        <v>111</v>
      </c>
      <c r="D26" s="89"/>
      <c r="E26" s="89"/>
      <c r="F26" s="89"/>
      <c r="G26" s="89"/>
      <c r="H26" s="89"/>
      <c r="I26" s="89"/>
      <c r="J26" s="101">
        <f>J24-J25</f>
        <v>0.12987409994310739</v>
      </c>
      <c r="K26" s="89"/>
      <c r="L26" s="89"/>
      <c r="M26" s="102"/>
      <c r="N26" s="102"/>
      <c r="O26" s="102"/>
      <c r="P26" s="102"/>
      <c r="Q26" s="102"/>
      <c r="R26" s="102"/>
      <c r="S26" s="102"/>
      <c r="T26" s="101">
        <f>T24-T25</f>
        <v>-0.117109776661939</v>
      </c>
      <c r="U26" s="102"/>
      <c r="V26" s="102"/>
    </row>
    <row r="27" spans="1:35" s="51" customFormat="1" ht="15" x14ac:dyDescent="0.25">
      <c r="A27" s="53"/>
      <c r="D27" s="80"/>
      <c r="E27" s="80"/>
      <c r="F27" s="132"/>
      <c r="G27" s="132"/>
      <c r="H27" s="132"/>
      <c r="I27" s="132"/>
      <c r="J27" s="133"/>
      <c r="K27" s="132"/>
      <c r="L27" s="132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</row>
    <row r="28" spans="1:35" s="51" customFormat="1" ht="15" hidden="1" x14ac:dyDescent="0.25">
      <c r="D28" s="80"/>
      <c r="E28" s="80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</row>
    <row r="29" spans="1:35" s="51" customFormat="1" ht="15" hidden="1" x14ac:dyDescent="0.25">
      <c r="A29" s="82"/>
      <c r="D29" s="80"/>
      <c r="E29" s="80"/>
      <c r="F29" s="132"/>
      <c r="G29" s="132"/>
      <c r="H29" s="71"/>
      <c r="I29" s="132"/>
      <c r="J29" s="71"/>
      <c r="K29" s="71"/>
      <c r="L29" s="132"/>
      <c r="M29" s="132"/>
      <c r="N29" s="132"/>
      <c r="O29" s="132"/>
      <c r="P29" s="132"/>
      <c r="Q29" s="132"/>
      <c r="R29" s="71"/>
      <c r="S29" s="132"/>
      <c r="T29" s="71"/>
      <c r="U29" s="71"/>
      <c r="V29" s="13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</row>
    <row r="30" spans="1:35" s="51" customFormat="1" ht="15" hidden="1" x14ac:dyDescent="0.25">
      <c r="A30" s="53"/>
      <c r="D30" s="80"/>
      <c r="E30" s="80"/>
      <c r="F30" s="132"/>
      <c r="G30" s="132"/>
      <c r="H30" s="135"/>
      <c r="I30" s="132"/>
      <c r="J30" s="135"/>
      <c r="K30" s="133"/>
      <c r="L30" s="132"/>
      <c r="M30" s="132"/>
      <c r="N30" s="132"/>
      <c r="O30" s="132"/>
      <c r="P30" s="132"/>
      <c r="Q30" s="132"/>
      <c r="R30" s="135"/>
      <c r="S30" s="132"/>
      <c r="T30" s="135"/>
      <c r="U30" s="133"/>
      <c r="V30" s="13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</row>
    <row r="31" spans="1:35" s="51" customFormat="1" ht="15" hidden="1" x14ac:dyDescent="0.25">
      <c r="A31" s="53"/>
      <c r="D31" s="80"/>
      <c r="E31" s="80"/>
      <c r="F31" s="132"/>
      <c r="G31" s="132"/>
      <c r="H31" s="135"/>
      <c r="I31" s="132"/>
      <c r="J31" s="135"/>
      <c r="K31" s="133"/>
      <c r="L31" s="132"/>
      <c r="M31" s="132"/>
      <c r="N31" s="132"/>
      <c r="O31" s="132"/>
      <c r="P31" s="132"/>
      <c r="Q31" s="132"/>
      <c r="R31" s="135"/>
      <c r="S31" s="132"/>
      <c r="T31" s="135"/>
      <c r="U31" s="133"/>
      <c r="V31" s="13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</row>
    <row r="32" spans="1:35" s="51" customFormat="1" ht="15" hidden="1" x14ac:dyDescent="0.25">
      <c r="A32" s="53"/>
      <c r="D32" s="80"/>
      <c r="E32" s="80"/>
      <c r="F32" s="132"/>
      <c r="G32" s="132"/>
      <c r="H32" s="135"/>
      <c r="I32" s="132"/>
      <c r="J32" s="135"/>
      <c r="K32" s="133"/>
      <c r="L32" s="132"/>
      <c r="M32" s="132"/>
      <c r="N32" s="132"/>
      <c r="O32" s="132"/>
      <c r="P32" s="132"/>
      <c r="Q32" s="132"/>
      <c r="R32" s="135"/>
      <c r="S32" s="132"/>
      <c r="T32" s="135"/>
      <c r="U32" s="133"/>
      <c r="V32" s="13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</row>
    <row r="33" spans="1:35" s="51" customFormat="1" ht="15" hidden="1" x14ac:dyDescent="0.25">
      <c r="A33" s="53"/>
      <c r="D33" s="80"/>
      <c r="E33" s="80"/>
      <c r="F33" s="132"/>
      <c r="G33" s="132"/>
      <c r="H33" s="136"/>
      <c r="I33" s="132"/>
      <c r="J33" s="137"/>
      <c r="K33" s="133"/>
      <c r="L33" s="132"/>
      <c r="M33" s="132"/>
      <c r="N33" s="132"/>
      <c r="O33" s="132"/>
      <c r="P33" s="132"/>
      <c r="Q33" s="132"/>
      <c r="R33" s="136"/>
      <c r="S33" s="132"/>
      <c r="T33" s="137"/>
      <c r="U33" s="133"/>
      <c r="V33" s="13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</row>
    <row r="34" spans="1:35" s="51" customFormat="1" ht="15" hidden="1" x14ac:dyDescent="0.25">
      <c r="A34" s="53"/>
      <c r="D34" s="80"/>
      <c r="E34" s="80"/>
      <c r="F34" s="132"/>
      <c r="G34" s="132"/>
      <c r="H34" s="138"/>
      <c r="I34" s="132"/>
      <c r="J34" s="138"/>
      <c r="K34" s="132"/>
      <c r="L34" s="132"/>
      <c r="M34" s="132"/>
      <c r="N34" s="132"/>
      <c r="O34" s="132"/>
      <c r="P34" s="132"/>
      <c r="Q34" s="132"/>
      <c r="R34" s="138"/>
      <c r="S34" s="132"/>
      <c r="T34" s="138"/>
      <c r="U34" s="132"/>
      <c r="V34" s="13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</row>
    <row r="35" spans="1:35" s="51" customFormat="1" ht="15" hidden="1" x14ac:dyDescent="0.25">
      <c r="A35" s="105"/>
      <c r="D35" s="80"/>
      <c r="E35" s="80"/>
      <c r="F35" s="132"/>
      <c r="G35" s="132"/>
      <c r="H35" s="132"/>
      <c r="I35" s="132"/>
      <c r="J35" s="133"/>
      <c r="K35" s="132"/>
      <c r="L35" s="132"/>
      <c r="M35" s="132"/>
      <c r="N35" s="132"/>
      <c r="O35" s="132"/>
      <c r="P35" s="132"/>
      <c r="Q35" s="132"/>
      <c r="R35" s="132"/>
      <c r="S35" s="132"/>
      <c r="T35" s="133"/>
      <c r="U35" s="132"/>
      <c r="V35" s="13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</row>
    <row r="36" spans="1:35" s="51" customFormat="1" ht="15" hidden="1" x14ac:dyDescent="0.25">
      <c r="A36" s="105"/>
      <c r="D36" s="80"/>
      <c r="E36" s="80"/>
      <c r="F36" s="132"/>
      <c r="G36" s="132"/>
      <c r="H36" s="132"/>
      <c r="I36" s="132"/>
      <c r="J36" s="133"/>
      <c r="K36" s="132"/>
      <c r="L36" s="132"/>
      <c r="M36" s="132"/>
      <c r="N36" s="132"/>
      <c r="O36" s="132"/>
      <c r="P36" s="132"/>
      <c r="Q36" s="132"/>
      <c r="R36" s="132"/>
      <c r="S36" s="132"/>
      <c r="T36" s="133"/>
      <c r="U36" s="132"/>
      <c r="V36" s="13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</row>
    <row r="37" spans="1:35" s="51" customFormat="1" ht="15" hidden="1" x14ac:dyDescent="0.25">
      <c r="A37" s="105"/>
      <c r="D37" s="80"/>
      <c r="E37" s="80"/>
      <c r="F37" s="132"/>
      <c r="G37" s="132"/>
      <c r="H37" s="132"/>
      <c r="I37" s="132"/>
      <c r="J37" s="133"/>
      <c r="K37" s="132"/>
      <c r="L37" s="132"/>
      <c r="M37" s="132"/>
      <c r="N37" s="132"/>
      <c r="O37" s="132"/>
      <c r="P37" s="132"/>
      <c r="Q37" s="132"/>
      <c r="R37" s="132"/>
      <c r="S37" s="132"/>
      <c r="T37" s="133"/>
      <c r="U37" s="132"/>
      <c r="V37" s="13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</row>
    <row r="38" spans="1:35" s="51" customFormat="1" ht="15" x14ac:dyDescent="0.25">
      <c r="A38" s="79" t="s">
        <v>42</v>
      </c>
      <c r="D38" s="80"/>
      <c r="E38" s="80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</row>
    <row r="39" spans="1:35" s="51" customFormat="1" ht="15" x14ac:dyDescent="0.25">
      <c r="A39" s="53" t="s">
        <v>105</v>
      </c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</row>
    <row r="40" spans="1:35" s="51" customFormat="1" ht="15" x14ac:dyDescent="0.25">
      <c r="A40" s="53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</row>
    <row r="41" spans="1:35" s="51" customFormat="1" ht="15" x14ac:dyDescent="0.25">
      <c r="A41" s="132" t="s">
        <v>153</v>
      </c>
      <c r="B41" s="51">
        <v>2006</v>
      </c>
      <c r="C41" s="51">
        <v>2007</v>
      </c>
      <c r="D41" s="51">
        <v>2008</v>
      </c>
      <c r="E41" s="51">
        <v>2009</v>
      </c>
      <c r="F41" s="51">
        <v>2010</v>
      </c>
      <c r="G41" s="51">
        <v>2011</v>
      </c>
      <c r="H41" s="51">
        <v>2012</v>
      </c>
      <c r="I41" s="51">
        <v>2013</v>
      </c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</row>
    <row r="42" spans="1:35" s="51" customFormat="1" ht="15" x14ac:dyDescent="0.25">
      <c r="A42" s="132" t="s">
        <v>141</v>
      </c>
      <c r="B42" s="139">
        <v>0</v>
      </c>
      <c r="C42" s="139">
        <v>0</v>
      </c>
      <c r="D42" s="139">
        <v>0</v>
      </c>
      <c r="E42" s="139">
        <v>0</v>
      </c>
      <c r="F42" s="139">
        <v>0</v>
      </c>
      <c r="G42" s="139">
        <v>19400</v>
      </c>
      <c r="H42" s="139">
        <v>73900</v>
      </c>
      <c r="I42" s="139">
        <v>167100</v>
      </c>
      <c r="J42" s="14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</row>
    <row r="43" spans="1:35" s="51" customFormat="1" ht="15" x14ac:dyDescent="0.25">
      <c r="A43" s="132" t="s">
        <v>142</v>
      </c>
      <c r="B43" s="139">
        <v>0</v>
      </c>
      <c r="C43" s="139">
        <v>0</v>
      </c>
      <c r="D43" s="139">
        <v>0</v>
      </c>
      <c r="E43" s="139">
        <v>0</v>
      </c>
      <c r="F43" s="139">
        <v>0</v>
      </c>
      <c r="G43" s="139">
        <v>5688.4189999999999</v>
      </c>
      <c r="H43" s="139">
        <v>27937.562999999998</v>
      </c>
      <c r="I43" s="139">
        <v>75867</v>
      </c>
      <c r="J43" s="14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</row>
    <row r="44" spans="1:35" s="51" customFormat="1" ht="15" x14ac:dyDescent="0.25">
      <c r="A44" s="132" t="s">
        <v>173</v>
      </c>
    </row>
    <row r="45" spans="1:35" s="51" customFormat="1" ht="15" x14ac:dyDescent="0.25">
      <c r="I45" s="147"/>
    </row>
    <row r="46" spans="1:35" x14ac:dyDescent="0.2">
      <c r="I46" s="148"/>
    </row>
  </sheetData>
  <phoneticPr fontId="7" type="noConversion"/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/>
  </sheetViews>
  <sheetFormatPr defaultColWidth="9.140625" defaultRowHeight="15" x14ac:dyDescent="0.25"/>
  <cols>
    <col min="1" max="1" width="11.42578125" style="3" customWidth="1"/>
    <col min="2" max="2" width="10.28515625" style="3" customWidth="1"/>
    <col min="3" max="3" width="11.140625" style="3" customWidth="1"/>
    <col min="4" max="6" width="9.140625" style="3"/>
    <col min="7" max="7" width="12.85546875" style="4" customWidth="1"/>
    <col min="8" max="8" width="9.140625" style="3"/>
    <col min="9" max="9" width="11.140625" style="3" customWidth="1"/>
    <col min="10" max="11" width="9.140625" style="3"/>
    <col min="12" max="12" width="23.7109375" style="3" customWidth="1"/>
    <col min="13" max="16" width="9.140625" style="3"/>
    <col min="17" max="19" width="9.140625" style="1"/>
    <col min="20" max="20" width="13" style="1" customWidth="1"/>
    <col min="21" max="16384" width="9.140625" style="1"/>
  </cols>
  <sheetData>
    <row r="1" spans="1:16" x14ac:dyDescent="0.25">
      <c r="A1" s="2" t="s">
        <v>74</v>
      </c>
    </row>
    <row r="2" spans="1:16" x14ac:dyDescent="0.25">
      <c r="A2" s="2" t="s">
        <v>75</v>
      </c>
    </row>
    <row r="3" spans="1:16" x14ac:dyDescent="0.25">
      <c r="A3" s="3" t="s">
        <v>104</v>
      </c>
      <c r="G3" s="3"/>
    </row>
    <row r="4" spans="1:16" x14ac:dyDescent="0.25">
      <c r="G4" s="3"/>
      <c r="I4" s="1"/>
      <c r="J4" s="1"/>
      <c r="K4" s="1"/>
      <c r="L4" s="1"/>
      <c r="M4" s="1"/>
      <c r="N4" s="1"/>
      <c r="O4" s="1"/>
      <c r="P4" s="1"/>
    </row>
    <row r="5" spans="1:16" x14ac:dyDescent="0.25">
      <c r="G5" s="3"/>
      <c r="I5" s="1"/>
      <c r="J5" s="1"/>
      <c r="K5" s="1"/>
      <c r="L5" s="1"/>
      <c r="M5" s="1"/>
      <c r="N5" s="1"/>
      <c r="O5" s="1"/>
      <c r="P5" s="1"/>
    </row>
    <row r="6" spans="1:16" x14ac:dyDescent="0.25">
      <c r="A6" s="5" t="s">
        <v>76</v>
      </c>
      <c r="E6" s="2" t="s">
        <v>77</v>
      </c>
      <c r="G6" s="3"/>
      <c r="I6" s="1"/>
      <c r="J6" s="1"/>
      <c r="K6" s="1"/>
      <c r="L6" s="1"/>
      <c r="M6" s="1"/>
      <c r="N6" s="1"/>
      <c r="O6" s="1"/>
      <c r="P6" s="1"/>
    </row>
    <row r="7" spans="1:16" x14ac:dyDescent="0.25">
      <c r="A7" s="5"/>
      <c r="E7" s="2"/>
      <c r="G7" s="3"/>
      <c r="I7" s="1"/>
      <c r="J7" s="1"/>
      <c r="K7" s="1"/>
      <c r="L7" s="1"/>
      <c r="M7" s="1"/>
      <c r="N7" s="1"/>
      <c r="O7" s="1"/>
      <c r="P7" s="1"/>
    </row>
    <row r="8" spans="1:16" ht="15.75" thickBot="1" x14ac:dyDescent="0.3">
      <c r="E8" s="6" t="s">
        <v>73</v>
      </c>
      <c r="F8" s="6" t="s">
        <v>57</v>
      </c>
      <c r="G8" s="3"/>
      <c r="I8" s="1"/>
      <c r="J8" s="1"/>
      <c r="K8" s="1"/>
      <c r="L8" s="1"/>
      <c r="M8" s="1"/>
      <c r="N8" s="1"/>
      <c r="O8" s="1"/>
      <c r="P8" s="1"/>
    </row>
    <row r="9" spans="1:16" ht="15.75" thickBot="1" x14ac:dyDescent="0.3">
      <c r="A9" s="34" t="s">
        <v>7</v>
      </c>
      <c r="B9" s="35" t="s">
        <v>8</v>
      </c>
      <c r="C9" s="35" t="s">
        <v>31</v>
      </c>
      <c r="E9" s="5" t="s">
        <v>58</v>
      </c>
      <c r="F9" s="33">
        <f>'[3]Efficiency Estimates'!P43</f>
        <v>0.39852270000000001</v>
      </c>
      <c r="G9" s="7"/>
      <c r="I9" s="1"/>
      <c r="J9" s="1"/>
      <c r="K9" s="1"/>
      <c r="L9" s="1"/>
      <c r="M9" s="1"/>
      <c r="N9" s="1"/>
      <c r="O9" s="1"/>
      <c r="P9" s="1"/>
    </row>
    <row r="10" spans="1:16" x14ac:dyDescent="0.25">
      <c r="A10" s="36" t="s">
        <v>23</v>
      </c>
      <c r="B10" s="37">
        <v>0.6666282</v>
      </c>
      <c r="C10" s="38">
        <v>7.36</v>
      </c>
      <c r="E10" s="5" t="s">
        <v>59</v>
      </c>
      <c r="F10" s="33">
        <f>'[3]Efficiency Estimates'!P44</f>
        <v>0.44665319999999997</v>
      </c>
      <c r="G10" s="7"/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39" t="s">
        <v>24</v>
      </c>
      <c r="B11" s="40">
        <v>0.1055306</v>
      </c>
      <c r="C11" s="41">
        <v>2.78</v>
      </c>
      <c r="E11" s="5" t="s">
        <v>61</v>
      </c>
      <c r="F11" s="33">
        <f>'[3]Efficiency Estimates'!P45</f>
        <v>0.95049260000000002</v>
      </c>
      <c r="G11" s="7"/>
      <c r="I11" s="1"/>
      <c r="J11" s="1"/>
      <c r="K11" s="1"/>
      <c r="L11" s="1"/>
      <c r="M11" s="1"/>
      <c r="N11" s="1"/>
      <c r="O11" s="1"/>
      <c r="P11" s="1"/>
    </row>
    <row r="12" spans="1:16" x14ac:dyDescent="0.25">
      <c r="A12" s="39" t="s">
        <v>25</v>
      </c>
      <c r="B12" s="40">
        <v>0.21385660000000001</v>
      </c>
      <c r="C12" s="41">
        <v>2.66</v>
      </c>
      <c r="E12" s="5" t="s">
        <v>62</v>
      </c>
      <c r="F12" s="33">
        <f>'[3]Efficiency Estimates'!P46</f>
        <v>0.59330159999999998</v>
      </c>
      <c r="G12" s="7"/>
      <c r="I12" s="1"/>
      <c r="J12" s="1"/>
      <c r="K12" s="1"/>
      <c r="L12" s="1"/>
      <c r="M12" s="1"/>
      <c r="N12" s="1"/>
      <c r="O12" s="1"/>
      <c r="P12" s="1"/>
    </row>
    <row r="13" spans="1:16" x14ac:dyDescent="0.25">
      <c r="A13" s="39" t="s">
        <v>26</v>
      </c>
      <c r="B13" s="40">
        <v>-0.1313396</v>
      </c>
      <c r="C13" s="41">
        <v>-3.85</v>
      </c>
      <c r="E13" s="5" t="s">
        <v>63</v>
      </c>
      <c r="F13" s="33">
        <f>'[3]Efficiency Estimates'!P47</f>
        <v>0.61800180000000005</v>
      </c>
      <c r="G13" s="7"/>
      <c r="I13" s="1"/>
      <c r="J13" s="1"/>
      <c r="K13" s="1"/>
      <c r="L13" s="1"/>
      <c r="M13" s="1"/>
      <c r="N13" s="1"/>
      <c r="O13" s="1"/>
      <c r="P13" s="1"/>
    </row>
    <row r="14" spans="1:16" x14ac:dyDescent="0.25">
      <c r="A14" s="39" t="s">
        <v>27</v>
      </c>
      <c r="B14" s="40">
        <v>1.7866E-2</v>
      </c>
      <c r="C14" s="41">
        <v>9.1199999999999992</v>
      </c>
      <c r="E14" s="5" t="s">
        <v>64</v>
      </c>
      <c r="F14" s="33">
        <f>'[3]Efficiency Estimates'!P48</f>
        <v>0.4816415</v>
      </c>
      <c r="G14" s="7"/>
      <c r="I14" s="1"/>
      <c r="J14" s="1"/>
      <c r="K14" s="1"/>
      <c r="L14" s="1"/>
      <c r="M14" s="1"/>
      <c r="N14" s="1"/>
      <c r="O14" s="1"/>
      <c r="P14" s="1"/>
    </row>
    <row r="15" spans="1:16" x14ac:dyDescent="0.25">
      <c r="A15" s="39" t="s">
        <v>28</v>
      </c>
      <c r="B15" s="40">
        <v>4.95279E-2</v>
      </c>
      <c r="C15" s="41">
        <v>0.49</v>
      </c>
      <c r="E15" s="5" t="s">
        <v>65</v>
      </c>
      <c r="F15" s="33">
        <f>'[3]Efficiency Estimates'!P49</f>
        <v>0.54869849999999998</v>
      </c>
      <c r="G15" s="7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39" t="s">
        <v>29</v>
      </c>
      <c r="B16" s="40">
        <v>0.1571178</v>
      </c>
      <c r="C16" s="41">
        <v>2.11</v>
      </c>
      <c r="E16" s="5" t="s">
        <v>66</v>
      </c>
      <c r="F16" s="33">
        <f>'[3]Efficiency Estimates'!P50</f>
        <v>0.71820779999999995</v>
      </c>
      <c r="G16" s="7"/>
      <c r="I16" s="1"/>
      <c r="J16" s="1"/>
      <c r="K16" s="1"/>
      <c r="L16" s="1"/>
      <c r="M16" s="1"/>
      <c r="N16" s="1"/>
      <c r="O16" s="1"/>
      <c r="P16" s="1"/>
    </row>
    <row r="17" spans="1:16" ht="15.75" thickBot="1" x14ac:dyDescent="0.3">
      <c r="A17" s="42" t="s">
        <v>30</v>
      </c>
      <c r="B17" s="43">
        <v>-26.52627</v>
      </c>
      <c r="C17" s="44">
        <v>-6.73</v>
      </c>
      <c r="E17" s="5" t="s">
        <v>67</v>
      </c>
      <c r="F17" s="33">
        <f>'[3]Efficiency Estimates'!P51</f>
        <v>0.94602019999999998</v>
      </c>
      <c r="G17" s="7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E18" s="5" t="s">
        <v>68</v>
      </c>
      <c r="F18" s="33">
        <f>'[3]Efficiency Estimates'!P52</f>
        <v>0.84367110000000001</v>
      </c>
      <c r="G18" s="7"/>
      <c r="I18" s="1"/>
      <c r="J18" s="1"/>
      <c r="K18" s="1"/>
      <c r="L18" s="1"/>
      <c r="M18" s="1"/>
      <c r="N18" s="1"/>
      <c r="O18" s="1"/>
      <c r="P18" s="1"/>
    </row>
    <row r="19" spans="1:16" x14ac:dyDescent="0.25">
      <c r="E19" s="5" t="s">
        <v>69</v>
      </c>
      <c r="F19" s="33">
        <f>'[3]Efficiency Estimates'!P53</f>
        <v>0.76780820000000005</v>
      </c>
      <c r="G19" s="7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E20" s="5" t="s">
        <v>70</v>
      </c>
      <c r="F20" s="33">
        <f>'[3]Efficiency Estimates'!P54</f>
        <v>0.7334465</v>
      </c>
      <c r="G20" s="7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E21" s="5" t="s">
        <v>71</v>
      </c>
      <c r="F21" s="33">
        <f>'[3]Efficiency Estimates'!P55</f>
        <v>0.84272919999999996</v>
      </c>
      <c r="G21" s="7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G22" s="3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G23" s="3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G24" s="3"/>
      <c r="I24" s="1"/>
      <c r="J24" s="1"/>
      <c r="K24" s="1"/>
      <c r="L24" s="1"/>
      <c r="M24" s="1"/>
      <c r="N24" s="1"/>
      <c r="O24" s="1"/>
      <c r="P24" s="1"/>
    </row>
    <row r="25" spans="1:16" x14ac:dyDescent="0.25">
      <c r="G25" s="3"/>
      <c r="I25" s="1"/>
      <c r="J25" s="1"/>
      <c r="K25" s="1"/>
      <c r="L25" s="1"/>
      <c r="M25" s="1"/>
      <c r="N25" s="1"/>
      <c r="O25" s="1"/>
      <c r="P25" s="1"/>
    </row>
    <row r="27" spans="1:16" x14ac:dyDescent="0.25">
      <c r="E27" s="9"/>
    </row>
    <row r="28" spans="1:16" x14ac:dyDescent="0.25">
      <c r="E28" s="9"/>
    </row>
    <row r="29" spans="1:16" x14ac:dyDescent="0.25">
      <c r="E29" s="9"/>
    </row>
    <row r="30" spans="1:16" x14ac:dyDescent="0.25">
      <c r="E30" s="9"/>
    </row>
    <row r="31" spans="1:16" x14ac:dyDescent="0.25">
      <c r="E31" s="9"/>
    </row>
    <row r="32" spans="1:16" x14ac:dyDescent="0.25">
      <c r="E32" s="9"/>
    </row>
    <row r="33" spans="5:5" x14ac:dyDescent="0.25">
      <c r="E33" s="9"/>
    </row>
    <row r="34" spans="5:5" x14ac:dyDescent="0.25">
      <c r="E34" s="9"/>
    </row>
    <row r="35" spans="5:5" x14ac:dyDescent="0.25">
      <c r="E35" s="9"/>
    </row>
    <row r="36" spans="5:5" x14ac:dyDescent="0.25">
      <c r="E36" s="9"/>
    </row>
    <row r="37" spans="5:5" x14ac:dyDescent="0.25">
      <c r="E37" s="9"/>
    </row>
    <row r="38" spans="5:5" x14ac:dyDescent="0.25">
      <c r="E38" s="9"/>
    </row>
    <row r="39" spans="5:5" x14ac:dyDescent="0.25">
      <c r="E39" s="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36"/>
  <sheetViews>
    <sheetView workbookViewId="0">
      <selection activeCell="K18" sqref="K18"/>
    </sheetView>
  </sheetViews>
  <sheetFormatPr defaultColWidth="9.140625" defaultRowHeight="15" x14ac:dyDescent="0.25"/>
  <cols>
    <col min="1" max="1" width="9.140625" style="3"/>
    <col min="2" max="2" width="10.28515625" style="3" customWidth="1"/>
    <col min="3" max="3" width="12.85546875" style="4" hidden="1" customWidth="1"/>
    <col min="4" max="4" width="9.140625" style="3"/>
    <col min="5" max="5" width="11.140625" style="3" customWidth="1"/>
    <col min="6" max="6" width="13.28515625" style="3" customWidth="1"/>
    <col min="7" max="7" width="9.140625" style="3"/>
    <col min="8" max="8" width="9.140625" style="3" customWidth="1"/>
    <col min="9" max="9" width="11.5703125" style="3" customWidth="1"/>
    <col min="10" max="10" width="10.42578125" style="3" customWidth="1"/>
    <col min="11" max="11" width="10.28515625" style="1" customWidth="1"/>
    <col min="12" max="12" width="9.140625" style="1"/>
    <col min="13" max="13" width="13" style="1" customWidth="1"/>
    <col min="14" max="16384" width="9.140625" style="1"/>
  </cols>
  <sheetData>
    <row r="1" spans="1:11" x14ac:dyDescent="0.25">
      <c r="A1" s="2" t="s">
        <v>83</v>
      </c>
    </row>
    <row r="3" spans="1:11" x14ac:dyDescent="0.25">
      <c r="A3" s="2"/>
      <c r="C3" s="3"/>
      <c r="E3" s="2" t="s">
        <v>78</v>
      </c>
    </row>
    <row r="4" spans="1:11" s="14" customFormat="1" ht="91.5" customHeight="1" x14ac:dyDescent="0.2">
      <c r="A4" s="11"/>
      <c r="B4" s="12"/>
      <c r="C4" s="12"/>
      <c r="D4" s="12"/>
      <c r="E4" s="11"/>
      <c r="F4" s="13" t="s">
        <v>79</v>
      </c>
      <c r="G4" s="12"/>
      <c r="I4" s="13" t="s">
        <v>81</v>
      </c>
      <c r="J4" s="13" t="s">
        <v>44</v>
      </c>
      <c r="K4" s="19" t="s">
        <v>84</v>
      </c>
    </row>
    <row r="5" spans="1:11" s="14" customFormat="1" ht="32.25" customHeight="1" x14ac:dyDescent="0.2">
      <c r="A5" s="13" t="s">
        <v>73</v>
      </c>
      <c r="B5" s="15" t="s">
        <v>43</v>
      </c>
      <c r="C5" s="141" t="s">
        <v>113</v>
      </c>
      <c r="D5" s="20"/>
      <c r="E5" s="13" t="s">
        <v>73</v>
      </c>
      <c r="F5" s="20" t="s">
        <v>80</v>
      </c>
      <c r="G5" s="20"/>
      <c r="H5" s="13" t="s">
        <v>73</v>
      </c>
      <c r="I5" s="21" t="s">
        <v>82</v>
      </c>
      <c r="J5" s="20"/>
      <c r="K5" s="18"/>
    </row>
    <row r="6" spans="1:11" x14ac:dyDescent="0.25">
      <c r="A6" s="5" t="s">
        <v>58</v>
      </c>
      <c r="B6" s="33">
        <f>'Opex Modelling Results'!F9</f>
        <v>0.39852270000000001</v>
      </c>
      <c r="C6" s="142">
        <f>'[1]SD 5. Operational data'!$K$47</f>
        <v>177255</v>
      </c>
      <c r="E6" s="3" t="s">
        <v>58</v>
      </c>
      <c r="F6" s="16">
        <v>0</v>
      </c>
      <c r="H6" s="5" t="s">
        <v>63</v>
      </c>
      <c r="I6" s="17">
        <v>0.17100000000000001</v>
      </c>
      <c r="J6" s="31">
        <f>$F$19/(1+I6)</f>
        <v>0.65568590947907768</v>
      </c>
      <c r="K6" s="32">
        <f>MAX((1- B10/$J6),0)</f>
        <v>5.7472806620194827E-2</v>
      </c>
    </row>
    <row r="7" spans="1:11" x14ac:dyDescent="0.25">
      <c r="A7" s="5" t="s">
        <v>59</v>
      </c>
      <c r="B7" s="33">
        <f>'Opex Modelling Results'!F10</f>
        <v>0.44665319999999997</v>
      </c>
      <c r="C7" s="142">
        <f>'[1]SD 5. Operational data'!$T$54</f>
        <v>1635052.5</v>
      </c>
      <c r="E7" s="3" t="s">
        <v>59</v>
      </c>
      <c r="F7" s="16">
        <v>0</v>
      </c>
      <c r="H7" s="5" t="s">
        <v>64</v>
      </c>
      <c r="I7" s="17">
        <v>0.24399999999999999</v>
      </c>
      <c r="J7" s="31">
        <f>$F$19/(1+I7)</f>
        <v>0.61720916398713832</v>
      </c>
      <c r="K7" s="32">
        <f>MAX((1- B11/$J7),0)</f>
        <v>0.2196462267529834</v>
      </c>
    </row>
    <row r="8" spans="1:11" x14ac:dyDescent="0.25">
      <c r="A8" s="5" t="s">
        <v>61</v>
      </c>
      <c r="B8" s="33">
        <f>'Opex Modelling Results'!F11</f>
        <v>0.95049260000000002</v>
      </c>
      <c r="C8" s="142">
        <f>'[1]SD 5. Operational data'!$AC$47</f>
        <v>322735.81579787645</v>
      </c>
      <c r="E8" s="3" t="s">
        <v>61</v>
      </c>
      <c r="F8" s="16">
        <v>0</v>
      </c>
    </row>
    <row r="9" spans="1:11" x14ac:dyDescent="0.25">
      <c r="A9" s="5" t="s">
        <v>62</v>
      </c>
      <c r="B9" s="33">
        <f>'Opex Modelling Results'!F12</f>
        <v>0.59330159999999998</v>
      </c>
      <c r="C9" s="142">
        <f>'[1]SD 5. Operational data'!$AL$47</f>
        <v>919384.82389900391</v>
      </c>
      <c r="E9" s="3" t="s">
        <v>62</v>
      </c>
      <c r="F9" s="16">
        <v>0</v>
      </c>
    </row>
    <row r="10" spans="1:11" x14ac:dyDescent="0.25">
      <c r="A10" s="5" t="s">
        <v>63</v>
      </c>
      <c r="B10" s="33">
        <f>'Opex Modelling Results'!F13</f>
        <v>0.61800180000000005</v>
      </c>
      <c r="C10" s="142">
        <f>'[1]SD 5. Operational data'!$AU$47</f>
        <v>1359711.5</v>
      </c>
      <c r="E10" s="3" t="s">
        <v>63</v>
      </c>
      <c r="F10" s="16">
        <v>0</v>
      </c>
    </row>
    <row r="11" spans="1:11" x14ac:dyDescent="0.25">
      <c r="A11" s="5" t="s">
        <v>64</v>
      </c>
      <c r="B11" s="33">
        <f>'Opex Modelling Results'!F14</f>
        <v>0.4816415</v>
      </c>
      <c r="C11" s="142">
        <f>'[1]SD 5. Operational data'!$BD$47</f>
        <v>710431</v>
      </c>
      <c r="E11" s="3" t="s">
        <v>64</v>
      </c>
      <c r="F11" s="16">
        <v>0</v>
      </c>
    </row>
    <row r="12" spans="1:11" x14ac:dyDescent="0.25">
      <c r="A12" s="5" t="s">
        <v>65</v>
      </c>
      <c r="B12" s="33">
        <f>'Opex Modelling Results'!F15</f>
        <v>0.54869849999999998</v>
      </c>
      <c r="C12" s="142">
        <f>'[1]SD 5. Operational data'!$BM$47</f>
        <v>844244</v>
      </c>
      <c r="E12" s="3" t="s">
        <v>65</v>
      </c>
      <c r="F12" s="16">
        <v>0</v>
      </c>
    </row>
    <row r="13" spans="1:11" x14ac:dyDescent="0.25">
      <c r="A13" s="5" t="s">
        <v>66</v>
      </c>
      <c r="B13" s="33">
        <f>'Opex Modelling Results'!F16</f>
        <v>0.71820779999999995</v>
      </c>
      <c r="C13" s="142">
        <f>'[1]SD 5. Operational data'!$BV$47</f>
        <v>318830</v>
      </c>
      <c r="E13" s="3" t="s">
        <v>66</v>
      </c>
      <c r="F13" s="16">
        <v>0</v>
      </c>
    </row>
    <row r="14" spans="1:11" x14ac:dyDescent="0.25">
      <c r="A14" s="5" t="s">
        <v>67</v>
      </c>
      <c r="B14" s="33">
        <f>'Opex Modelling Results'!F17</f>
        <v>0.94602019999999998</v>
      </c>
      <c r="C14" s="142">
        <f>'[1]SD 5. Operational data'!$CE$47</f>
        <v>753913.41676783864</v>
      </c>
      <c r="E14" s="3" t="s">
        <v>67</v>
      </c>
      <c r="F14" s="16">
        <v>0</v>
      </c>
    </row>
    <row r="15" spans="1:11" x14ac:dyDescent="0.25">
      <c r="A15" s="5" t="s">
        <v>68</v>
      </c>
      <c r="B15" s="33">
        <f>'Opex Modelling Results'!F18</f>
        <v>0.84367110000000001</v>
      </c>
      <c r="C15" s="142">
        <f>'[1]SD 5. Operational data'!$CN$47</f>
        <v>847766</v>
      </c>
      <c r="E15" s="3" t="s">
        <v>68</v>
      </c>
      <c r="F15" s="16">
        <v>0</v>
      </c>
    </row>
    <row r="16" spans="1:11" x14ac:dyDescent="0.25">
      <c r="A16" s="5" t="s">
        <v>69</v>
      </c>
      <c r="B16" s="33">
        <f>'Opex Modelling Results'!F19</f>
        <v>0.76780820000000005</v>
      </c>
      <c r="C16" s="142">
        <f>'[1]SD 5. Operational data'!$CW$47</f>
        <v>681299.00000000012</v>
      </c>
      <c r="E16" s="3" t="s">
        <v>69</v>
      </c>
      <c r="F16" s="16">
        <v>1</v>
      </c>
    </row>
    <row r="17" spans="1:6" x14ac:dyDescent="0.25">
      <c r="A17" s="5" t="s">
        <v>70</v>
      </c>
      <c r="B17" s="33">
        <f>'Opex Modelling Results'!F20</f>
        <v>0.7334465</v>
      </c>
      <c r="C17" s="142">
        <f>'[1]SD 5. Operational data'!$DF$47</f>
        <v>279868</v>
      </c>
      <c r="E17" s="3" t="s">
        <v>70</v>
      </c>
      <c r="F17" s="16">
        <v>0</v>
      </c>
    </row>
    <row r="18" spans="1:6" x14ac:dyDescent="0.25">
      <c r="A18" s="5" t="s">
        <v>71</v>
      </c>
      <c r="B18" s="33">
        <f>'Opex Modelling Results'!F21</f>
        <v>0.84272919999999996</v>
      </c>
      <c r="C18" s="142">
        <f>'[1]SD 5. Operational data'!$DO$47</f>
        <v>656516</v>
      </c>
      <c r="E18" s="3" t="s">
        <v>71</v>
      </c>
      <c r="F18" s="16">
        <v>0</v>
      </c>
    </row>
    <row r="19" spans="1:6" ht="30" x14ac:dyDescent="0.25">
      <c r="A19" s="5"/>
      <c r="C19" s="143"/>
      <c r="E19" s="8" t="s">
        <v>60</v>
      </c>
      <c r="F19" s="45">
        <f>(F6*B6*C6+F7*B7*C7+F8*B8*C8+F9*B9*C9+F10*B10*C10+F11*B11*C11+F12*B12*C12+F13*B13*C13+F14*B14*C14+F15*B15*C15+F16*B16*C16+F17*B17*C17+F18*B18*C18)/(F6*C6+F7*C7+F8*C8+F9*C9+F10*C10+F11*C11+F12*C12+F13*C13+F14*C14+F15*C15+F16*C16+F17*C17+F18*C18)</f>
        <v>0.76780820000000005</v>
      </c>
    </row>
    <row r="20" spans="1:6" ht="16.5" customHeight="1" x14ac:dyDescent="0.25">
      <c r="C20" s="3"/>
      <c r="E20" s="1"/>
    </row>
    <row r="21" spans="1:6" x14ac:dyDescent="0.25">
      <c r="C21" s="3"/>
    </row>
    <row r="22" spans="1:6" x14ac:dyDescent="0.25">
      <c r="C22" s="3"/>
    </row>
    <row r="24" spans="1:6" x14ac:dyDescent="0.25">
      <c r="A24" s="9"/>
    </row>
    <row r="25" spans="1:6" x14ac:dyDescent="0.25">
      <c r="A25" s="9"/>
    </row>
    <row r="26" spans="1:6" x14ac:dyDescent="0.25">
      <c r="A26" s="9"/>
    </row>
    <row r="27" spans="1:6" x14ac:dyDescent="0.25">
      <c r="A27" s="9"/>
    </row>
    <row r="28" spans="1:6" x14ac:dyDescent="0.25">
      <c r="A28" s="9"/>
    </row>
    <row r="29" spans="1:6" x14ac:dyDescent="0.25">
      <c r="A29" s="9"/>
    </row>
    <row r="30" spans="1:6" x14ac:dyDescent="0.25">
      <c r="A30" s="9"/>
    </row>
    <row r="31" spans="1:6" x14ac:dyDescent="0.25">
      <c r="A31" s="9"/>
    </row>
    <row r="32" spans="1:6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workbookViewId="0">
      <pane xSplit="1" topLeftCell="B1" activePane="topRight" state="frozen"/>
      <selection activeCell="E30" sqref="E30"/>
      <selection pane="topRight"/>
    </sheetView>
  </sheetViews>
  <sheetFormatPr defaultColWidth="8.7109375" defaultRowHeight="12.75" x14ac:dyDescent="0.2"/>
  <cols>
    <col min="1" max="1" width="36.7109375" customWidth="1"/>
    <col min="2" max="2" width="12.140625" customWidth="1"/>
    <col min="3" max="4" width="8.7109375" customWidth="1"/>
    <col min="5" max="6" width="14.7109375" customWidth="1"/>
    <col min="7" max="7" width="8.7109375" customWidth="1"/>
    <col min="8" max="8" width="11.7109375" customWidth="1"/>
    <col min="9" max="11" width="8.7109375" customWidth="1"/>
    <col min="12" max="12" width="14.42578125" customWidth="1"/>
    <col min="13" max="13" width="12.140625" customWidth="1"/>
    <col min="14" max="19" width="8.7109375" customWidth="1"/>
    <col min="20" max="20" width="10.5703125" customWidth="1"/>
    <col min="21" max="21" width="4.85546875" customWidth="1"/>
  </cols>
  <sheetData>
    <row r="1" spans="1:11" s="51" customFormat="1" ht="15" x14ac:dyDescent="0.25">
      <c r="A1" s="50" t="s">
        <v>174</v>
      </c>
    </row>
    <row r="2" spans="1:11" s="51" customFormat="1" ht="15" x14ac:dyDescent="0.25">
      <c r="A2" s="50"/>
      <c r="H2" s="46" t="s">
        <v>154</v>
      </c>
    </row>
    <row r="3" spans="1:11" s="51" customFormat="1" ht="15" x14ac:dyDescent="0.25">
      <c r="A3" s="50" t="s">
        <v>1</v>
      </c>
      <c r="B3" s="52" t="s">
        <v>32</v>
      </c>
      <c r="C3" s="50" t="s">
        <v>2</v>
      </c>
      <c r="D3" s="50"/>
      <c r="E3" s="50"/>
      <c r="F3" s="50"/>
      <c r="H3" s="51" t="s">
        <v>72</v>
      </c>
    </row>
    <row r="4" spans="1:11" s="51" customFormat="1" ht="15" x14ac:dyDescent="0.25">
      <c r="A4" s="53" t="s">
        <v>10</v>
      </c>
      <c r="B4" s="54">
        <f>'Opex Modelling Results'!B10</f>
        <v>0.6666282</v>
      </c>
      <c r="C4" s="55">
        <f>B4/SUM(B$4:B$6)</f>
        <v>0.67608294961721682</v>
      </c>
      <c r="D4" s="56"/>
      <c r="E4" s="56"/>
      <c r="F4" s="56"/>
      <c r="H4" s="51" t="s">
        <v>63</v>
      </c>
      <c r="I4" s="57">
        <f>'Efficiency Target Option'!K6</f>
        <v>5.7472806620194827E-2</v>
      </c>
      <c r="J4" s="57"/>
    </row>
    <row r="5" spans="1:11" s="51" customFormat="1" ht="15" x14ac:dyDescent="0.25">
      <c r="A5" s="53" t="s">
        <v>15</v>
      </c>
      <c r="B5" s="54">
        <f>'Opex Modelling Results'!B11</f>
        <v>0.1055306</v>
      </c>
      <c r="C5" s="55">
        <f>B5/SUM(B$4:B$6)</f>
        <v>0.10702733446151043</v>
      </c>
      <c r="D5" s="56"/>
      <c r="E5" s="56"/>
      <c r="F5" s="56"/>
      <c r="H5" s="51" t="s">
        <v>64</v>
      </c>
      <c r="I5" s="57">
        <f>'Efficiency Target Option'!K7</f>
        <v>0.2196462267529834</v>
      </c>
      <c r="J5" s="57"/>
    </row>
    <row r="6" spans="1:11" s="51" customFormat="1" ht="15" x14ac:dyDescent="0.25">
      <c r="A6" s="53" t="s">
        <v>17</v>
      </c>
      <c r="B6" s="54">
        <f>'Opex Modelling Results'!B12</f>
        <v>0.21385660000000001</v>
      </c>
      <c r="C6" s="55">
        <f>B6/SUM(B$4:B$6)</f>
        <v>0.21688971592127262</v>
      </c>
      <c r="D6" s="56"/>
      <c r="E6" s="56"/>
      <c r="F6" s="56"/>
      <c r="H6" s="62"/>
      <c r="I6" s="144"/>
      <c r="J6" s="144"/>
    </row>
    <row r="7" spans="1:11" s="51" customFormat="1" ht="12.75" customHeight="1" x14ac:dyDescent="0.25">
      <c r="A7" s="53" t="s">
        <v>20</v>
      </c>
      <c r="B7" s="54">
        <f>'Opex Modelling Results'!B13</f>
        <v>-0.1313396</v>
      </c>
      <c r="I7" s="58"/>
      <c r="J7" s="58"/>
    </row>
    <row r="8" spans="1:11" s="51" customFormat="1" ht="12.75" customHeight="1" x14ac:dyDescent="0.25">
      <c r="A8" s="53" t="s">
        <v>0</v>
      </c>
      <c r="B8" s="54">
        <f>'Opex Modelling Results'!B14</f>
        <v>1.7866E-2</v>
      </c>
    </row>
    <row r="9" spans="1:11" s="51" customFormat="1" ht="15" x14ac:dyDescent="0.25">
      <c r="B9" s="56"/>
      <c r="J9" s="62"/>
    </row>
    <row r="10" spans="1:11" s="51" customFormat="1" ht="15" x14ac:dyDescent="0.25">
      <c r="A10" s="50" t="s">
        <v>22</v>
      </c>
      <c r="B10" s="50"/>
      <c r="C10" s="50"/>
      <c r="E10" s="52" t="s">
        <v>33</v>
      </c>
      <c r="F10" s="52"/>
      <c r="G10" s="52"/>
      <c r="H10" s="52"/>
      <c r="I10" s="52" t="s">
        <v>34</v>
      </c>
      <c r="J10" s="72"/>
      <c r="K10" s="52"/>
    </row>
    <row r="11" spans="1:11" s="51" customFormat="1" ht="15" x14ac:dyDescent="0.25">
      <c r="E11" s="59">
        <v>2013</v>
      </c>
      <c r="F11" s="68"/>
      <c r="G11" s="50"/>
      <c r="H11" s="50"/>
      <c r="I11" s="59">
        <v>2013</v>
      </c>
      <c r="J11" s="68"/>
      <c r="K11" s="50"/>
    </row>
    <row r="12" spans="1:11" s="62" customFormat="1" ht="15" x14ac:dyDescent="0.25">
      <c r="A12" s="60" t="s">
        <v>10</v>
      </c>
      <c r="B12" s="60"/>
      <c r="C12" s="60"/>
      <c r="D12" s="60"/>
      <c r="E12" s="113">
        <f>'Cost Drivers'!K19</f>
        <v>5.0978880920202981E-2</v>
      </c>
      <c r="F12" s="61"/>
      <c r="G12" s="61"/>
      <c r="H12" s="61"/>
      <c r="I12" s="113">
        <f>'Cost Drivers'!U19</f>
        <v>6.1244640192202222E-2</v>
      </c>
      <c r="J12" s="61"/>
      <c r="K12" s="61"/>
    </row>
    <row r="13" spans="1:11" s="62" customFormat="1" ht="12.75" customHeight="1" x14ac:dyDescent="0.25">
      <c r="A13" s="60" t="s">
        <v>15</v>
      </c>
      <c r="B13" s="60"/>
      <c r="C13" s="60"/>
      <c r="D13" s="60"/>
      <c r="E13" s="113">
        <f>'Cost Drivers'!K20</f>
        <v>4.4477548949778706E-2</v>
      </c>
      <c r="F13" s="61"/>
      <c r="G13" s="61"/>
      <c r="H13" s="61"/>
      <c r="I13" s="113">
        <f>'Cost Drivers'!U20</f>
        <v>-4.3706585698446388E-3</v>
      </c>
      <c r="J13" s="61"/>
      <c r="K13" s="61"/>
    </row>
    <row r="14" spans="1:11" s="62" customFormat="1" ht="13.5" customHeight="1" x14ac:dyDescent="0.25">
      <c r="A14" s="60" t="s">
        <v>17</v>
      </c>
      <c r="B14" s="60"/>
      <c r="C14" s="60"/>
      <c r="D14" s="60"/>
      <c r="E14" s="113">
        <f>'Cost Drivers'!K21</f>
        <v>6.1380588475051824E-2</v>
      </c>
      <c r="F14" s="61"/>
      <c r="G14" s="61"/>
      <c r="H14" s="61"/>
      <c r="I14" s="113">
        <f>'Cost Drivers'!U21</f>
        <v>4.4972686143659249E-2</v>
      </c>
      <c r="J14" s="61"/>
      <c r="K14" s="61"/>
    </row>
    <row r="15" spans="1:11" s="63" customFormat="1" ht="15" x14ac:dyDescent="0.25">
      <c r="A15" s="63" t="s">
        <v>53</v>
      </c>
      <c r="E15" s="64">
        <f>$C4*E12+$C5*E13+$C6*E14</f>
        <v>5.2539084085626381E-2</v>
      </c>
      <c r="F15" s="65"/>
      <c r="G15" s="65"/>
      <c r="H15" s="65"/>
      <c r="I15" s="64">
        <f>$C4*I12+$C5*I13+$C6*I14</f>
        <v>5.0692790174732202E-2</v>
      </c>
      <c r="J15" s="65"/>
      <c r="K15" s="65"/>
    </row>
    <row r="16" spans="1:11" s="62" customFormat="1" ht="15" x14ac:dyDescent="0.25">
      <c r="A16" s="60" t="s">
        <v>20</v>
      </c>
      <c r="B16" s="60"/>
      <c r="C16" s="60"/>
      <c r="D16" s="60"/>
      <c r="E16" s="113">
        <f>'Cost Drivers'!K22</f>
        <v>0.12573119940916982</v>
      </c>
      <c r="F16" s="61"/>
      <c r="G16" s="61"/>
      <c r="H16" s="61"/>
      <c r="I16" s="113">
        <f>'Cost Drivers'!U22</f>
        <v>0.26927702006206761</v>
      </c>
      <c r="J16" s="61"/>
      <c r="K16" s="61"/>
    </row>
    <row r="17" spans="1:20" s="62" customFormat="1" ht="15" x14ac:dyDescent="0.25">
      <c r="G17" s="66"/>
      <c r="H17" s="66"/>
      <c r="K17" s="66"/>
    </row>
    <row r="18" spans="1:20" s="62" customFormat="1" ht="15" x14ac:dyDescent="0.25">
      <c r="A18" s="63" t="s">
        <v>6</v>
      </c>
      <c r="B18" s="63"/>
      <c r="C18" s="63"/>
      <c r="D18" s="63"/>
      <c r="E18" s="63"/>
      <c r="F18" s="63"/>
      <c r="G18" s="67"/>
      <c r="H18" s="67"/>
      <c r="K18" s="67"/>
    </row>
    <row r="19" spans="1:20" s="62" customFormat="1" ht="15" x14ac:dyDescent="0.25">
      <c r="I19" s="68"/>
      <c r="J19" s="68"/>
    </row>
    <row r="20" spans="1:20" s="62" customFormat="1" ht="15" x14ac:dyDescent="0.25">
      <c r="A20" s="62" t="s">
        <v>3</v>
      </c>
      <c r="E20" s="69">
        <f>-$B8*3.5</f>
        <v>-6.2531000000000003E-2</v>
      </c>
      <c r="F20" s="66"/>
      <c r="G20" s="66"/>
      <c r="H20" s="66"/>
      <c r="I20" s="69">
        <f>-$B8*3.5</f>
        <v>-6.2531000000000003E-2</v>
      </c>
      <c r="J20" s="66"/>
      <c r="K20" s="66"/>
    </row>
    <row r="21" spans="1:20" s="62" customFormat="1" ht="15" x14ac:dyDescent="0.25">
      <c r="A21" s="62" t="s">
        <v>4</v>
      </c>
      <c r="E21" s="69">
        <f>(1-$B4-$B5-$B6)*E15</f>
        <v>7.3473807530384993E-4</v>
      </c>
      <c r="F21" s="66"/>
      <c r="G21" s="66"/>
      <c r="H21" s="66"/>
      <c r="I21" s="69">
        <f>(1-$B4-$B5-$B6)*I15</f>
        <v>7.0891839347755924E-4</v>
      </c>
      <c r="J21" s="66"/>
      <c r="K21" s="66"/>
    </row>
    <row r="22" spans="1:20" s="62" customFormat="1" ht="15" x14ac:dyDescent="0.25">
      <c r="A22" s="62" t="s">
        <v>5</v>
      </c>
      <c r="E22" s="69">
        <f>$B7*E16</f>
        <v>-1.65134854379206E-2</v>
      </c>
      <c r="F22" s="66"/>
      <c r="G22" s="66"/>
      <c r="H22" s="66"/>
      <c r="I22" s="69">
        <f>$B7*I16</f>
        <v>-3.5366736104143932E-2</v>
      </c>
      <c r="J22" s="66"/>
      <c r="K22" s="66"/>
    </row>
    <row r="23" spans="1:20" s="62" customFormat="1" ht="15" x14ac:dyDescent="0.25">
      <c r="I23" s="66"/>
      <c r="J23" s="66"/>
    </row>
    <row r="24" spans="1:20" s="62" customFormat="1" ht="15" x14ac:dyDescent="0.25">
      <c r="A24" s="63" t="s">
        <v>55</v>
      </c>
      <c r="B24" s="63"/>
      <c r="C24" s="63"/>
      <c r="D24" s="63"/>
      <c r="E24" s="70">
        <f>E20+E21-E22</f>
        <v>-4.5282776486775547E-2</v>
      </c>
      <c r="F24" s="67"/>
      <c r="G24" s="67"/>
      <c r="H24" s="67"/>
      <c r="I24" s="70">
        <f>I20+I21-I22</f>
        <v>-2.6455345502378512E-2</v>
      </c>
      <c r="J24" s="67"/>
      <c r="K24" s="67"/>
    </row>
    <row r="25" spans="1:20" s="62" customFormat="1" ht="15" x14ac:dyDescent="0.25"/>
    <row r="26" spans="1:20" s="71" customFormat="1" ht="15" x14ac:dyDescent="0.25">
      <c r="A26" s="71" t="s">
        <v>54</v>
      </c>
      <c r="E26" s="47">
        <v>0</v>
      </c>
      <c r="F26" s="145"/>
      <c r="I26" s="47">
        <v>0</v>
      </c>
      <c r="J26" s="145"/>
    </row>
    <row r="27" spans="1:20" s="62" customFormat="1" ht="15" x14ac:dyDescent="0.25">
      <c r="D27" s="72"/>
      <c r="E27" s="72"/>
      <c r="F27" s="72"/>
    </row>
    <row r="28" spans="1:20" s="61" customFormat="1" ht="15" x14ac:dyDescent="0.25">
      <c r="A28" s="65" t="s">
        <v>56</v>
      </c>
      <c r="E28" s="73">
        <f>(1+E15)*(1+E26)*(1-E24)-1</f>
        <v>0.10020097617387136</v>
      </c>
      <c r="F28" s="146"/>
      <c r="I28" s="73">
        <f>(1+I15)*(1+I26)*(1-I24)-1</f>
        <v>7.848923095566307E-2</v>
      </c>
      <c r="J28" s="146"/>
    </row>
    <row r="29" spans="1:20" s="62" customFormat="1" ht="15" x14ac:dyDescent="0.25"/>
    <row r="30" spans="1:20" s="75" customFormat="1" ht="15" x14ac:dyDescent="0.25">
      <c r="A30" s="74" t="s">
        <v>85</v>
      </c>
      <c r="D30" s="48">
        <f>AVERAGE('Cost Drivers'!D13:'Cost Drivers'!K13)*(1-I4)</f>
        <v>297205.89321927819</v>
      </c>
      <c r="E30" s="76">
        <f>D30*(1+E28)</f>
        <v>326986.21384447726</v>
      </c>
      <c r="F30" s="77"/>
      <c r="H30" s="76">
        <f>AVERAGE('Cost Drivers'!$N$13:'Cost Drivers'!$U$13)*(1-I5)</f>
        <v>265643.56077073456</v>
      </c>
      <c r="I30" s="76">
        <f>H30*(1+I28)</f>
        <v>286493.71956395346</v>
      </c>
      <c r="J30" s="77"/>
    </row>
    <row r="31" spans="1:20" s="75" customFormat="1" ht="15" x14ac:dyDescent="0.25">
      <c r="A31" s="77"/>
      <c r="D31" s="49"/>
      <c r="E31" s="49"/>
      <c r="F31" s="49"/>
      <c r="L31" s="77"/>
      <c r="M31" s="77"/>
      <c r="T31" s="77"/>
    </row>
    <row r="32" spans="1:20" s="62" customFormat="1" ht="15" x14ac:dyDescent="0.25">
      <c r="B32" s="78"/>
    </row>
    <row r="33" spans="1:2" s="62" customFormat="1" ht="15" x14ac:dyDescent="0.25">
      <c r="A33" s="79"/>
      <c r="B33" s="78"/>
    </row>
    <row r="34" spans="1:2" s="62" customFormat="1" ht="15" x14ac:dyDescent="0.25">
      <c r="B34" s="78"/>
    </row>
    <row r="35" spans="1:2" s="62" customFormat="1" ht="15" x14ac:dyDescent="0.25">
      <c r="B35" s="78"/>
    </row>
    <row r="36" spans="1:2" s="51" customFormat="1" ht="15" x14ac:dyDescent="0.25"/>
  </sheetData>
  <phoneticPr fontId="7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zoomScaleNormal="100" workbookViewId="0">
      <selection activeCell="H22" sqref="H22"/>
    </sheetView>
  </sheetViews>
  <sheetFormatPr defaultRowHeight="12.75" x14ac:dyDescent="0.2"/>
  <cols>
    <col min="1" max="1" width="56.7109375" customWidth="1"/>
    <col min="2" max="2" width="27.5703125" customWidth="1"/>
    <col min="3" max="3" width="7.85546875" customWidth="1"/>
    <col min="4" max="4" width="31" customWidth="1"/>
    <col min="5" max="5" width="10.85546875" customWidth="1"/>
    <col min="6" max="6" width="10.7109375" customWidth="1"/>
    <col min="7" max="7" width="10.42578125" customWidth="1"/>
  </cols>
  <sheetData>
    <row r="1" spans="1:7" s="10" customFormat="1" ht="15" x14ac:dyDescent="0.25">
      <c r="A1" s="114" t="s">
        <v>175</v>
      </c>
      <c r="B1" s="115"/>
      <c r="C1" s="115"/>
      <c r="D1" s="115"/>
    </row>
    <row r="2" spans="1:7" s="10" customFormat="1" ht="15" x14ac:dyDescent="0.25">
      <c r="A2" s="115"/>
      <c r="B2" s="115"/>
      <c r="C2" s="115"/>
      <c r="D2" s="115"/>
    </row>
    <row r="3" spans="1:7" s="10" customFormat="1" ht="15" x14ac:dyDescent="0.25">
      <c r="E3" s="116" t="s">
        <v>120</v>
      </c>
      <c r="F3" s="116" t="s">
        <v>121</v>
      </c>
      <c r="G3" s="116" t="s">
        <v>161</v>
      </c>
    </row>
    <row r="4" spans="1:7" s="10" customFormat="1" ht="15" x14ac:dyDescent="0.25">
      <c r="A4" s="10" t="s">
        <v>159</v>
      </c>
      <c r="E4" s="117">
        <f>'[4]Input|Rate of change'!M$32</f>
        <v>1.0632434553044767</v>
      </c>
      <c r="F4" s="117">
        <f>'[4]Input|Rate of change'!N$32</f>
        <v>1.0352651495926488</v>
      </c>
      <c r="G4" s="117">
        <f>'[4]Input|Rate of change'!$O$32</f>
        <v>1.0099504938362078</v>
      </c>
    </row>
    <row r="5" spans="1:7" s="10" customFormat="1" ht="15" x14ac:dyDescent="0.25"/>
    <row r="6" spans="1:7" s="22" customFormat="1" ht="15" x14ac:dyDescent="0.25">
      <c r="A6" s="22" t="s">
        <v>122</v>
      </c>
      <c r="E6" s="22" t="s">
        <v>141</v>
      </c>
      <c r="F6" s="22" t="s">
        <v>142</v>
      </c>
      <c r="G6" s="10"/>
    </row>
    <row r="7" spans="1:7" s="10" customFormat="1" ht="15" x14ac:dyDescent="0.25">
      <c r="B7" s="27" t="s">
        <v>9</v>
      </c>
      <c r="C7" s="27" t="s">
        <v>123</v>
      </c>
      <c r="D7" s="27" t="s">
        <v>124</v>
      </c>
      <c r="E7" s="118" t="s">
        <v>120</v>
      </c>
      <c r="F7" s="118" t="s">
        <v>120</v>
      </c>
    </row>
    <row r="8" spans="1:7" s="10" customFormat="1" ht="15" x14ac:dyDescent="0.25">
      <c r="A8" s="119" t="s">
        <v>125</v>
      </c>
      <c r="B8" s="120" t="s">
        <v>149</v>
      </c>
      <c r="C8" s="120" t="s">
        <v>176</v>
      </c>
      <c r="D8" s="120"/>
      <c r="E8" s="121">
        <f>'[6]Input|Reported opex'!$L$32</f>
        <v>572.02559999999994</v>
      </c>
      <c r="F8" s="121">
        <f>'[7]Input|Reported opex'!$L$32</f>
        <v>422.137</v>
      </c>
    </row>
    <row r="9" spans="1:7" s="10" customFormat="1" ht="15" x14ac:dyDescent="0.25">
      <c r="A9" s="120" t="s">
        <v>155</v>
      </c>
      <c r="B9" s="120" t="s">
        <v>149</v>
      </c>
      <c r="C9" s="120" t="s">
        <v>156</v>
      </c>
      <c r="D9" s="120"/>
      <c r="E9" s="121">
        <f>'[6]Input|Reported opex'!$L$34</f>
        <v>-167.08870000000002</v>
      </c>
      <c r="F9" s="121">
        <f>'[7]Input|Reported opex'!$L$34</f>
        <v>-75.867000000000004</v>
      </c>
    </row>
    <row r="10" spans="1:7" s="10" customFormat="1" ht="15" x14ac:dyDescent="0.25">
      <c r="A10" s="120" t="s">
        <v>126</v>
      </c>
      <c r="B10" s="120" t="s">
        <v>149</v>
      </c>
      <c r="C10" s="120" t="s">
        <v>127</v>
      </c>
      <c r="D10" s="120"/>
      <c r="E10" s="121">
        <f>'[6]Input|Reported opex'!$L$33</f>
        <v>-4.4811000000000005</v>
      </c>
      <c r="F10" s="121">
        <f>'[7]Input|Reported opex'!$L$33</f>
        <v>-5.194</v>
      </c>
    </row>
    <row r="11" spans="1:7" s="10" customFormat="1" ht="15" x14ac:dyDescent="0.25">
      <c r="A11" s="120" t="s">
        <v>128</v>
      </c>
      <c r="B11" s="120" t="s">
        <v>149</v>
      </c>
      <c r="C11" s="120" t="s">
        <v>147</v>
      </c>
      <c r="D11" s="120"/>
      <c r="E11" s="121"/>
      <c r="F11" s="122"/>
    </row>
    <row r="12" spans="1:7" s="10" customFormat="1" ht="15" x14ac:dyDescent="0.25">
      <c r="A12" s="120" t="s">
        <v>158</v>
      </c>
      <c r="B12" s="120" t="s">
        <v>149</v>
      </c>
      <c r="C12" s="120" t="s">
        <v>157</v>
      </c>
      <c r="D12" s="120"/>
      <c r="E12" s="121">
        <f>'[5]Base year adjustments'!$B$44</f>
        <v>-13.629138064999999</v>
      </c>
      <c r="F12" s="121">
        <f>'[7]Input|Reported opex'!$L$53</f>
        <v>-20.246826752255458</v>
      </c>
    </row>
    <row r="13" spans="1:7" s="10" customFormat="1" ht="15" x14ac:dyDescent="0.25">
      <c r="A13" s="120" t="s">
        <v>148</v>
      </c>
      <c r="B13" s="120"/>
      <c r="C13" s="120"/>
      <c r="D13" s="120"/>
      <c r="E13" s="121"/>
      <c r="F13" s="121"/>
    </row>
    <row r="14" spans="1:7" s="10" customFormat="1" ht="15" x14ac:dyDescent="0.25">
      <c r="A14" s="123" t="s">
        <v>129</v>
      </c>
      <c r="B14" s="120" t="s">
        <v>149</v>
      </c>
      <c r="C14" s="120" t="s">
        <v>130</v>
      </c>
      <c r="D14" s="120" t="s">
        <v>177</v>
      </c>
      <c r="E14" s="124">
        <f>SUM(E8:E13)</f>
        <v>386.82666193499989</v>
      </c>
      <c r="F14" s="124">
        <f>SUM(F8:F13)</f>
        <v>320.82917324774451</v>
      </c>
    </row>
    <row r="15" spans="1:7" s="10" customFormat="1" ht="15" x14ac:dyDescent="0.25">
      <c r="A15" s="120"/>
      <c r="B15" s="120"/>
      <c r="C15" s="120"/>
      <c r="D15" s="125"/>
      <c r="E15" s="126"/>
      <c r="F15" s="126"/>
    </row>
    <row r="16" spans="1:7" s="10" customFormat="1" ht="15" x14ac:dyDescent="0.25">
      <c r="A16" s="119" t="s">
        <v>162</v>
      </c>
      <c r="E16" s="127"/>
      <c r="F16" s="127"/>
    </row>
    <row r="17" spans="1:7" s="10" customFormat="1" ht="15" x14ac:dyDescent="0.25">
      <c r="A17" s="10" t="s">
        <v>150</v>
      </c>
      <c r="B17" s="120" t="s">
        <v>160</v>
      </c>
      <c r="C17" s="120" t="s">
        <v>131</v>
      </c>
      <c r="D17" s="120" t="s">
        <v>132</v>
      </c>
      <c r="E17" s="124">
        <f>E14*$E$4</f>
        <v>411.29091663966597</v>
      </c>
      <c r="F17" s="124">
        <f>F14*$E$4</f>
        <v>341.11951872641043</v>
      </c>
    </row>
    <row r="18" spans="1:7" s="10" customFormat="1" ht="15" x14ac:dyDescent="0.25">
      <c r="A18" s="120"/>
      <c r="B18" s="120"/>
      <c r="C18" s="120"/>
      <c r="D18" s="120"/>
      <c r="E18" s="127"/>
      <c r="F18" s="127"/>
    </row>
    <row r="19" spans="1:7" s="10" customFormat="1" ht="15" x14ac:dyDescent="0.25">
      <c r="A19" s="128" t="s">
        <v>133</v>
      </c>
      <c r="B19" s="120"/>
      <c r="C19" s="120"/>
      <c r="D19" s="120"/>
      <c r="E19" s="127"/>
      <c r="F19" s="127"/>
    </row>
    <row r="20" spans="1:7" s="10" customFormat="1" ht="15" x14ac:dyDescent="0.25">
      <c r="A20" s="10" t="s">
        <v>151</v>
      </c>
      <c r="B20" s="120" t="s">
        <v>149</v>
      </c>
      <c r="C20" s="120" t="s">
        <v>134</v>
      </c>
      <c r="D20" s="120" t="s">
        <v>135</v>
      </c>
      <c r="E20" s="124">
        <f>'Opex Forecasts'!E30/1000</f>
        <v>326.98621384447728</v>
      </c>
      <c r="F20" s="124">
        <f>'Opex Forecasts'!I30/1000</f>
        <v>286.49371956395345</v>
      </c>
    </row>
    <row r="21" spans="1:7" s="10" customFormat="1" ht="15" x14ac:dyDescent="0.25">
      <c r="A21" s="10" t="s">
        <v>152</v>
      </c>
      <c r="B21" s="120" t="s">
        <v>160</v>
      </c>
      <c r="C21" s="120" t="s">
        <v>136</v>
      </c>
      <c r="D21" s="120" t="s">
        <v>137</v>
      </c>
      <c r="E21" s="124">
        <f>E20*$E$4</f>
        <v>347.66595184493053</v>
      </c>
      <c r="F21" s="124">
        <f>F20*$E$4</f>
        <v>304.61257231220964</v>
      </c>
    </row>
    <row r="22" spans="1:7" s="10" customFormat="1" ht="15" x14ac:dyDescent="0.25">
      <c r="A22" s="22"/>
      <c r="B22" s="120"/>
      <c r="C22" s="120"/>
      <c r="D22" s="120"/>
      <c r="E22" s="127"/>
      <c r="F22" s="127"/>
    </row>
    <row r="23" spans="1:7" s="10" customFormat="1" ht="15" x14ac:dyDescent="0.25">
      <c r="A23" s="22" t="s">
        <v>143</v>
      </c>
      <c r="B23" s="120"/>
      <c r="C23" s="120"/>
      <c r="D23" s="120"/>
      <c r="E23" s="129"/>
      <c r="F23" s="129"/>
    </row>
    <row r="24" spans="1:7" s="10" customFormat="1" ht="15" x14ac:dyDescent="0.25">
      <c r="A24" s="123" t="s">
        <v>140</v>
      </c>
      <c r="B24" s="120"/>
      <c r="C24" s="120"/>
      <c r="D24" s="120"/>
      <c r="E24" s="129"/>
      <c r="F24" s="129"/>
    </row>
    <row r="25" spans="1:7" s="10" customFormat="1" ht="15" x14ac:dyDescent="0.25">
      <c r="A25" s="10" t="s">
        <v>145</v>
      </c>
      <c r="B25" s="120" t="s">
        <v>160</v>
      </c>
      <c r="C25" s="120" t="s">
        <v>138</v>
      </c>
      <c r="D25" s="120" t="s">
        <v>146</v>
      </c>
      <c r="E25" s="124">
        <f>E17-E21</f>
        <v>63.624964794735433</v>
      </c>
      <c r="F25" s="124">
        <f>F17-F21</f>
        <v>36.506946414200797</v>
      </c>
    </row>
    <row r="26" spans="1:7" s="10" customFormat="1" ht="15" x14ac:dyDescent="0.25">
      <c r="A26" s="10" t="s">
        <v>144</v>
      </c>
      <c r="B26" s="120" t="s">
        <v>48</v>
      </c>
      <c r="C26" s="120" t="s">
        <v>139</v>
      </c>
      <c r="D26" s="120" t="s">
        <v>178</v>
      </c>
      <c r="E26" s="130">
        <f>E25/E17</f>
        <v>0.1546957693949696</v>
      </c>
      <c r="F26" s="130">
        <f>F25/F17</f>
        <v>0.10702098358517158</v>
      </c>
    </row>
    <row r="27" spans="1:7" s="131" customFormat="1" ht="15.75" x14ac:dyDescent="0.25">
      <c r="G27" s="10"/>
    </row>
  </sheetData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Readme</vt:lpstr>
      <vt:lpstr>Cost Drivers</vt:lpstr>
      <vt:lpstr>Opex Modelling Results</vt:lpstr>
      <vt:lpstr>Efficiency Target Option</vt:lpstr>
      <vt:lpstr>Opex Forecasts</vt:lpstr>
      <vt:lpstr>Base Year Adjustment</vt:lpstr>
      <vt:lpstr>'Base Year Adjustment'!Print_Area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Lawrence</dc:creator>
  <cp:lastModifiedBy>Ley, Andrew</cp:lastModifiedBy>
  <cp:lastPrinted>2015-04-15T00:46:45Z</cp:lastPrinted>
  <dcterms:created xsi:type="dcterms:W3CDTF">2011-11-02T03:26:32Z</dcterms:created>
  <dcterms:modified xsi:type="dcterms:W3CDTF">2015-04-21T03:51:41Z</dcterms:modified>
</cp:coreProperties>
</file>