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ndeavour Energy - 10.26 Connections Capex Forecasting Model - April 2018 - Public\"/>
    </mc:Choice>
  </mc:AlternateContent>
  <bookViews>
    <workbookView xWindow="-12" yWindow="5904" windowWidth="6432" windowHeight="5796" firstSheet="1" activeTab="1"/>
  </bookViews>
  <sheets>
    <sheet name="Reverse Reimbursement Policy" sheetId="5" r:id="rId1"/>
    <sheet name="Connections Capex" sheetId="1" r:id="rId2"/>
    <sheet name="Captial Contributions" sheetId="2" r:id="rId3"/>
    <sheet name="Customer Forecast" sheetId="3" r:id="rId4"/>
  </sheets>
  <externalReferences>
    <externalReference r:id="rId5"/>
  </externalReferences>
  <definedNames>
    <definedName name="dms_cy10">'[1]AER only'!$D$117</definedName>
    <definedName name="dms_cy11">'[1]AER only'!$D$118</definedName>
    <definedName name="dms_cy12">'[1]AER only'!$D$119</definedName>
    <definedName name="dms_cy4">'[1]AER only'!$D$111</definedName>
    <definedName name="dms_cy5">'[1]AER only'!$D$112</definedName>
    <definedName name="dms_cy6">'[1]AER only'!$D$113</definedName>
    <definedName name="dms_cy7">'[1]AER only'!$D$114</definedName>
    <definedName name="dms_cy8">'[1]AER only'!$D$115</definedName>
    <definedName name="dms_cy9">'[1]AER only'!$D$116</definedName>
    <definedName name="dms_fy10">'[1]AER only'!$C$117</definedName>
    <definedName name="dms_fy11">'[1]AER only'!$C$118</definedName>
    <definedName name="dms_fy12">'[1]AER only'!$C$119</definedName>
    <definedName name="dms_fy4">'[1]AER only'!$C$111</definedName>
    <definedName name="dms_fy5">'[1]AER only'!$C$112</definedName>
    <definedName name="dms_fy6">'[1]AER only'!$C$113</definedName>
    <definedName name="dms_fy7">'[1]AER only'!$C$114</definedName>
    <definedName name="dms_fy8">'[1]AER only'!$C$115</definedName>
    <definedName name="dms_fy9">'[1]AER only'!$C$116</definedName>
    <definedName name="dms_RPT">'[1]Business &amp; other details'!$C$59</definedName>
  </definedNames>
  <calcPr calcId="171027"/>
</workbook>
</file>

<file path=xl/calcChain.xml><?xml version="1.0" encoding="utf-8"?>
<calcChain xmlns="http://schemas.openxmlformats.org/spreadsheetml/2006/main">
  <c r="M10" i="3" l="1"/>
  <c r="N10" i="3"/>
  <c r="O10" i="3"/>
  <c r="P10" i="3"/>
  <c r="Q10" i="3"/>
  <c r="L10" i="3"/>
  <c r="L11" i="3" s="1"/>
  <c r="I14" i="1"/>
  <c r="J14" i="1"/>
  <c r="K14" i="1"/>
  <c r="L14" i="1"/>
  <c r="H49" i="1"/>
  <c r="I49" i="1"/>
  <c r="J49" i="1"/>
  <c r="K49" i="1"/>
  <c r="L49" i="1"/>
  <c r="C8" i="2"/>
  <c r="C9" i="2" s="1"/>
  <c r="C31" i="2"/>
  <c r="C28" i="2"/>
  <c r="C29" i="2"/>
  <c r="C30" i="2"/>
  <c r="I7" i="2"/>
  <c r="L35" i="1"/>
  <c r="H9" i="2"/>
  <c r="K35" i="1"/>
  <c r="J35" i="1"/>
  <c r="I35" i="1"/>
  <c r="E9" i="2"/>
  <c r="H35" i="1"/>
  <c r="G35" i="1"/>
  <c r="D9" i="3"/>
  <c r="E9" i="3"/>
  <c r="F9" i="3"/>
  <c r="G9" i="3"/>
  <c r="H9" i="3"/>
  <c r="R6" i="3"/>
  <c r="R7" i="3"/>
  <c r="R5" i="3"/>
  <c r="L8" i="3"/>
  <c r="M8" i="3"/>
  <c r="N8" i="3"/>
  <c r="N9" i="3" s="1"/>
  <c r="F7" i="2" s="1"/>
  <c r="O8" i="3"/>
  <c r="P8" i="3"/>
  <c r="P9" i="3" s="1"/>
  <c r="H7" i="2" s="1"/>
  <c r="H8" i="2" s="1"/>
  <c r="H21" i="2" s="1"/>
  <c r="Q8" i="3"/>
  <c r="L9" i="3"/>
  <c r="D7" i="2" s="1"/>
  <c r="K8" i="3"/>
  <c r="M9" i="3"/>
  <c r="E7" i="2" s="1"/>
  <c r="E8" i="2" s="1"/>
  <c r="E21" i="2" s="1"/>
  <c r="Q9" i="3"/>
  <c r="K9" i="3"/>
  <c r="C7" i="2" s="1"/>
  <c r="E4" i="5"/>
  <c r="F4" i="5"/>
  <c r="G4" i="5"/>
  <c r="H4" i="5"/>
  <c r="D4" i="5"/>
  <c r="H59" i="3"/>
  <c r="I59" i="3"/>
  <c r="I60" i="3" s="1"/>
  <c r="J59" i="3"/>
  <c r="J60" i="3" s="1"/>
  <c r="K59" i="3"/>
  <c r="K60" i="3" s="1"/>
  <c r="L59" i="3"/>
  <c r="M59" i="3"/>
  <c r="M60" i="3" s="1"/>
  <c r="N59" i="3"/>
  <c r="N60" i="3" s="1"/>
  <c r="O59" i="3"/>
  <c r="O60" i="3" s="1"/>
  <c r="P59" i="3"/>
  <c r="Q59" i="3"/>
  <c r="Q60" i="3" s="1"/>
  <c r="R59" i="3"/>
  <c r="R60" i="3" s="1"/>
  <c r="G59" i="3"/>
  <c r="H60" i="3" s="1"/>
  <c r="R56" i="3"/>
  <c r="Q56" i="3"/>
  <c r="P56" i="3"/>
  <c r="O56" i="3"/>
  <c r="N56" i="3"/>
  <c r="M56" i="3"/>
  <c r="L56" i="3"/>
  <c r="K56" i="3"/>
  <c r="J56" i="3"/>
  <c r="I56" i="3"/>
  <c r="R55" i="3"/>
  <c r="Q55" i="3"/>
  <c r="P55" i="3"/>
  <c r="O55" i="3"/>
  <c r="N55" i="3"/>
  <c r="M55" i="3"/>
  <c r="L55" i="3"/>
  <c r="K55" i="3"/>
  <c r="J55" i="3"/>
  <c r="I55" i="3"/>
  <c r="H55" i="3"/>
  <c r="Q13" i="3"/>
  <c r="P13" i="3"/>
  <c r="Q14" i="3"/>
  <c r="K13" i="3"/>
  <c r="K14" i="3"/>
  <c r="L13" i="3"/>
  <c r="L14" i="3"/>
  <c r="M13" i="3"/>
  <c r="M14" i="3"/>
  <c r="N13" i="3"/>
  <c r="N14" i="3"/>
  <c r="O13" i="3"/>
  <c r="O14" i="3"/>
  <c r="P14" i="3"/>
  <c r="D13" i="3"/>
  <c r="E13" i="3"/>
  <c r="F13" i="3"/>
  <c r="G13" i="3"/>
  <c r="G14" i="3" s="1"/>
  <c r="H13" i="3"/>
  <c r="I13" i="3"/>
  <c r="J13" i="3"/>
  <c r="C13" i="3"/>
  <c r="D14" i="3" s="1"/>
  <c r="B9" i="2"/>
  <c r="J9" i="3"/>
  <c r="B7" i="2" s="1"/>
  <c r="I9" i="3"/>
  <c r="B32" i="2"/>
  <c r="B23" i="1"/>
  <c r="B31" i="1" s="1"/>
  <c r="B36" i="1" s="1"/>
  <c r="B24" i="1"/>
  <c r="B25" i="1"/>
  <c r="B33" i="1" s="1"/>
  <c r="B26" i="1"/>
  <c r="B28" i="1"/>
  <c r="C23" i="1"/>
  <c r="D23" i="1"/>
  <c r="E23" i="1"/>
  <c r="B32" i="1"/>
  <c r="C24" i="1"/>
  <c r="C32" i="1"/>
  <c r="D24" i="1"/>
  <c r="D32" i="1"/>
  <c r="E24" i="1"/>
  <c r="E32" i="1"/>
  <c r="C25" i="1"/>
  <c r="C33" i="1" s="1"/>
  <c r="D25" i="1"/>
  <c r="D33" i="1" s="1"/>
  <c r="E25" i="1"/>
  <c r="E33" i="1" s="1"/>
  <c r="B34" i="1"/>
  <c r="C26" i="1"/>
  <c r="C34" i="1"/>
  <c r="D26" i="1"/>
  <c r="D34" i="1"/>
  <c r="E26" i="1"/>
  <c r="E34" i="1"/>
  <c r="M14" i="1"/>
  <c r="N14" i="1"/>
  <c r="O14" i="1" s="1"/>
  <c r="P14" i="1"/>
  <c r="E31" i="1" l="1"/>
  <c r="E36" i="1" s="1"/>
  <c r="E28" i="1"/>
  <c r="E11" i="2"/>
  <c r="E13" i="2" s="1"/>
  <c r="E12" i="2"/>
  <c r="H11" i="2"/>
  <c r="H12" i="2"/>
  <c r="E14" i="3"/>
  <c r="F14" i="3"/>
  <c r="D8" i="2"/>
  <c r="F8" i="2"/>
  <c r="I8" i="2"/>
  <c r="C11" i="2"/>
  <c r="C12" i="2"/>
  <c r="D28" i="1"/>
  <c r="D31" i="1"/>
  <c r="D36" i="1" s="1"/>
  <c r="I14" i="3"/>
  <c r="J14" i="3"/>
  <c r="C31" i="1"/>
  <c r="C36" i="1" s="1"/>
  <c r="C28" i="1"/>
  <c r="C21" i="2"/>
  <c r="O9" i="3"/>
  <c r="G7" i="2" s="1"/>
  <c r="H14" i="3"/>
  <c r="P60" i="3"/>
  <c r="L60" i="3"/>
  <c r="C32" i="2"/>
  <c r="D21" i="2" l="1"/>
  <c r="D9" i="2"/>
  <c r="D29" i="2"/>
  <c r="D28" i="2"/>
  <c r="D31" i="2"/>
  <c r="G8" i="2"/>
  <c r="J7" i="2"/>
  <c r="F21" i="2"/>
  <c r="F9" i="2"/>
  <c r="E16" i="2"/>
  <c r="H17" i="1" s="1"/>
  <c r="H24" i="1" s="1"/>
  <c r="E18" i="2"/>
  <c r="H19" i="1" s="1"/>
  <c r="H26" i="1" s="1"/>
  <c r="E15" i="2"/>
  <c r="H16" i="1" s="1"/>
  <c r="D30" i="2"/>
  <c r="E17" i="2" s="1"/>
  <c r="H18" i="1" s="1"/>
  <c r="H25" i="1" s="1"/>
  <c r="C13" i="2"/>
  <c r="H13" i="2"/>
  <c r="I21" i="2"/>
  <c r="I9" i="2"/>
  <c r="E14" i="2"/>
  <c r="H33" i="1" l="1"/>
  <c r="H47" i="1"/>
  <c r="E24" i="2"/>
  <c r="E22" i="2"/>
  <c r="D22" i="2" s="1"/>
  <c r="C22" i="2" s="1"/>
  <c r="C17" i="2"/>
  <c r="F18" i="1" s="1"/>
  <c r="F25" i="1" s="1"/>
  <c r="F33" i="1" s="1"/>
  <c r="C16" i="2"/>
  <c r="F17" i="1" s="1"/>
  <c r="F24" i="1" s="1"/>
  <c r="F32" i="1" s="1"/>
  <c r="C18" i="2"/>
  <c r="F19" i="1" s="1"/>
  <c r="F26" i="1" s="1"/>
  <c r="F34" i="1" s="1"/>
  <c r="C15" i="2"/>
  <c r="F16" i="1" s="1"/>
  <c r="F23" i="1" s="1"/>
  <c r="C14" i="2"/>
  <c r="C24" i="2" s="1"/>
  <c r="I11" i="2"/>
  <c r="I13" i="2" s="1"/>
  <c r="I14" i="2" s="1"/>
  <c r="I12" i="2"/>
  <c r="H16" i="2"/>
  <c r="K17" i="1" s="1"/>
  <c r="K24" i="1" s="1"/>
  <c r="H18" i="2"/>
  <c r="K19" i="1" s="1"/>
  <c r="K26" i="1" s="1"/>
  <c r="H15" i="2"/>
  <c r="K16" i="1" s="1"/>
  <c r="H17" i="2"/>
  <c r="K18" i="1" s="1"/>
  <c r="K25" i="1" s="1"/>
  <c r="H14" i="2"/>
  <c r="D5" i="5"/>
  <c r="H23" i="1"/>
  <c r="H48" i="1"/>
  <c r="H34" i="1"/>
  <c r="K7" i="2"/>
  <c r="J8" i="2"/>
  <c r="J9" i="2" s="1"/>
  <c r="H46" i="1"/>
  <c r="H32" i="1"/>
  <c r="G21" i="2"/>
  <c r="G9" i="2"/>
  <c r="D11" i="2"/>
  <c r="D12" i="2"/>
  <c r="F11" i="2"/>
  <c r="F13" i="2" s="1"/>
  <c r="F12" i="2"/>
  <c r="I22" i="2" l="1"/>
  <c r="I24" i="2" s="1"/>
  <c r="F16" i="2"/>
  <c r="I17" i="1" s="1"/>
  <c r="I24" i="1" s="1"/>
  <c r="F18" i="2"/>
  <c r="I19" i="1" s="1"/>
  <c r="I26" i="1" s="1"/>
  <c r="F15" i="2"/>
  <c r="I16" i="1" s="1"/>
  <c r="F17" i="2"/>
  <c r="I18" i="1" s="1"/>
  <c r="I25" i="1" s="1"/>
  <c r="G11" i="2"/>
  <c r="G12" i="2"/>
  <c r="F14" i="2"/>
  <c r="D13" i="2"/>
  <c r="K47" i="1"/>
  <c r="K33" i="1"/>
  <c r="F31" i="1"/>
  <c r="F36" i="1" s="1"/>
  <c r="F28" i="1"/>
  <c r="J11" i="2"/>
  <c r="J12" i="2"/>
  <c r="G5" i="5"/>
  <c r="K23" i="1"/>
  <c r="L7" i="2"/>
  <c r="K8" i="2"/>
  <c r="K9" i="2" s="1"/>
  <c r="K48" i="1"/>
  <c r="K34" i="1"/>
  <c r="H31" i="1"/>
  <c r="H36" i="1" s="1"/>
  <c r="H28" i="1"/>
  <c r="H45" i="1"/>
  <c r="I16" i="2"/>
  <c r="L17" i="1" s="1"/>
  <c r="L24" i="1" s="1"/>
  <c r="I18" i="2"/>
  <c r="L19" i="1" s="1"/>
  <c r="L26" i="1" s="1"/>
  <c r="I15" i="2"/>
  <c r="L16" i="1" s="1"/>
  <c r="I17" i="2"/>
  <c r="L18" i="1" s="1"/>
  <c r="L25" i="1" s="1"/>
  <c r="H22" i="2"/>
  <c r="H24" i="2" s="1"/>
  <c r="K46" i="1"/>
  <c r="K32" i="1"/>
  <c r="I23" i="1" l="1"/>
  <c r="E5" i="5"/>
  <c r="H5" i="5"/>
  <c r="L23" i="1"/>
  <c r="K31" i="1"/>
  <c r="K36" i="1" s="1"/>
  <c r="K28" i="1"/>
  <c r="K45" i="1"/>
  <c r="J13" i="2"/>
  <c r="I48" i="1"/>
  <c r="I34" i="1"/>
  <c r="L33" i="1"/>
  <c r="L47" i="1"/>
  <c r="L34" i="1"/>
  <c r="L48" i="1"/>
  <c r="K12" i="2"/>
  <c r="K11" i="2"/>
  <c r="D15" i="2"/>
  <c r="G16" i="1" s="1"/>
  <c r="G23" i="1" s="1"/>
  <c r="D16" i="2"/>
  <c r="G17" i="1" s="1"/>
  <c r="G24" i="1" s="1"/>
  <c r="G32" i="1" s="1"/>
  <c r="D18" i="2"/>
  <c r="G19" i="1" s="1"/>
  <c r="G26" i="1" s="1"/>
  <c r="G34" i="1" s="1"/>
  <c r="D17" i="2"/>
  <c r="G18" i="1" s="1"/>
  <c r="G25" i="1" s="1"/>
  <c r="G33" i="1" s="1"/>
  <c r="D14" i="2"/>
  <c r="D24" i="2" s="1"/>
  <c r="G13" i="2"/>
  <c r="I46" i="1"/>
  <c r="I32" i="1"/>
  <c r="L32" i="1"/>
  <c r="L46" i="1"/>
  <c r="M7" i="2"/>
  <c r="M8" i="2" s="1"/>
  <c r="M9" i="2" s="1"/>
  <c r="L8" i="2"/>
  <c r="L9" i="2" s="1"/>
  <c r="F22" i="2"/>
  <c r="F24" i="2" s="1"/>
  <c r="I33" i="1"/>
  <c r="I47" i="1"/>
  <c r="G16" i="2" l="1"/>
  <c r="J17" i="1" s="1"/>
  <c r="J24" i="1" s="1"/>
  <c r="G18" i="2"/>
  <c r="J19" i="1" s="1"/>
  <c r="J26" i="1" s="1"/>
  <c r="G15" i="2"/>
  <c r="J16" i="1" s="1"/>
  <c r="G17" i="2"/>
  <c r="J18" i="1" s="1"/>
  <c r="J25" i="1" s="1"/>
  <c r="G14" i="2"/>
  <c r="L11" i="2"/>
  <c r="L13" i="2" s="1"/>
  <c r="L14" i="2" s="1"/>
  <c r="L12" i="2"/>
  <c r="M11" i="2"/>
  <c r="M13" i="2" s="1"/>
  <c r="M14" i="2"/>
  <c r="M12" i="2"/>
  <c r="K13" i="2"/>
  <c r="J18" i="2"/>
  <c r="M19" i="1" s="1"/>
  <c r="M26" i="1" s="1"/>
  <c r="M34" i="1" s="1"/>
  <c r="J16" i="2"/>
  <c r="M17" i="1" s="1"/>
  <c r="M24" i="1" s="1"/>
  <c r="M32" i="1" s="1"/>
  <c r="J17" i="2"/>
  <c r="M18" i="1" s="1"/>
  <c r="M25" i="1" s="1"/>
  <c r="M33" i="1" s="1"/>
  <c r="J15" i="2"/>
  <c r="M16" i="1" s="1"/>
  <c r="M23" i="1" s="1"/>
  <c r="J14" i="2"/>
  <c r="L28" i="1"/>
  <c r="L31" i="1"/>
  <c r="L36" i="1" s="1"/>
  <c r="L45" i="1"/>
  <c r="G28" i="1"/>
  <c r="G31" i="1"/>
  <c r="G36" i="1" s="1"/>
  <c r="I31" i="1"/>
  <c r="I36" i="1" s="1"/>
  <c r="I28" i="1"/>
  <c r="I45" i="1"/>
  <c r="J23" i="1" l="1"/>
  <c r="F5" i="5"/>
  <c r="I5" i="5" s="1"/>
  <c r="J48" i="1"/>
  <c r="J34" i="1"/>
  <c r="M18" i="2"/>
  <c r="P19" i="1" s="1"/>
  <c r="P26" i="1" s="1"/>
  <c r="P34" i="1" s="1"/>
  <c r="M16" i="2"/>
  <c r="P17" i="1" s="1"/>
  <c r="P24" i="1" s="1"/>
  <c r="P32" i="1" s="1"/>
  <c r="M17" i="2"/>
  <c r="P18" i="1" s="1"/>
  <c r="P25" i="1" s="1"/>
  <c r="P33" i="1" s="1"/>
  <c r="M15" i="2"/>
  <c r="P16" i="1" s="1"/>
  <c r="P23" i="1" s="1"/>
  <c r="G22" i="2"/>
  <c r="G24" i="2"/>
  <c r="B25" i="2" s="1"/>
  <c r="J46" i="1"/>
  <c r="J32" i="1"/>
  <c r="L18" i="2"/>
  <c r="O19" i="1" s="1"/>
  <c r="O26" i="1" s="1"/>
  <c r="O34" i="1" s="1"/>
  <c r="L17" i="2"/>
  <c r="O18" i="1" s="1"/>
  <c r="O25" i="1" s="1"/>
  <c r="O33" i="1" s="1"/>
  <c r="L16" i="2"/>
  <c r="O17" i="1" s="1"/>
  <c r="O24" i="1" s="1"/>
  <c r="O32" i="1" s="1"/>
  <c r="L15" i="2"/>
  <c r="O16" i="1" s="1"/>
  <c r="O23" i="1" s="1"/>
  <c r="M28" i="1"/>
  <c r="M31" i="1"/>
  <c r="M36" i="1" s="1"/>
  <c r="K18" i="2"/>
  <c r="N19" i="1" s="1"/>
  <c r="N26" i="1" s="1"/>
  <c r="N34" i="1" s="1"/>
  <c r="K15" i="2"/>
  <c r="N16" i="1" s="1"/>
  <c r="N23" i="1" s="1"/>
  <c r="K16" i="2"/>
  <c r="N17" i="1" s="1"/>
  <c r="N24" i="1" s="1"/>
  <c r="N32" i="1" s="1"/>
  <c r="K17" i="2"/>
  <c r="N18" i="1" s="1"/>
  <c r="N25" i="1" s="1"/>
  <c r="N33" i="1" s="1"/>
  <c r="K14" i="2"/>
  <c r="J33" i="1"/>
  <c r="J47" i="1"/>
  <c r="N31" i="1" l="1"/>
  <c r="N36" i="1" s="1"/>
  <c r="N28" i="1"/>
  <c r="O31" i="1"/>
  <c r="O36" i="1" s="1"/>
  <c r="O28" i="1"/>
  <c r="P28" i="1"/>
  <c r="P31" i="1"/>
  <c r="P36" i="1" s="1"/>
  <c r="J31" i="1"/>
  <c r="J36" i="1" s="1"/>
  <c r="J28" i="1"/>
  <c r="J45" i="1"/>
</calcChain>
</file>

<file path=xl/sharedStrings.xml><?xml version="1.0" encoding="utf-8"?>
<sst xmlns="http://schemas.openxmlformats.org/spreadsheetml/2006/main" count="237" uniqueCount="127">
  <si>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</si>
  <si>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</si>
  <si>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</si>
  <si>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</si>
  <si>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</si>
  <si>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</si>
  <si>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</si>
  <si>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</si>
  <si>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</si>
  <si>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</si>
  <si>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2027/28</t>
  </si>
  <si>
    <t>2016/17</t>
  </si>
  <si>
    <t>2015/16</t>
  </si>
  <si>
    <t>AR (Asset Relocation)</t>
  </si>
  <si>
    <t>IC (Industrial &amp; Commercial)</t>
  </si>
  <si>
    <t>NU (Non Urban)</t>
  </si>
  <si>
    <t>UR (URD)</t>
  </si>
  <si>
    <t>2014/15</t>
  </si>
  <si>
    <t>2013/14</t>
  </si>
  <si>
    <t>Actual</t>
  </si>
  <si>
    <t>Forecast</t>
  </si>
  <si>
    <t>Capital Contributions Adjustment</t>
  </si>
  <si>
    <t>FY17 decline affected by ADMD reduction</t>
  </si>
  <si>
    <t>URD 11kV underground cable</t>
  </si>
  <si>
    <t>% of non cash cap cons</t>
  </si>
  <si>
    <t>Ground Sub ex Transformer</t>
  </si>
  <si>
    <t>Non Cash contributions Forecast</t>
  </si>
  <si>
    <t>capex (if full financial year)</t>
  </si>
  <si>
    <t>calibrated</t>
  </si>
  <si>
    <t>Total amount transferred to reimbursement</t>
  </si>
  <si>
    <t>FY10 Actual</t>
  </si>
  <si>
    <t>FY11 Actual</t>
  </si>
  <si>
    <t>FY12 Actual</t>
  </si>
  <si>
    <t>FY13 Actual</t>
  </si>
  <si>
    <t>FY14 Actual</t>
  </si>
  <si>
    <t>FY15 Actual</t>
  </si>
  <si>
    <t>FY16 Actual</t>
  </si>
  <si>
    <t>FY17 Actual</t>
  </si>
  <si>
    <t>FY18 Forecast</t>
  </si>
  <si>
    <t>FY19 Forecast</t>
  </si>
  <si>
    <t>FY20 Forecast</t>
  </si>
  <si>
    <t>FY21 Forecast</t>
  </si>
  <si>
    <t>FY22 Forecast</t>
  </si>
  <si>
    <t>FY23 Forecast</t>
  </si>
  <si>
    <t>FY24 Forecast</t>
  </si>
  <si>
    <t>Residential</t>
  </si>
  <si>
    <t>Commercial</t>
  </si>
  <si>
    <t>Industrial</t>
  </si>
  <si>
    <t>Total</t>
  </si>
  <si>
    <t xml:space="preserve">customer growth </t>
  </si>
  <si>
    <t xml:space="preserve">Base Capex </t>
  </si>
  <si>
    <t>source: Network Connections SAMP Forecast from 2001 HP V14 Jul 2017</t>
  </si>
  <si>
    <t>Total Connections</t>
  </si>
  <si>
    <t>Final Capex $ million</t>
  </si>
  <si>
    <t>Final Capex forecast</t>
  </si>
  <si>
    <t>source: Pricing team in reg branch</t>
  </si>
  <si>
    <t>FY18 onwards affected by capital contribution funding arrangement change</t>
  </si>
  <si>
    <t>Uplift from connections funding arrangement changes</t>
  </si>
  <si>
    <t>Proportion of year affected by connections funding changes %</t>
  </si>
  <si>
    <t>Amt affected by funding arrangements</t>
  </si>
  <si>
    <t xml:space="preserve">Commercial/Industrial </t>
  </si>
  <si>
    <t>Increase</t>
  </si>
  <si>
    <t>Customer Numbers 30 June</t>
  </si>
  <si>
    <t>ACTUAL</t>
  </si>
  <si>
    <t>ST Method</t>
  </si>
  <si>
    <t>Hybrid</t>
  </si>
  <si>
    <t>LT Method</t>
  </si>
  <si>
    <t xml:space="preserve">  Dom &amp; CLd</t>
  </si>
  <si>
    <t xml:space="preserve">     Domestic</t>
  </si>
  <si>
    <t xml:space="preserve">     Controlled Load</t>
  </si>
  <si>
    <t xml:space="preserve">  Commercial</t>
  </si>
  <si>
    <t xml:space="preserve">     General Supply Non TOU</t>
  </si>
  <si>
    <t xml:space="preserve">     General Supply TOU</t>
  </si>
  <si>
    <t xml:space="preserve">     Unmetered</t>
  </si>
  <si>
    <t xml:space="preserve">  Industrial</t>
  </si>
  <si>
    <t xml:space="preserve">     Low Voltage TOU Demand</t>
  </si>
  <si>
    <t xml:space="preserve">     High Voltage TOU Demand</t>
  </si>
  <si>
    <t xml:space="preserve">     Sub Transmission TOU Demand</t>
  </si>
  <si>
    <t xml:space="preserve">     Bulk &amp; Inter-distributor Transfer</t>
  </si>
  <si>
    <t>Commercial Industrial</t>
  </si>
  <si>
    <t>VOLUMES
(0's)</t>
  </si>
  <si>
    <t>RESIDENTIAL</t>
  </si>
  <si>
    <t>Simple connection LV</t>
  </si>
  <si>
    <t>Complex connection LV</t>
  </si>
  <si>
    <t>Complex connection HV</t>
  </si>
  <si>
    <t>COMMERCIAL/INDUSTRIAL</t>
  </si>
  <si>
    <t>Complex connection HV (customer connected at LV, minor HV works)</t>
  </si>
  <si>
    <t>Complex connection HV (customer connected at LV, upstream asset works)</t>
  </si>
  <si>
    <t>Complex connection HV (customer connected at HV)</t>
  </si>
  <si>
    <t>Complex connection sub-transmission</t>
  </si>
  <si>
    <t>SUBDIVISION</t>
  </si>
  <si>
    <t>Complex connection HV (no upstream asset works)</t>
  </si>
  <si>
    <t>Complex connection HV (with upstream asset works)</t>
  </si>
  <si>
    <t>EMBEDDED GENERATION</t>
  </si>
  <si>
    <t>Complex connection HV (small capacity)</t>
  </si>
  <si>
    <t>Complex connection HV (large capacity)</t>
  </si>
  <si>
    <t>Nadeems Historical Connections</t>
  </si>
  <si>
    <t>The following table details the amount the EE funded connection capex would reduce by if reimbursement arrangements were reversed</t>
  </si>
  <si>
    <t>FY19 real $</t>
  </si>
  <si>
    <t>amount transferred back to cap cons</t>
  </si>
  <si>
    <t>RCP total</t>
  </si>
  <si>
    <t>grosss residual cap cons</t>
  </si>
  <si>
    <t xml:space="preserve">Residual cap cons </t>
  </si>
  <si>
    <t>adjustment to remove alternate control cap cons (SL)</t>
  </si>
  <si>
    <t>RCP total residual cap cons</t>
  </si>
  <si>
    <t>Total net SCS capital contributions</t>
  </si>
  <si>
    <t>Forecast Customer Numbers - 000's (received 16/3/18)</t>
  </si>
  <si>
    <t>adjustment for capex efficiency per customer (lower ADMD, higher densities, delivery efficiency, change in standards)</t>
  </si>
  <si>
    <t xml:space="preserve">FY17 actual </t>
  </si>
  <si>
    <t>DU (Duct installation)</t>
  </si>
  <si>
    <t>Connections Capex forecast model (Endeavour Funded)</t>
  </si>
  <si>
    <t>AR</t>
  </si>
  <si>
    <t>DU</t>
  </si>
  <si>
    <t>IC</t>
  </si>
  <si>
    <t>NU</t>
  </si>
  <si>
    <t>UR</t>
  </si>
  <si>
    <t>check against PIP</t>
  </si>
  <si>
    <t>Error</t>
  </si>
  <si>
    <t>2011-12</t>
  </si>
  <si>
    <t>2010-11</t>
  </si>
  <si>
    <t>2009-10</t>
  </si>
  <si>
    <t>2008-09</t>
  </si>
  <si>
    <t>2016-17</t>
  </si>
  <si>
    <t>2015-16</t>
  </si>
  <si>
    <t>2014-15</t>
  </si>
  <si>
    <t>2013-14</t>
  </si>
  <si>
    <t>2012-13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</si>
</sst>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&quot;$&quot;* #,##0_-;\-&quot;$&quot;* #,##0_-;_-&quot;$&quot;* &quot;-&quot;??_-;_-@_-"/>
    <numFmt numFmtId="167" formatCode="_-* #,##0.0_-;\-* #,##0.0_-;_-* &quot;-&quot;??_-;_-@_-"/>
    <numFmt numFmtId="168" formatCode="_-&quot;$&quot;* #,##0.0_-;\-&quot;$&quot;* #,##0.0_-;_-&quot;$&quot;* &quot;-&quot;??_-;_-@_-"/>
    <numFmt numFmtId="169" formatCode="0.00%;\(0.00%\);\-"/>
    <numFmt numFmtId="170" formatCode="_-* #,##0_-;[Red]\(#,##0\)_-;_-* &quot;-&quot;??_-;_-@_-"/>
    <numFmt numFmtId="171" formatCode="0.0%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_);_(* \(#,##0\);_(* &quot;-&quot;?_);_(@_)"/>
    <numFmt numFmtId="175" formatCode="0.00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color indexed="12"/>
      <name val="Arial"/>
      <family val="2"/>
    </font>
    <font>
      <i/>
      <sz val="9"/>
      <name val="Arial"/>
      <family val="2"/>
    </font>
    <font>
      <sz val="10"/>
      <color rgb="FFFF0000"/>
      <name val="Arial"/>
      <family val="2"/>
    </font>
    <font>
      <b/>
      <sz val="1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gency FB"/>
      <family val="2"/>
    </font>
    <font>
      <b/>
      <sz val="11"/>
      <color rgb="FFFA7D00"/>
      <name val="Agency FB"/>
      <family val="2"/>
    </font>
    <font>
      <sz val="11"/>
      <color rgb="FF3F3F76"/>
      <name val="Agency FB"/>
      <family val="2"/>
    </font>
    <font>
      <sz val="10"/>
      <color theme="1"/>
      <name val="Calibri"/>
      <family val="2"/>
      <scheme val="minor"/>
    </font>
    <font>
      <sz val="10"/>
      <name val="Calibri"/>
      <family val="1"/>
      <scheme val="minor"/>
    </font>
    <font>
      <sz val="12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gray0625">
        <bgColor indexed="4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8F0CB"/>
        <bgColor indexed="64"/>
      </patternFill>
    </fill>
    <fill>
      <patternFill patternType="solid">
        <fgColor rgb="FFF4F8E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 style="medium">
        <color auto="1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auto="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5E6A71"/>
      </left>
      <right style="medium">
        <color rgb="FF5E6A71"/>
      </right>
      <top style="thick">
        <color rgb="FF5E6A71"/>
      </top>
      <bottom style="medium">
        <color rgb="FF5E6A71"/>
      </bottom>
      <diagonal/>
    </border>
    <border>
      <left style="medium">
        <color rgb="FF5E6A71"/>
      </left>
      <right style="medium">
        <color rgb="FF5E6A71"/>
      </right>
      <top style="medium">
        <color rgb="FF5E6A71"/>
      </top>
      <bottom style="medium">
        <color rgb="FF5E6A71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170" fontId="18" fillId="6" borderId="34" applyFill="0" applyBorder="0">
      <alignment horizontal="right" indent="2"/>
      <protection locked="0"/>
    </xf>
    <xf numFmtId="0" fontId="19" fillId="11" borderId="0" applyNumberFormat="0" applyBorder="0" applyAlignment="0" applyProtection="0"/>
    <xf numFmtId="172" fontId="3" fillId="12" borderId="0" applyNumberFormat="0" applyFont="0" applyBorder="0" applyAlignment="0">
      <alignment horizontal="right"/>
    </xf>
    <xf numFmtId="172" fontId="3" fillId="12" borderId="0" applyNumberFormat="0" applyFont="0" applyBorder="0" applyAlignment="0">
      <alignment horizontal="right"/>
    </xf>
    <xf numFmtId="0" fontId="20" fillId="10" borderId="52" applyNumberFormat="0" applyAlignment="0" applyProtection="0"/>
    <xf numFmtId="164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10" fillId="12" borderId="0" applyFont="0" applyBorder="0" applyAlignment="0"/>
    <xf numFmtId="172" fontId="10" fillId="12" borderId="0" applyFont="0" applyBorder="0" applyAlignment="0"/>
    <xf numFmtId="171" fontId="10" fillId="12" borderId="0" applyFont="0" applyBorder="0" applyAlignment="0"/>
    <xf numFmtId="0" fontId="21" fillId="9" borderId="52" applyNumberFormat="0" applyAlignment="0" applyProtection="0"/>
    <xf numFmtId="3" fontId="3" fillId="4" borderId="0" applyNumberFormat="0" applyFont="0" applyBorder="0" applyAlignment="0">
      <alignment horizontal="right"/>
      <protection locked="0"/>
    </xf>
    <xf numFmtId="10" fontId="3" fillId="4" borderId="0" applyFont="0" applyBorder="0">
      <alignment horizontal="right"/>
      <protection locked="0"/>
    </xf>
    <xf numFmtId="172" fontId="3" fillId="13" borderId="0" applyFont="0" applyBorder="0" applyAlignment="0">
      <alignment horizontal="right"/>
      <protection locked="0"/>
    </xf>
    <xf numFmtId="10" fontId="10" fillId="14" borderId="0" applyBorder="0" applyAlignment="0">
      <protection locked="0"/>
    </xf>
    <xf numFmtId="10" fontId="10" fillId="14" borderId="0" applyBorder="0" applyAlignment="0">
      <protection locked="0"/>
    </xf>
    <xf numFmtId="174" fontId="3" fillId="15" borderId="0" applyFont="0" applyBorder="0">
      <alignment horizontal="right"/>
      <protection locked="0"/>
    </xf>
    <xf numFmtId="10" fontId="13" fillId="15" borderId="0" applyFont="0" applyBorder="0" applyAlignment="0">
      <alignment horizontal="left"/>
      <protection locked="0"/>
    </xf>
    <xf numFmtId="172" fontId="3" fillId="16" borderId="0" applyFont="0" applyBorder="0">
      <alignment horizontal="right"/>
      <protection locked="0"/>
    </xf>
    <xf numFmtId="9" fontId="13" fillId="16" borderId="0" applyFont="0" applyBorder="0">
      <alignment horizontal="right"/>
      <protection locked="0"/>
    </xf>
    <xf numFmtId="172" fontId="3" fillId="16" borderId="0" applyFont="0" applyBorder="0">
      <alignment horizontal="right"/>
      <protection locked="0"/>
    </xf>
    <xf numFmtId="0" fontId="3" fillId="0" borderId="0"/>
    <xf numFmtId="0" fontId="22" fillId="0" borderId="0"/>
    <xf numFmtId="0" fontId="3" fillId="0" borderId="0"/>
    <xf numFmtId="0" fontId="23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8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/>
    <xf numFmtId="9" fontId="0" fillId="0" borderId="0" xfId="0" applyNumberFormat="1"/>
    <xf numFmtId="0" fontId="0" fillId="0" borderId="0" xfId="0" applyFont="1"/>
    <xf numFmtId="165" fontId="0" fillId="0" borderId="0" xfId="1" applyNumberFormat="1" applyFont="1"/>
    <xf numFmtId="165" fontId="0" fillId="0" borderId="0" xfId="0" applyNumberFormat="1"/>
    <xf numFmtId="9" fontId="0" fillId="0" borderId="0" xfId="3" applyFont="1"/>
    <xf numFmtId="165" fontId="0" fillId="0" borderId="1" xfId="1" applyNumberFormat="1" applyFont="1" applyBorder="1"/>
    <xf numFmtId="166" fontId="0" fillId="0" borderId="1" xfId="2" applyNumberFormat="1" applyFont="1" applyBorder="1"/>
    <xf numFmtId="0" fontId="2" fillId="0" borderId="1" xfId="0" applyFont="1" applyFill="1" applyBorder="1"/>
    <xf numFmtId="9" fontId="0" fillId="0" borderId="1" xfId="0" applyNumberFormat="1" applyBorder="1"/>
    <xf numFmtId="0" fontId="2" fillId="0" borderId="2" xfId="0" applyFont="1" applyBorder="1"/>
    <xf numFmtId="3" fontId="7" fillId="2" borderId="0" xfId="16" applyNumberFormat="1" applyFont="1" applyFill="1" applyAlignment="1">
      <alignment horizontal="center"/>
    </xf>
    <xf numFmtId="3" fontId="6" fillId="2" borderId="0" xfId="16" applyNumberFormat="1" applyFont="1" applyFill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right"/>
    </xf>
    <xf numFmtId="167" fontId="0" fillId="0" borderId="1" xfId="1" applyNumberFormat="1" applyFont="1" applyBorder="1"/>
    <xf numFmtId="167" fontId="2" fillId="0" borderId="1" xfId="1" applyNumberFormat="1" applyFont="1" applyBorder="1"/>
    <xf numFmtId="167" fontId="0" fillId="0" borderId="0" xfId="0" applyNumberFormat="1"/>
    <xf numFmtId="166" fontId="0" fillId="0" borderId="0" xfId="2" applyNumberFormat="1" applyFont="1"/>
    <xf numFmtId="43" fontId="0" fillId="0" borderId="0" xfId="0" applyNumberFormat="1"/>
    <xf numFmtId="165" fontId="0" fillId="3" borderId="1" xfId="1" applyNumberFormat="1" applyFont="1" applyFill="1" applyBorder="1"/>
    <xf numFmtId="0" fontId="0" fillId="3" borderId="1" xfId="0" applyFill="1" applyBorder="1"/>
    <xf numFmtId="168" fontId="0" fillId="3" borderId="1" xfId="2" applyNumberFormat="1" applyFont="1" applyFill="1" applyBorder="1"/>
    <xf numFmtId="3" fontId="0" fillId="3" borderId="1" xfId="0" applyNumberFormat="1" applyFill="1" applyBorder="1"/>
    <xf numFmtId="165" fontId="0" fillId="2" borderId="1" xfId="1" applyNumberFormat="1" applyFont="1" applyFill="1" applyBorder="1"/>
    <xf numFmtId="0" fontId="2" fillId="2" borderId="1" xfId="0" applyFont="1" applyFill="1" applyBorder="1"/>
    <xf numFmtId="0" fontId="0" fillId="2" borderId="1" xfId="0" applyFill="1" applyBorder="1"/>
    <xf numFmtId="168" fontId="0" fillId="2" borderId="1" xfId="2" applyNumberFormat="1" applyFont="1" applyFill="1" applyBorder="1"/>
    <xf numFmtId="3" fontId="0" fillId="2" borderId="1" xfId="0" applyNumberFormat="1" applyFill="1" applyBorder="1"/>
    <xf numFmtId="168" fontId="0" fillId="2" borderId="3" xfId="2" applyNumberFormat="1" applyFont="1" applyFill="1" applyBorder="1"/>
    <xf numFmtId="0" fontId="9" fillId="0" borderId="0" xfId="6" applyFont="1" applyFill="1" applyAlignment="1">
      <alignment vertical="center"/>
    </xf>
    <xf numFmtId="0" fontId="10" fillId="2" borderId="4" xfId="6" applyFont="1" applyFill="1" applyBorder="1" applyAlignment="1">
      <alignment horizontal="center"/>
    </xf>
    <xf numFmtId="0" fontId="4" fillId="2" borderId="5" xfId="6" applyFont="1" applyFill="1" applyBorder="1" applyAlignment="1">
      <alignment horizontal="center"/>
    </xf>
    <xf numFmtId="0" fontId="4" fillId="0" borderId="6" xfId="6" applyFont="1" applyBorder="1" applyAlignment="1">
      <alignment horizontal="center"/>
    </xf>
    <xf numFmtId="0" fontId="1" fillId="0" borderId="0" xfId="6"/>
    <xf numFmtId="0" fontId="4" fillId="0" borderId="7" xfId="6" applyFont="1" applyBorder="1" applyAlignment="1">
      <alignment horizontal="center"/>
    </xf>
    <xf numFmtId="0" fontId="4" fillId="0" borderId="8" xfId="6" applyFont="1" applyBorder="1" applyAlignment="1">
      <alignment horizontal="center"/>
    </xf>
    <xf numFmtId="0" fontId="11" fillId="4" borderId="5" xfId="6" applyFont="1" applyFill="1" applyBorder="1"/>
    <xf numFmtId="3" fontId="12" fillId="4" borderId="5" xfId="6" quotePrefix="1" applyNumberFormat="1" applyFont="1" applyFill="1" applyBorder="1" applyAlignment="1">
      <alignment horizontal="center"/>
    </xf>
    <xf numFmtId="3" fontId="12" fillId="4" borderId="6" xfId="6" quotePrefix="1" applyNumberFormat="1" applyFont="1" applyFill="1" applyBorder="1" applyAlignment="1">
      <alignment horizontal="center"/>
    </xf>
    <xf numFmtId="0" fontId="13" fillId="0" borderId="9" xfId="6" applyFont="1" applyBorder="1" applyAlignment="1">
      <alignment vertical="center"/>
    </xf>
    <xf numFmtId="3" fontId="4" fillId="0" borderId="10" xfId="6" applyNumberFormat="1" applyFont="1" applyBorder="1" applyAlignment="1">
      <alignment vertical="center"/>
    </xf>
    <xf numFmtId="3" fontId="4" fillId="0" borderId="9" xfId="6" applyNumberFormat="1" applyFont="1" applyBorder="1" applyAlignment="1">
      <alignment vertical="center"/>
    </xf>
    <xf numFmtId="3" fontId="4" fillId="0" borderId="11" xfId="6" applyNumberFormat="1" applyFont="1" applyBorder="1" applyAlignment="1">
      <alignment vertical="center"/>
    </xf>
    <xf numFmtId="3" fontId="4" fillId="0" borderId="12" xfId="6" applyNumberFormat="1" applyFont="1" applyBorder="1" applyAlignment="1">
      <alignment vertical="center"/>
    </xf>
    <xf numFmtId="0" fontId="13" fillId="0" borderId="13" xfId="6" applyFont="1" applyBorder="1" applyAlignment="1">
      <alignment vertical="center"/>
    </xf>
    <xf numFmtId="3" fontId="4" fillId="0" borderId="14" xfId="6" applyNumberFormat="1" applyFont="1" applyBorder="1" applyAlignment="1">
      <alignment vertical="center"/>
    </xf>
    <xf numFmtId="3" fontId="4" fillId="0" borderId="13" xfId="6" applyNumberFormat="1" applyFont="1" applyBorder="1" applyAlignment="1">
      <alignment vertical="center"/>
    </xf>
    <xf numFmtId="3" fontId="4" fillId="0" borderId="2" xfId="6" applyNumberFormat="1" applyFont="1" applyBorder="1" applyAlignment="1">
      <alignment vertical="center"/>
    </xf>
    <xf numFmtId="3" fontId="4" fillId="0" borderId="15" xfId="6" applyNumberFormat="1" applyFont="1" applyBorder="1" applyAlignment="1">
      <alignment vertical="center"/>
    </xf>
    <xf numFmtId="0" fontId="13" fillId="0" borderId="16" xfId="6" applyFont="1" applyBorder="1" applyAlignment="1">
      <alignment vertical="center"/>
    </xf>
    <xf numFmtId="3" fontId="4" fillId="0" borderId="17" xfId="6" applyNumberFormat="1" applyFont="1" applyBorder="1" applyAlignment="1">
      <alignment vertical="center"/>
    </xf>
    <xf numFmtId="3" fontId="4" fillId="0" borderId="16" xfId="6" applyNumberFormat="1" applyFont="1" applyBorder="1" applyAlignment="1">
      <alignment vertical="center"/>
    </xf>
    <xf numFmtId="3" fontId="4" fillId="0" borderId="1" xfId="6" applyNumberFormat="1" applyFont="1" applyBorder="1" applyAlignment="1">
      <alignment vertical="center"/>
    </xf>
    <xf numFmtId="3" fontId="4" fillId="0" borderId="18" xfId="6" applyNumberFormat="1" applyFont="1" applyBorder="1" applyAlignment="1">
      <alignment vertical="center"/>
    </xf>
    <xf numFmtId="0" fontId="13" fillId="4" borderId="19" xfId="6" applyFont="1" applyFill="1" applyBorder="1"/>
    <xf numFmtId="3" fontId="12" fillId="4" borderId="20" xfId="6" applyNumberFormat="1" applyFont="1" applyFill="1" applyBorder="1" applyAlignment="1">
      <alignment vertical="center"/>
    </xf>
    <xf numFmtId="3" fontId="12" fillId="4" borderId="19" xfId="6" applyNumberFormat="1" applyFont="1" applyFill="1" applyBorder="1" applyAlignment="1">
      <alignment vertical="center"/>
    </xf>
    <xf numFmtId="3" fontId="12" fillId="4" borderId="21" xfId="6" applyNumberFormat="1" applyFont="1" applyFill="1" applyBorder="1" applyAlignment="1">
      <alignment vertical="center"/>
    </xf>
    <xf numFmtId="3" fontId="12" fillId="4" borderId="22" xfId="6" applyNumberFormat="1" applyFont="1" applyFill="1" applyBorder="1" applyAlignment="1">
      <alignment vertical="center"/>
    </xf>
    <xf numFmtId="3" fontId="12" fillId="4" borderId="23" xfId="6" applyNumberFormat="1" applyFont="1" applyFill="1" applyBorder="1" applyAlignment="1">
      <alignment vertical="center"/>
    </xf>
    <xf numFmtId="0" fontId="14" fillId="0" borderId="0" xfId="6" applyFont="1" applyFill="1"/>
    <xf numFmtId="3" fontId="15" fillId="0" borderId="0" xfId="6" applyNumberFormat="1" applyFont="1"/>
    <xf numFmtId="0" fontId="4" fillId="0" borderId="0" xfId="6" applyFont="1"/>
    <xf numFmtId="0" fontId="16" fillId="0" borderId="0" xfId="6" applyFont="1"/>
    <xf numFmtId="169" fontId="4" fillId="0" borderId="0" xfId="6" applyNumberFormat="1" applyFont="1"/>
    <xf numFmtId="0" fontId="0" fillId="0" borderId="24" xfId="0" applyBorder="1"/>
    <xf numFmtId="0" fontId="0" fillId="0" borderId="25" xfId="0" applyBorder="1"/>
    <xf numFmtId="0" fontId="17" fillId="0" borderId="26" xfId="12" applyFont="1" applyBorder="1" applyProtection="1"/>
    <xf numFmtId="0" fontId="17" fillId="0" borderId="26" xfId="12" applyFont="1" applyBorder="1" applyAlignment="1" applyProtection="1">
      <alignment horizontal="left" indent="1"/>
    </xf>
    <xf numFmtId="0" fontId="17" fillId="0" borderId="27" xfId="12" applyFont="1" applyBorder="1" applyAlignment="1" applyProtection="1">
      <alignment horizontal="center"/>
    </xf>
    <xf numFmtId="0" fontId="12" fillId="5" borderId="28" xfId="12" applyFont="1" applyFill="1" applyBorder="1" applyAlignment="1" applyProtection="1">
      <alignment horizontal="center" vertical="center"/>
    </xf>
    <xf numFmtId="0" fontId="12" fillId="5" borderId="29" xfId="12" applyFont="1" applyFill="1" applyBorder="1" applyAlignment="1" applyProtection="1">
      <alignment horizontal="center" vertical="center"/>
    </xf>
    <xf numFmtId="0" fontId="12" fillId="5" borderId="30" xfId="12" applyFont="1" applyFill="1" applyBorder="1" applyAlignment="1" applyProtection="1">
      <alignment horizontal="center" vertical="center"/>
    </xf>
    <xf numFmtId="0" fontId="4" fillId="2" borderId="31" xfId="20" applyFont="1" applyFill="1" applyBorder="1" applyAlignment="1" applyProtection="1"/>
    <xf numFmtId="0" fontId="4" fillId="2" borderId="32" xfId="20" applyFont="1" applyFill="1" applyBorder="1" applyAlignment="1" applyProtection="1">
      <alignment horizontal="left" indent="1"/>
    </xf>
    <xf numFmtId="0" fontId="4" fillId="2" borderId="33" xfId="20" applyFont="1" applyFill="1" applyBorder="1" applyAlignment="1" applyProtection="1"/>
    <xf numFmtId="170" fontId="18" fillId="6" borderId="35" xfId="21" applyFill="1" applyBorder="1">
      <alignment horizontal="right" indent="2"/>
      <protection locked="0"/>
    </xf>
    <xf numFmtId="170" fontId="18" fillId="6" borderId="36" xfId="21" applyFill="1" applyBorder="1">
      <alignment horizontal="right" indent="2"/>
      <protection locked="0"/>
    </xf>
    <xf numFmtId="170" fontId="18" fillId="6" borderId="37" xfId="21" applyFill="1" applyBorder="1">
      <alignment horizontal="right" indent="2"/>
      <protection locked="0"/>
    </xf>
    <xf numFmtId="0" fontId="4" fillId="2" borderId="38" xfId="20" applyFont="1" applyFill="1" applyBorder="1" applyAlignment="1" applyProtection="1">
      <alignment horizontal="left" indent="1"/>
    </xf>
    <xf numFmtId="0" fontId="4" fillId="2" borderId="39" xfId="20" applyFont="1" applyFill="1" applyBorder="1" applyAlignment="1" applyProtection="1"/>
    <xf numFmtId="170" fontId="18" fillId="6" borderId="40" xfId="21" applyFill="1" applyBorder="1">
      <alignment horizontal="right" indent="2"/>
      <protection locked="0"/>
    </xf>
    <xf numFmtId="170" fontId="18" fillId="6" borderId="41" xfId="21" applyFill="1" applyBorder="1">
      <alignment horizontal="right" indent="2"/>
      <protection locked="0"/>
    </xf>
    <xf numFmtId="170" fontId="18" fillId="6" borderId="42" xfId="21" applyFill="1" applyBorder="1">
      <alignment horizontal="right" indent="2"/>
      <protection locked="0"/>
    </xf>
    <xf numFmtId="0" fontId="4" fillId="2" borderId="7" xfId="20" applyFont="1" applyFill="1" applyBorder="1" applyAlignment="1" applyProtection="1"/>
    <xf numFmtId="0" fontId="4" fillId="2" borderId="43" xfId="20" applyFont="1" applyFill="1" applyBorder="1" applyAlignment="1" applyProtection="1">
      <alignment horizontal="left" indent="1"/>
    </xf>
    <xf numFmtId="0" fontId="4" fillId="2" borderId="44" xfId="20" applyFont="1" applyFill="1" applyBorder="1" applyAlignment="1" applyProtection="1"/>
    <xf numFmtId="0" fontId="4" fillId="2" borderId="5" xfId="20" applyFont="1" applyFill="1" applyBorder="1" applyAlignment="1" applyProtection="1"/>
    <xf numFmtId="170" fontId="18" fillId="7" borderId="40" xfId="21" applyFill="1" applyBorder="1">
      <alignment horizontal="right" indent="2"/>
      <protection locked="0"/>
    </xf>
    <xf numFmtId="170" fontId="18" fillId="7" borderId="41" xfId="21" applyFill="1" applyBorder="1">
      <alignment horizontal="right" indent="2"/>
      <protection locked="0"/>
    </xf>
    <xf numFmtId="170" fontId="18" fillId="7" borderId="42" xfId="21" applyFill="1" applyBorder="1">
      <alignment horizontal="right" indent="2"/>
      <protection locked="0"/>
    </xf>
    <xf numFmtId="0" fontId="4" fillId="2" borderId="45" xfId="20" applyFont="1" applyFill="1" applyBorder="1" applyAlignment="1" applyProtection="1">
      <alignment horizontal="left" indent="1"/>
    </xf>
    <xf numFmtId="0" fontId="4" fillId="2" borderId="46" xfId="20" applyFont="1" applyFill="1" applyBorder="1" applyAlignment="1" applyProtection="1"/>
    <xf numFmtId="0" fontId="4" fillId="2" borderId="47" xfId="20" applyFont="1" applyFill="1" applyBorder="1" applyAlignment="1" applyProtection="1">
      <alignment horizontal="left" indent="1"/>
    </xf>
    <xf numFmtId="0" fontId="4" fillId="2" borderId="48" xfId="20" applyFont="1" applyFill="1" applyBorder="1" applyAlignment="1" applyProtection="1"/>
    <xf numFmtId="170" fontId="18" fillId="7" borderId="49" xfId="21" applyFill="1" applyBorder="1">
      <alignment horizontal="right" indent="2"/>
      <protection locked="0"/>
    </xf>
    <xf numFmtId="170" fontId="18" fillId="7" borderId="50" xfId="21" applyFill="1" applyBorder="1">
      <alignment horizontal="right" indent="2"/>
      <protection locked="0"/>
    </xf>
    <xf numFmtId="170" fontId="18" fillId="7" borderId="51" xfId="21" applyFill="1" applyBorder="1">
      <alignment horizontal="right" indent="2"/>
      <protection locked="0"/>
    </xf>
    <xf numFmtId="0" fontId="0" fillId="0" borderId="0" xfId="0" applyAlignment="1">
      <alignment horizontal="center"/>
    </xf>
    <xf numFmtId="3" fontId="0" fillId="8" borderId="0" xfId="0" applyNumberFormat="1" applyFill="1"/>
    <xf numFmtId="166" fontId="0" fillId="0" borderId="0" xfId="0" applyNumberFormat="1"/>
    <xf numFmtId="0" fontId="0" fillId="0" borderId="0" xfId="0" applyAlignment="1">
      <alignment horizontal="right"/>
    </xf>
    <xf numFmtId="44" fontId="0" fillId="0" borderId="0" xfId="0" applyNumberFormat="1"/>
    <xf numFmtId="166" fontId="0" fillId="3" borderId="1" xfId="0" applyNumberFormat="1" applyFill="1" applyBorder="1"/>
    <xf numFmtId="166" fontId="0" fillId="0" borderId="1" xfId="0" applyNumberFormat="1" applyBorder="1"/>
    <xf numFmtId="167" fontId="0" fillId="3" borderId="1" xfId="1" applyNumberFormat="1" applyFont="1" applyFill="1" applyBorder="1"/>
    <xf numFmtId="43" fontId="0" fillId="3" borderId="1" xfId="1" applyNumberFormat="1" applyFont="1" applyFill="1" applyBorder="1"/>
    <xf numFmtId="175" fontId="0" fillId="0" borderId="0" xfId="3" applyNumberFormat="1" applyFont="1"/>
    <xf numFmtId="2" fontId="24" fillId="17" borderId="53" xfId="43" applyNumberFormat="1" applyFont="1" applyFill="1" applyBorder="1" applyAlignment="1">
      <alignment horizontal="center" wrapText="1" readingOrder="1"/>
    </xf>
    <xf numFmtId="2" fontId="24" fillId="18" borderId="54" xfId="43" applyNumberFormat="1" applyFont="1" applyFill="1" applyBorder="1" applyAlignment="1">
      <alignment horizontal="center" wrapText="1" readingOrder="1"/>
    </xf>
    <xf numFmtId="2" fontId="24" fillId="17" borderId="54" xfId="43" applyNumberFormat="1" applyFont="1" applyFill="1" applyBorder="1" applyAlignment="1">
      <alignment horizontal="center" wrapText="1" readingOrder="1"/>
    </xf>
    <xf numFmtId="2" fontId="24" fillId="17" borderId="54" xfId="51" applyNumberFormat="1" applyFont="1" applyFill="1" applyBorder="1" applyAlignment="1">
      <alignment horizontal="center" wrapText="1" readingOrder="1"/>
    </xf>
    <xf numFmtId="166" fontId="0" fillId="19" borderId="1" xfId="2" applyNumberFormat="1" applyFont="1" applyFill="1" applyBorder="1"/>
    <xf numFmtId="165" fontId="0" fillId="19" borderId="1" xfId="1" applyNumberFormat="1" applyFont="1" applyFill="1" applyBorder="1"/>
    <xf numFmtId="166" fontId="0" fillId="20" borderId="1" xfId="2" applyNumberFormat="1" applyFont="1" applyFill="1" applyBorder="1"/>
    <xf numFmtId="166" fontId="0" fillId="19" borderId="1" xfId="0" applyNumberFormat="1" applyFill="1" applyBorder="1"/>
    <xf numFmtId="168" fontId="0" fillId="0" borderId="0" xfId="0" applyNumberFormat="1"/>
    <xf numFmtId="3" fontId="2" fillId="0" borderId="1" xfId="0" applyNumberFormat="1" applyFont="1" applyBorder="1"/>
    <xf numFmtId="3" fontId="2" fillId="20" borderId="1" xfId="0" applyNumberFormat="1" applyFont="1" applyFill="1" applyBorder="1"/>
    <xf numFmtId="167" fontId="0" fillId="20" borderId="1" xfId="1" applyNumberFormat="1" applyFont="1" applyFill="1" applyBorder="1"/>
    <xf numFmtId="171" fontId="0" fillId="0" borderId="0" xfId="3" applyNumberFormat="1" applyFont="1"/>
    <xf numFmtId="0" fontId="12" fillId="5" borderId="0" xfId="19" applyFont="1" applyFill="1" applyBorder="1" applyAlignment="1" applyProtection="1">
      <alignment horizontal="center" vertical="center" wrapText="1"/>
    </xf>
  </cellXfs>
  <cellStyles count="52">
    <cellStyle name="20% - Accent3 2" xfId="22"/>
    <cellStyle name="Blockout" xfId="23"/>
    <cellStyle name="Blockout 2" xfId="24"/>
    <cellStyle name="Calculation 2" xfId="25"/>
    <cellStyle name="Comma" xfId="1" builtinId="3"/>
    <cellStyle name="Comma 2" xfId="7"/>
    <cellStyle name="Comma 2 2" xfId="26"/>
    <cellStyle name="Comma 3" xfId="10"/>
    <cellStyle name="Comma 4" xfId="14"/>
    <cellStyle name="Comma 5" xfId="5"/>
    <cellStyle name="Comma 6" xfId="51"/>
    <cellStyle name="Currency" xfId="2" builtinId="4"/>
    <cellStyle name="Currency 2" xfId="27"/>
    <cellStyle name="Currency 3" xfId="28"/>
    <cellStyle name="dms_NUM_0dp" xfId="21"/>
    <cellStyle name="Import" xfId="29"/>
    <cellStyle name="Import 2" xfId="30"/>
    <cellStyle name="Import%" xfId="31"/>
    <cellStyle name="Input 2" xfId="32"/>
    <cellStyle name="Input1" xfId="33"/>
    <cellStyle name="Input1%" xfId="34"/>
    <cellStyle name="Input1_Contents" xfId="35"/>
    <cellStyle name="Input1default%" xfId="36"/>
    <cellStyle name="Input1default% 2" xfId="37"/>
    <cellStyle name="Input2" xfId="38"/>
    <cellStyle name="Input2%" xfId="39"/>
    <cellStyle name="Input3" xfId="40"/>
    <cellStyle name="Input3%" xfId="41"/>
    <cellStyle name="Input3_ENERGY_MODEL_A_20090623_1652" xfId="42"/>
    <cellStyle name="Normal" xfId="0" builtinId="0"/>
    <cellStyle name="Normal 10" xfId="20"/>
    <cellStyle name="Normal 13" xfId="19"/>
    <cellStyle name="Normal 2" xfId="6"/>
    <cellStyle name="Normal 2 2" xfId="9"/>
    <cellStyle name="Normal 2 2 2" xfId="12"/>
    <cellStyle name="Normal 2 2 3" xfId="17"/>
    <cellStyle name="Normal 2 3" xfId="43"/>
    <cellStyle name="Normal 3" xfId="8"/>
    <cellStyle name="Normal 4" xfId="11"/>
    <cellStyle name="Normal 4 2" xfId="44"/>
    <cellStyle name="Normal 5" xfId="13"/>
    <cellStyle name="Normal 5 2" xfId="45"/>
    <cellStyle name="Normal 6" xfId="4"/>
    <cellStyle name="Normal 6 2" xfId="46"/>
    <cellStyle name="Normal 7" xfId="16"/>
    <cellStyle name="Normal 7 2" xfId="47"/>
    <cellStyle name="Percent" xfId="3" builtinId="5"/>
    <cellStyle name="Percent 2" xfId="15"/>
    <cellStyle name="Percent 2 2" xfId="48"/>
    <cellStyle name="Percent 3" xfId="18"/>
    <cellStyle name="Percent 3 2" xfId="49"/>
    <cellStyle name="Percent 4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41447944007001"/>
          <c:y val="0.19721055701370663"/>
          <c:w val="0.87058552055992999"/>
          <c:h val="0.777361111111111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'Customer Forecast'!$D$14:$Q$14</c:f>
              <c:numCache>
                <c:formatCode>_(* #,##0.00_);_(* \(#,##0.00\);_(* "-"??_);_(@_)</c:formatCode>
                <c:ptCount val="14"/>
                <c:pt idx="0">
                  <c:v>1.1239999999999952</c:v>
                </c:pt>
                <c:pt idx="1">
                  <c:v>0.42400000000000659</c:v>
                </c:pt>
                <c:pt idx="2">
                  <c:v>3.3659999999999854</c:v>
                </c:pt>
                <c:pt idx="3">
                  <c:v>0.33600000000001273</c:v>
                </c:pt>
                <c:pt idx="4">
                  <c:v>-1.1930000000000121</c:v>
                </c:pt>
                <c:pt idx="5">
                  <c:v>-0.36699999999999022</c:v>
                </c:pt>
                <c:pt idx="6">
                  <c:v>1.237000000000009</c:v>
                </c:pt>
                <c:pt idx="7">
                  <c:v>0.11227898703532446</c:v>
                </c:pt>
                <c:pt idx="8">
                  <c:v>-0.10564085423965253</c:v>
                </c:pt>
                <c:pt idx="9">
                  <c:v>1.8490947381348661</c:v>
                </c:pt>
                <c:pt idx="10">
                  <c:v>1.032995374358407</c:v>
                </c:pt>
                <c:pt idx="11">
                  <c:v>0.88121337437742397</c:v>
                </c:pt>
                <c:pt idx="12">
                  <c:v>1.5528474467584914</c:v>
                </c:pt>
                <c:pt idx="13">
                  <c:v>2.1407418171504702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8-415E-BDB4-6ECF98E36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0794240"/>
        <c:axId val="169980672"/>
      </c:barChart>
      <c:catAx>
        <c:axId val="390794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980672"/>
        <c:crosses val="autoZero"/>
        <c:auto val="1"/>
        <c:lblAlgn val="ctr"/>
        <c:lblOffset val="100"/>
        <c:noMultiLvlLbl val="0"/>
      </c:catAx>
      <c:valAx>
        <c:axId val="16998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79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109537</xdr:colOff>
      <xdr:row>13</xdr:row>
      <xdr:rowOff>142875</xdr:rowOff>
    </xdr:from>
    <xdr:to>
      <xdr:col>25</xdr:col>
      <xdr:colOff>414337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D8F29D-00DA-47AA-8AFB-2DA8646E2D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B/Filing/AER%20Submission%20FY20-24/Reset%20RIN/2.5%20connections/Copy%20of%20Att%204%20%20Endeavour%20Energy%20-%20FINAL%20RIN%20-%202-%20New%20CA%20Version%202%20Historical%20Da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Instructions"/>
      <sheetName val="Business &amp; other details"/>
      <sheetName val="2.5 Connections"/>
      <sheetName val="2.6 Non-network"/>
      <sheetName val="2.10 Network overheads"/>
      <sheetName val="Amendments"/>
    </sheetNames>
    <sheetDataSet>
      <sheetData sheetId="0">
        <row r="111">
          <cell r="C111" t="str">
            <v>2008-09</v>
          </cell>
          <cell r="D111" t="str">
            <v>2009</v>
          </cell>
        </row>
        <row r="112">
          <cell r="C112" t="str">
            <v>2009-10</v>
          </cell>
          <cell r="D112" t="str">
            <v>2010</v>
          </cell>
        </row>
        <row r="113">
          <cell r="C113" t="str">
            <v>2010-11</v>
          </cell>
          <cell r="D113" t="str">
            <v>2011</v>
          </cell>
        </row>
        <row r="114">
          <cell r="C114" t="str">
            <v>2011-12</v>
          </cell>
          <cell r="D114" t="str">
            <v>2012</v>
          </cell>
        </row>
        <row r="115">
          <cell r="C115" t="str">
            <v>2012-13</v>
          </cell>
          <cell r="D115" t="str">
            <v>2013</v>
          </cell>
        </row>
        <row r="116">
          <cell r="C116" t="str">
            <v>2013-14</v>
          </cell>
          <cell r="D116" t="str">
            <v>2014</v>
          </cell>
        </row>
        <row r="117">
          <cell r="C117" t="str">
            <v>2014-15</v>
          </cell>
          <cell r="D117" t="str">
            <v>2015</v>
          </cell>
        </row>
        <row r="118">
          <cell r="C118" t="str">
            <v>2015-16</v>
          </cell>
          <cell r="D118" t="str">
            <v>2016</v>
          </cell>
        </row>
        <row r="119">
          <cell r="C119" t="str">
            <v>2016-17</v>
          </cell>
          <cell r="D119" t="str">
            <v>2017</v>
          </cell>
        </row>
      </sheetData>
      <sheetData sheetId="1"/>
      <sheetData sheetId="2"/>
      <sheetData sheetId="3">
        <row r="59">
          <cell r="C59" t="str">
            <v>Financial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"/>
  <sheetViews>
    <sheetView workbookViewId="0">
      <selection activeCell="E29" sqref="E29"/>
    </sheetView>
  </sheetViews>
  <sheetFormatPr defaultRowHeight="14.4" x14ac:dyDescent="0.3"/>
  <cols>
    <col min="3" max="3" width="21.6640625" customWidth="1"/>
    <col min="4" max="8" width="14.88671875" bestFit="1" customWidth="1"/>
    <col min="9" max="9" width="13.33203125" bestFit="1" customWidth="1"/>
  </cols>
  <sheetData>
    <row r="2" spans="2:9" x14ac:dyDescent="0.3">
      <c r="B2" t="s">
        <v>97</v>
      </c>
    </row>
    <row r="3" spans="2:9" x14ac:dyDescent="0.3">
      <c r="B3" t="s">
        <v>98</v>
      </c>
    </row>
    <row r="4" spans="2:9" x14ac:dyDescent="0.3">
      <c r="D4" s="2" t="str">
        <f>'Connections Capex'!H8</f>
        <v>2019/20</v>
      </c>
      <c r="E4" s="2" t="str">
        <f>'Connections Capex'!I8</f>
        <v>2020/21</v>
      </c>
      <c r="F4" s="2" t="str">
        <f>'Connections Capex'!J8</f>
        <v>2021/22</v>
      </c>
      <c r="G4" s="2" t="str">
        <f>'Connections Capex'!K8</f>
        <v>2022/23</v>
      </c>
      <c r="H4" s="2" t="str">
        <f>'Connections Capex'!L8</f>
        <v>2023/24</v>
      </c>
      <c r="I4" s="2" t="s">
        <v>100</v>
      </c>
    </row>
    <row r="5" spans="2:9" x14ac:dyDescent="0.3">
      <c r="C5" s="107" t="s">
        <v>99</v>
      </c>
      <c r="D5" s="23">
        <f>SUM('Connections Capex'!H16:H19)</f>
        <v>44225206.342577979</v>
      </c>
      <c r="E5" s="23">
        <f>SUM('Connections Capex'!I16:I19)</f>
        <v>41662947.487822518</v>
      </c>
      <c r="F5" s="23">
        <f>SUM('Connections Capex'!J16:J19)</f>
        <v>41466450.649624452</v>
      </c>
      <c r="G5" s="23">
        <f>SUM('Connections Capex'!K16:K19)</f>
        <v>41584326.421910487</v>
      </c>
      <c r="H5" s="23">
        <f>SUM('Connections Capex'!L16:L19)</f>
        <v>42561621.667997055</v>
      </c>
      <c r="I5" s="106">
        <f>SUM(D5:H5)</f>
        <v>211500552.56993249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>
      <selection activeCell="J34" sqref="J34"/>
    </sheetView>
  </sheetViews>
  <sheetFormatPr defaultRowHeight="14.4" x14ac:dyDescent="0.3"/>
  <cols>
    <col min="1" max="1" width="30.5546875" customWidth="1"/>
    <col min="2" max="5" width="13.88671875" bestFit="1" customWidth="1"/>
    <col min="6" max="6" width="12.88671875" customWidth="1"/>
    <col min="7" max="16" width="14.88671875" bestFit="1" customWidth="1"/>
    <col min="17" max="17" width="9.88671875" bestFit="1" customWidth="1"/>
  </cols>
  <sheetData>
    <row r="1" spans="1:17" x14ac:dyDescent="0.25">
      <c r="A1" s="2" t="s">
        <v>110</v>
      </c>
    </row>
    <row r="2" spans="1:17" x14ac:dyDescent="0.25">
      <c r="A2" s="2"/>
    </row>
    <row r="3" spans="1:17" x14ac:dyDescent="0.25">
      <c r="A3" s="7" t="s">
        <v>22</v>
      </c>
    </row>
    <row r="4" spans="1:17" x14ac:dyDescent="0.25">
      <c r="A4" t="s">
        <v>56</v>
      </c>
    </row>
    <row r="5" spans="1:17" x14ac:dyDescent="0.3">
      <c r="H5" s="126"/>
      <c r="I5" s="126"/>
      <c r="J5" s="126"/>
      <c r="K5" s="126"/>
      <c r="L5" s="126"/>
    </row>
    <row r="7" spans="1:17" x14ac:dyDescent="0.25">
      <c r="B7" s="3" t="s">
        <v>19</v>
      </c>
      <c r="C7" s="3"/>
      <c r="D7" s="3"/>
      <c r="E7" s="3"/>
      <c r="F7" s="3" t="s">
        <v>20</v>
      </c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 x14ac:dyDescent="0.25">
      <c r="B8" s="3" t="s">
        <v>18</v>
      </c>
      <c r="C8" s="3" t="s">
        <v>17</v>
      </c>
      <c r="D8" s="3" t="s">
        <v>12</v>
      </c>
      <c r="E8" s="3" t="s">
        <v>11</v>
      </c>
      <c r="F8" s="3" t="s">
        <v>0</v>
      </c>
      <c r="G8" s="3" t="s">
        <v>1</v>
      </c>
      <c r="H8" s="3" t="s">
        <v>2</v>
      </c>
      <c r="I8" s="3" t="s">
        <v>3</v>
      </c>
      <c r="J8" s="3" t="s">
        <v>4</v>
      </c>
      <c r="K8" s="3" t="s">
        <v>5</v>
      </c>
      <c r="L8" s="3" t="s">
        <v>6</v>
      </c>
      <c r="M8" s="3" t="s">
        <v>7</v>
      </c>
      <c r="N8" s="3" t="s">
        <v>8</v>
      </c>
      <c r="O8" s="3" t="s">
        <v>9</v>
      </c>
      <c r="P8" s="3" t="s">
        <v>10</v>
      </c>
    </row>
    <row r="9" spans="1:17" x14ac:dyDescent="0.25">
      <c r="A9" s="5" t="s">
        <v>50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7" x14ac:dyDescent="0.3">
      <c r="A10" s="3" t="s">
        <v>13</v>
      </c>
      <c r="B10" s="4">
        <v>1372612</v>
      </c>
      <c r="C10" s="4">
        <v>2476817</v>
      </c>
      <c r="D10" s="4">
        <v>1549055</v>
      </c>
      <c r="E10" s="4">
        <v>1518425</v>
      </c>
      <c r="F10" s="29">
        <v>1526017.1249999998</v>
      </c>
      <c r="G10" s="25">
        <v>1526017.1249999998</v>
      </c>
      <c r="H10" s="112">
        <v>1540791.267274997</v>
      </c>
      <c r="I10" s="112">
        <v>1548542.8408095324</v>
      </c>
      <c r="J10" s="112">
        <v>1556289.4350399307</v>
      </c>
      <c r="K10" s="112">
        <v>1564087.2183510051</v>
      </c>
      <c r="L10" s="112">
        <v>1571899.7438321349</v>
      </c>
      <c r="M10" s="25">
        <v>1526017.1249999998</v>
      </c>
      <c r="N10" s="25">
        <v>1526017.1249999998</v>
      </c>
      <c r="O10" s="25">
        <v>1526017.1249999998</v>
      </c>
      <c r="P10" s="25">
        <v>1526017.1249999998</v>
      </c>
      <c r="Q10" t="s">
        <v>51</v>
      </c>
    </row>
    <row r="11" spans="1:17" x14ac:dyDescent="0.3">
      <c r="A11" s="3" t="s">
        <v>14</v>
      </c>
      <c r="B11" s="4">
        <v>5605914</v>
      </c>
      <c r="C11" s="4">
        <v>5231966</v>
      </c>
      <c r="D11" s="4">
        <v>4695953</v>
      </c>
      <c r="E11" s="4">
        <v>3865150</v>
      </c>
      <c r="F11" s="29">
        <v>3945320.4087812263</v>
      </c>
      <c r="G11" s="25">
        <v>3945320.4087812263</v>
      </c>
      <c r="H11" s="112">
        <v>3966209.0475732177</v>
      </c>
      <c r="I11" s="112">
        <v>3987737.6647147532</v>
      </c>
      <c r="J11" s="112">
        <v>4007806.3418010338</v>
      </c>
      <c r="K11" s="112">
        <v>4028414.5193581651</v>
      </c>
      <c r="L11" s="112">
        <v>4048270.2161903749</v>
      </c>
      <c r="M11" s="25">
        <v>3945320.4087812263</v>
      </c>
      <c r="N11" s="25">
        <v>3945320.4087812263</v>
      </c>
      <c r="O11" s="25">
        <v>3945320.4087812263</v>
      </c>
      <c r="P11" s="25">
        <v>3945320.4087812263</v>
      </c>
      <c r="Q11" t="s">
        <v>51</v>
      </c>
    </row>
    <row r="12" spans="1:17" x14ac:dyDescent="0.3">
      <c r="A12" s="3" t="s">
        <v>15</v>
      </c>
      <c r="B12" s="4">
        <v>1056156</v>
      </c>
      <c r="C12" s="4">
        <v>833787</v>
      </c>
      <c r="D12" s="1">
        <v>629075</v>
      </c>
      <c r="E12" s="4">
        <v>642907</v>
      </c>
      <c r="F12" s="29">
        <v>555477.43163784023</v>
      </c>
      <c r="G12" s="25">
        <v>555477.43163784023</v>
      </c>
      <c r="H12" s="112">
        <v>558828.93985192839</v>
      </c>
      <c r="I12" s="112">
        <v>561824.75094808161</v>
      </c>
      <c r="J12" s="112">
        <v>564649.13437092199</v>
      </c>
      <c r="K12" s="112">
        <v>567539.49644460285</v>
      </c>
      <c r="L12" s="112">
        <v>570343.17132809607</v>
      </c>
      <c r="M12" s="25">
        <v>555477.43163784023</v>
      </c>
      <c r="N12" s="25">
        <v>555477.43163784023</v>
      </c>
      <c r="O12" s="25">
        <v>555477.43163784023</v>
      </c>
      <c r="P12" s="25">
        <v>555477.43163784023</v>
      </c>
      <c r="Q12" t="s">
        <v>51</v>
      </c>
    </row>
    <row r="13" spans="1:17" x14ac:dyDescent="0.3">
      <c r="A13" s="3" t="s">
        <v>16</v>
      </c>
      <c r="B13" s="4">
        <v>6508828</v>
      </c>
      <c r="C13" s="4">
        <v>7082082</v>
      </c>
      <c r="D13" s="4">
        <v>9523550</v>
      </c>
      <c r="E13" s="4">
        <v>9019851</v>
      </c>
      <c r="F13" s="29">
        <v>11016083.975026013</v>
      </c>
      <c r="G13" s="25">
        <v>11016083.975026013</v>
      </c>
      <c r="H13" s="112">
        <v>11064300.402721876</v>
      </c>
      <c r="I13" s="112">
        <v>11125282.255705113</v>
      </c>
      <c r="J13" s="112">
        <v>11181341.439163664</v>
      </c>
      <c r="K13" s="112">
        <v>11239145.343935737</v>
      </c>
      <c r="L13" s="112">
        <v>11294387.20065234</v>
      </c>
      <c r="M13" s="25">
        <v>11016083.975026013</v>
      </c>
      <c r="N13" s="25">
        <v>11016083.975026013</v>
      </c>
      <c r="O13" s="25">
        <v>11016083.975026013</v>
      </c>
      <c r="P13" s="25">
        <v>11016083.975026013</v>
      </c>
      <c r="Q13" t="s">
        <v>51</v>
      </c>
    </row>
    <row r="14" spans="1:17" x14ac:dyDescent="0.3">
      <c r="A14" s="13" t="s">
        <v>58</v>
      </c>
      <c r="B14" s="3"/>
      <c r="C14" s="3"/>
      <c r="D14" s="14">
        <v>0</v>
      </c>
      <c r="E14" s="14">
        <v>0</v>
      </c>
      <c r="F14" s="14">
        <v>0.50570000000000004</v>
      </c>
      <c r="G14" s="14">
        <v>0.65939999999999999</v>
      </c>
      <c r="H14" s="14">
        <v>1</v>
      </c>
      <c r="I14" s="14">
        <f t="shared" ref="I14:P14" si="0">H14</f>
        <v>1</v>
      </c>
      <c r="J14" s="14">
        <f t="shared" si="0"/>
        <v>1</v>
      </c>
      <c r="K14" s="14">
        <f t="shared" si="0"/>
        <v>1</v>
      </c>
      <c r="L14" s="14">
        <f t="shared" si="0"/>
        <v>1</v>
      </c>
      <c r="M14" s="14">
        <f t="shared" si="0"/>
        <v>1</v>
      </c>
      <c r="N14" s="14">
        <f t="shared" si="0"/>
        <v>1</v>
      </c>
      <c r="O14" s="14">
        <f t="shared" si="0"/>
        <v>1</v>
      </c>
      <c r="P14" s="14">
        <f t="shared" si="0"/>
        <v>1</v>
      </c>
    </row>
    <row r="15" spans="1:17" x14ac:dyDescent="0.3">
      <c r="A15" s="13" t="s">
        <v>57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x14ac:dyDescent="0.3">
      <c r="A16" s="3" t="s">
        <v>13</v>
      </c>
      <c r="B16" s="3"/>
      <c r="C16" s="3"/>
      <c r="D16" s="3"/>
      <c r="E16" s="3"/>
      <c r="F16" s="11">
        <f>'Captial Contributions'!C15*F$14</f>
        <v>140159.46320141517</v>
      </c>
      <c r="G16" s="11">
        <f>'Captial Contributions'!D15*G$14</f>
        <v>184256.74962901007</v>
      </c>
      <c r="H16" s="119">
        <f>'Captial Contributions'!E15*H$14</f>
        <v>276967.73272500309</v>
      </c>
      <c r="I16" s="119">
        <f>'Captial Contributions'!F15*I$14</f>
        <v>260921.15919046756</v>
      </c>
      <c r="J16" s="119">
        <f>'Captial Contributions'!G15*J$14</f>
        <v>259690.56496006929</v>
      </c>
      <c r="K16" s="119">
        <f>'Captial Contributions'!H15*K$14</f>
        <v>260428.78164899495</v>
      </c>
      <c r="L16" s="119">
        <f>'Captial Contributions'!I15*L$14</f>
        <v>266549.25616786507</v>
      </c>
      <c r="M16" s="11">
        <f>'Captial Contributions'!J15*M$14</f>
        <v>269337.62668685417</v>
      </c>
      <c r="N16" s="11">
        <f>'Captial Contributions'!K15*N$14</f>
        <v>269337.62668685417</v>
      </c>
      <c r="O16" s="11">
        <f>'Captial Contributions'!L15*O$14</f>
        <v>269337.62668685417</v>
      </c>
      <c r="P16" s="11">
        <f>'Captial Contributions'!M15*P$14</f>
        <v>269337.62668685417</v>
      </c>
    </row>
    <row r="17" spans="1:16" x14ac:dyDescent="0.3">
      <c r="A17" s="3" t="s">
        <v>14</v>
      </c>
      <c r="B17" s="3"/>
      <c r="C17" s="3"/>
      <c r="D17" s="3"/>
      <c r="E17" s="3"/>
      <c r="F17" s="11">
        <f>'Captial Contributions'!C16*F$14</f>
        <v>4994861.7078231042</v>
      </c>
      <c r="G17" s="11">
        <f>'Captial Contributions'!D16*G$14</f>
        <v>6566356.3637321275</v>
      </c>
      <c r="H17" s="119">
        <f>'Captial Contributions'!E16*H$14</f>
        <v>9870296.9524267819</v>
      </c>
      <c r="I17" s="119">
        <f>'Captial Contributions'!F16*I$14</f>
        <v>9298445.3352852464</v>
      </c>
      <c r="J17" s="119">
        <f>'Captial Contributions'!G16*J$14</f>
        <v>9254590.6581989657</v>
      </c>
      <c r="K17" s="119">
        <f>'Captial Contributions'!H16*K$14</f>
        <v>9280898.4806418344</v>
      </c>
      <c r="L17" s="119">
        <f>'Captial Contributions'!I16*L$14</f>
        <v>9499013.7838096246</v>
      </c>
      <c r="M17" s="11">
        <f>'Captial Contributions'!J16*M$14</f>
        <v>9598382.922463553</v>
      </c>
      <c r="N17" s="11">
        <f>'Captial Contributions'!K16*N$14</f>
        <v>9598382.922463553</v>
      </c>
      <c r="O17" s="11">
        <f>'Captial Contributions'!L16*O$14</f>
        <v>9598382.922463553</v>
      </c>
      <c r="P17" s="11">
        <f>'Captial Contributions'!M16*P$14</f>
        <v>9598382.922463553</v>
      </c>
    </row>
    <row r="18" spans="1:16" x14ac:dyDescent="0.3">
      <c r="A18" s="3" t="s">
        <v>15</v>
      </c>
      <c r="B18" s="3"/>
      <c r="C18" s="3"/>
      <c r="D18" s="3"/>
      <c r="E18" s="3"/>
      <c r="F18" s="11">
        <f>'Captial Contributions'!C17*F$14</f>
        <v>593440.57170049381</v>
      </c>
      <c r="G18" s="11">
        <f>'Captial Contributions'!D17*G$14</f>
        <v>780150.18281270377</v>
      </c>
      <c r="H18" s="119">
        <f>'Captial Contributions'!E17*H$14</f>
        <v>1172692.0601480715</v>
      </c>
      <c r="I18" s="119">
        <f>'Captial Contributions'!F17*I$14</f>
        <v>1104750.2490519185</v>
      </c>
      <c r="J18" s="119">
        <f>'Captial Contributions'!G17*J$14</f>
        <v>1099539.8656290779</v>
      </c>
      <c r="K18" s="119">
        <f>'Captial Contributions'!H17*K$14</f>
        <v>1102665.503555397</v>
      </c>
      <c r="L18" s="119">
        <f>'Captial Contributions'!I17*L$14</f>
        <v>1128579.828671904</v>
      </c>
      <c r="M18" s="11">
        <f>'Captial Contributions'!J17*M$14</f>
        <v>1140385.896968012</v>
      </c>
      <c r="N18" s="11">
        <f>'Captial Contributions'!K17*N$14</f>
        <v>1140385.896968012</v>
      </c>
      <c r="O18" s="11">
        <f>'Captial Contributions'!L17*O$14</f>
        <v>1140385.896968012</v>
      </c>
      <c r="P18" s="11">
        <f>'Captial Contributions'!M17*P$14</f>
        <v>1140385.896968012</v>
      </c>
    </row>
    <row r="19" spans="1:16" x14ac:dyDescent="0.3">
      <c r="A19" s="3" t="s">
        <v>16</v>
      </c>
      <c r="B19" s="3"/>
      <c r="C19" s="3"/>
      <c r="D19" s="3"/>
      <c r="E19" s="3"/>
      <c r="F19" s="11">
        <f>'Captial Contributions'!C18*F$14</f>
        <v>16651694.674636519</v>
      </c>
      <c r="G19" s="11">
        <f>'Captial Contributions'!D18*G$14</f>
        <v>21890688.409344893</v>
      </c>
      <c r="H19" s="119">
        <f>'Captial Contributions'!E18*H$14</f>
        <v>32905249.597278122</v>
      </c>
      <c r="I19" s="119">
        <f>'Captial Contributions'!F18*I$14</f>
        <v>30998830.744294886</v>
      </c>
      <c r="J19" s="119">
        <f>'Captial Contributions'!G18*J$14</f>
        <v>30852629.560836338</v>
      </c>
      <c r="K19" s="119">
        <f>'Captial Contributions'!H18*K$14</f>
        <v>30940333.656064261</v>
      </c>
      <c r="L19" s="119">
        <f>'Captial Contributions'!I18*L$14</f>
        <v>31667478.799347661</v>
      </c>
      <c r="M19" s="11">
        <f>'Captial Contributions'!J18*M$14</f>
        <v>31998752.146586735</v>
      </c>
      <c r="N19" s="11">
        <f>'Captial Contributions'!K18*N$14</f>
        <v>31998752.146586735</v>
      </c>
      <c r="O19" s="11">
        <f>'Captial Contributions'!L18*O$14</f>
        <v>31998752.146586735</v>
      </c>
      <c r="P19" s="11">
        <f>'Captial Contributions'!M18*P$14</f>
        <v>31998752.146586735</v>
      </c>
    </row>
    <row r="20" spans="1:16" x14ac:dyDescent="0.3">
      <c r="B20" s="5" t="s">
        <v>19</v>
      </c>
      <c r="C20" s="5"/>
      <c r="D20" s="5"/>
      <c r="E20" s="5"/>
      <c r="F20" s="15" t="s">
        <v>20</v>
      </c>
      <c r="G20" s="15"/>
      <c r="H20" s="15"/>
      <c r="I20" s="15"/>
      <c r="J20" s="15"/>
      <c r="K20" s="15"/>
      <c r="L20" s="15"/>
      <c r="M20" s="15"/>
      <c r="N20" s="15"/>
      <c r="O20" s="15"/>
      <c r="P20" s="5"/>
    </row>
    <row r="21" spans="1:16" x14ac:dyDescent="0.3">
      <c r="B21" s="5" t="s">
        <v>18</v>
      </c>
      <c r="C21" s="5" t="s">
        <v>17</v>
      </c>
      <c r="D21" s="5" t="s">
        <v>12</v>
      </c>
      <c r="E21" s="5" t="s">
        <v>11</v>
      </c>
      <c r="F21" s="5" t="s">
        <v>0</v>
      </c>
      <c r="G21" s="5" t="s">
        <v>1</v>
      </c>
      <c r="H21" s="5" t="s">
        <v>2</v>
      </c>
      <c r="I21" s="5" t="s">
        <v>3</v>
      </c>
      <c r="J21" s="5" t="s">
        <v>4</v>
      </c>
      <c r="K21" s="5" t="s">
        <v>5</v>
      </c>
      <c r="L21" s="5" t="s">
        <v>6</v>
      </c>
      <c r="M21" s="5" t="s">
        <v>7</v>
      </c>
      <c r="N21" s="5" t="s">
        <v>8</v>
      </c>
      <c r="O21" s="5" t="s">
        <v>9</v>
      </c>
      <c r="P21" s="5" t="s">
        <v>10</v>
      </c>
    </row>
    <row r="22" spans="1:16" x14ac:dyDescent="0.3">
      <c r="A22" s="5" t="s">
        <v>54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3">
      <c r="A23" s="3" t="s">
        <v>13</v>
      </c>
      <c r="B23" s="12">
        <f t="shared" ref="B23:P23" si="1">B10+B16</f>
        <v>1372612</v>
      </c>
      <c r="C23" s="12">
        <f t="shared" si="1"/>
        <v>2476817</v>
      </c>
      <c r="D23" s="12">
        <f t="shared" si="1"/>
        <v>1549055</v>
      </c>
      <c r="E23" s="12">
        <f t="shared" si="1"/>
        <v>1518425</v>
      </c>
      <c r="F23" s="12">
        <f t="shared" si="1"/>
        <v>1666176.588201415</v>
      </c>
      <c r="G23" s="12">
        <f t="shared" si="1"/>
        <v>1710273.8746290097</v>
      </c>
      <c r="H23" s="120">
        <f t="shared" si="1"/>
        <v>1817759</v>
      </c>
      <c r="I23" s="120">
        <f t="shared" si="1"/>
        <v>1809464</v>
      </c>
      <c r="J23" s="120">
        <f t="shared" si="1"/>
        <v>1815980</v>
      </c>
      <c r="K23" s="120">
        <f t="shared" si="1"/>
        <v>1824516</v>
      </c>
      <c r="L23" s="120">
        <f t="shared" si="1"/>
        <v>1838449</v>
      </c>
      <c r="M23" s="12">
        <f t="shared" si="1"/>
        <v>1795354.7516868538</v>
      </c>
      <c r="N23" s="12">
        <f t="shared" si="1"/>
        <v>1795354.7516868538</v>
      </c>
      <c r="O23" s="12">
        <f t="shared" si="1"/>
        <v>1795354.7516868538</v>
      </c>
      <c r="P23" s="12">
        <f t="shared" si="1"/>
        <v>1795354.7516868538</v>
      </c>
    </row>
    <row r="24" spans="1:16" x14ac:dyDescent="0.3">
      <c r="A24" s="3" t="s">
        <v>14</v>
      </c>
      <c r="B24" s="12">
        <f t="shared" ref="B24:P24" si="2">B11+B17</f>
        <v>5605914</v>
      </c>
      <c r="C24" s="12">
        <f t="shared" si="2"/>
        <v>5231966</v>
      </c>
      <c r="D24" s="12">
        <f t="shared" si="2"/>
        <v>4695953</v>
      </c>
      <c r="E24" s="12">
        <f t="shared" si="2"/>
        <v>3865150</v>
      </c>
      <c r="F24" s="12">
        <f t="shared" si="2"/>
        <v>8940182.11660433</v>
      </c>
      <c r="G24" s="12">
        <f t="shared" si="2"/>
        <v>10511676.772513354</v>
      </c>
      <c r="H24" s="120">
        <f t="shared" si="2"/>
        <v>13836506</v>
      </c>
      <c r="I24" s="120">
        <f t="shared" si="2"/>
        <v>13286183</v>
      </c>
      <c r="J24" s="120">
        <f t="shared" si="2"/>
        <v>13262397</v>
      </c>
      <c r="K24" s="120">
        <f t="shared" si="2"/>
        <v>13309313</v>
      </c>
      <c r="L24" s="120">
        <f t="shared" si="2"/>
        <v>13547284</v>
      </c>
      <c r="M24" s="12">
        <f t="shared" si="2"/>
        <v>13543703.33124478</v>
      </c>
      <c r="N24" s="12">
        <f t="shared" si="2"/>
        <v>13543703.33124478</v>
      </c>
      <c r="O24" s="12">
        <f t="shared" si="2"/>
        <v>13543703.33124478</v>
      </c>
      <c r="P24" s="12">
        <f t="shared" si="2"/>
        <v>13543703.33124478</v>
      </c>
    </row>
    <row r="25" spans="1:16" x14ac:dyDescent="0.3">
      <c r="A25" s="3" t="s">
        <v>15</v>
      </c>
      <c r="B25" s="12">
        <f t="shared" ref="B25:P25" si="3">B12+B18</f>
        <v>1056156</v>
      </c>
      <c r="C25" s="12">
        <f t="shared" si="3"/>
        <v>833787</v>
      </c>
      <c r="D25" s="12">
        <f t="shared" si="3"/>
        <v>629075</v>
      </c>
      <c r="E25" s="12">
        <f t="shared" si="3"/>
        <v>642907</v>
      </c>
      <c r="F25" s="12">
        <f t="shared" si="3"/>
        <v>1148918.0033383342</v>
      </c>
      <c r="G25" s="12">
        <f t="shared" si="3"/>
        <v>1335627.6144505441</v>
      </c>
      <c r="H25" s="120">
        <f t="shared" si="3"/>
        <v>1731521</v>
      </c>
      <c r="I25" s="120">
        <f t="shared" si="3"/>
        <v>1666575</v>
      </c>
      <c r="J25" s="120">
        <f t="shared" si="3"/>
        <v>1664189</v>
      </c>
      <c r="K25" s="120">
        <f t="shared" si="3"/>
        <v>1670205</v>
      </c>
      <c r="L25" s="120">
        <f t="shared" si="3"/>
        <v>1698923</v>
      </c>
      <c r="M25" s="12">
        <f t="shared" si="3"/>
        <v>1695863.3286058521</v>
      </c>
      <c r="N25" s="12">
        <f t="shared" si="3"/>
        <v>1695863.3286058521</v>
      </c>
      <c r="O25" s="12">
        <f t="shared" si="3"/>
        <v>1695863.3286058521</v>
      </c>
      <c r="P25" s="12">
        <f t="shared" si="3"/>
        <v>1695863.3286058521</v>
      </c>
    </row>
    <row r="26" spans="1:16" x14ac:dyDescent="0.3">
      <c r="A26" s="3" t="s">
        <v>16</v>
      </c>
      <c r="B26" s="12">
        <f t="shared" ref="B26:P26" si="4">B13+B19</f>
        <v>6508828</v>
      </c>
      <c r="C26" s="12">
        <f t="shared" si="4"/>
        <v>7082082</v>
      </c>
      <c r="D26" s="12">
        <f t="shared" si="4"/>
        <v>9523550</v>
      </c>
      <c r="E26" s="12">
        <f t="shared" si="4"/>
        <v>9019851</v>
      </c>
      <c r="F26" s="12">
        <f t="shared" si="4"/>
        <v>27667778.649662532</v>
      </c>
      <c r="G26" s="12">
        <f t="shared" si="4"/>
        <v>32906772.384370908</v>
      </c>
      <c r="H26" s="120">
        <f t="shared" si="4"/>
        <v>43969550</v>
      </c>
      <c r="I26" s="120">
        <f t="shared" si="4"/>
        <v>42124113</v>
      </c>
      <c r="J26" s="120">
        <f t="shared" si="4"/>
        <v>42033971</v>
      </c>
      <c r="K26" s="120">
        <f t="shared" si="4"/>
        <v>42179479</v>
      </c>
      <c r="L26" s="120">
        <f t="shared" si="4"/>
        <v>42961866</v>
      </c>
      <c r="M26" s="12">
        <f t="shared" si="4"/>
        <v>43014836.12161275</v>
      </c>
      <c r="N26" s="12">
        <f t="shared" si="4"/>
        <v>43014836.12161275</v>
      </c>
      <c r="O26" s="12">
        <f t="shared" si="4"/>
        <v>43014836.12161275</v>
      </c>
      <c r="P26" s="12">
        <f t="shared" si="4"/>
        <v>43014836.12161275</v>
      </c>
    </row>
    <row r="27" spans="1:16" x14ac:dyDescent="0.3">
      <c r="A27" s="3" t="s">
        <v>109</v>
      </c>
      <c r="B27" s="12"/>
      <c r="C27" s="12"/>
      <c r="D27" s="12"/>
      <c r="E27" s="12"/>
      <c r="F27" s="12"/>
      <c r="G27" s="12">
        <v>1955226</v>
      </c>
      <c r="H27" s="120">
        <v>2152731</v>
      </c>
      <c r="I27" s="120">
        <v>2206549</v>
      </c>
      <c r="J27" s="120">
        <v>2261713</v>
      </c>
      <c r="K27" s="120">
        <v>2318255</v>
      </c>
      <c r="L27" s="120">
        <v>2376212</v>
      </c>
      <c r="M27" s="12">
        <v>2435617</v>
      </c>
      <c r="N27" s="12">
        <v>2496508</v>
      </c>
      <c r="O27" s="12">
        <v>2558920</v>
      </c>
      <c r="P27" s="12">
        <v>2558920</v>
      </c>
    </row>
    <row r="28" spans="1:16" s="2" customFormat="1" x14ac:dyDescent="0.3">
      <c r="A28" s="13" t="s">
        <v>52</v>
      </c>
      <c r="B28" s="123">
        <f t="shared" ref="B28:D28" si="5">SUM(B23:B26)</f>
        <v>14543510</v>
      </c>
      <c r="C28" s="123">
        <f t="shared" si="5"/>
        <v>15624652</v>
      </c>
      <c r="D28" s="123">
        <f t="shared" si="5"/>
        <v>16397633</v>
      </c>
      <c r="E28" s="123">
        <f>SUM(E23:E26)</f>
        <v>15046333</v>
      </c>
      <c r="F28" s="123">
        <f t="shared" ref="F28:P28" si="6">SUM(F23:F26)</f>
        <v>39423055.357806608</v>
      </c>
      <c r="G28" s="123">
        <f>SUM(G23:G27)</f>
        <v>48419576.645963818</v>
      </c>
      <c r="H28" s="124">
        <f>SUM(H23:H27)</f>
        <v>63508067</v>
      </c>
      <c r="I28" s="124">
        <f t="shared" ref="I28:L28" si="7">SUM(I23:I27)</f>
        <v>61092884</v>
      </c>
      <c r="J28" s="124">
        <f t="shared" si="7"/>
        <v>61038250</v>
      </c>
      <c r="K28" s="124">
        <f t="shared" si="7"/>
        <v>61301768</v>
      </c>
      <c r="L28" s="124">
        <f t="shared" si="7"/>
        <v>62422734</v>
      </c>
      <c r="M28" s="123">
        <f t="shared" si="6"/>
        <v>60049757.533150241</v>
      </c>
      <c r="N28" s="123">
        <f t="shared" si="6"/>
        <v>60049757.533150241</v>
      </c>
      <c r="O28" s="123">
        <f t="shared" si="6"/>
        <v>60049757.533150241</v>
      </c>
      <c r="P28" s="123">
        <f t="shared" si="6"/>
        <v>60049757.533150241</v>
      </c>
    </row>
    <row r="29" spans="1:16" x14ac:dyDescent="0.3">
      <c r="A29" s="2"/>
      <c r="B29" s="17"/>
      <c r="C29" s="17"/>
      <c r="D29" s="17"/>
      <c r="E29" s="17"/>
      <c r="F29" s="17"/>
      <c r="G29" s="17"/>
      <c r="H29" s="17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 s="30" t="s">
        <v>53</v>
      </c>
      <c r="B30" s="31"/>
      <c r="C30" s="31"/>
      <c r="D30" s="31"/>
      <c r="E30" s="31"/>
      <c r="F30" s="30" t="s">
        <v>20</v>
      </c>
      <c r="G30" s="5" t="s">
        <v>1</v>
      </c>
      <c r="H30" s="5" t="s">
        <v>2</v>
      </c>
      <c r="I30" s="5" t="s">
        <v>3</v>
      </c>
      <c r="J30" s="5" t="s">
        <v>4</v>
      </c>
      <c r="K30" s="5" t="s">
        <v>5</v>
      </c>
      <c r="L30" s="5" t="s">
        <v>6</v>
      </c>
      <c r="M30" s="5" t="s">
        <v>7</v>
      </c>
      <c r="N30" s="26"/>
      <c r="O30" s="26"/>
      <c r="P30" s="26"/>
    </row>
    <row r="31" spans="1:16" x14ac:dyDescent="0.3">
      <c r="A31" s="31" t="s">
        <v>13</v>
      </c>
      <c r="B31" s="32">
        <f>B23/10^6</f>
        <v>1.3726119999999999</v>
      </c>
      <c r="C31" s="32">
        <f t="shared" ref="C31:P31" si="8">C23/10^6</f>
        <v>2.476817</v>
      </c>
      <c r="D31" s="32">
        <f t="shared" si="8"/>
        <v>1.5490550000000001</v>
      </c>
      <c r="E31" s="32">
        <f t="shared" si="8"/>
        <v>1.5184249999999999</v>
      </c>
      <c r="F31" s="32">
        <f t="shared" si="8"/>
        <v>1.666176588201415</v>
      </c>
      <c r="G31" s="27">
        <f t="shared" si="8"/>
        <v>1.7102738746290098</v>
      </c>
      <c r="H31" s="125">
        <f t="shared" si="8"/>
        <v>1.8177589999999999</v>
      </c>
      <c r="I31" s="125">
        <f t="shared" si="8"/>
        <v>1.809464</v>
      </c>
      <c r="J31" s="125">
        <f t="shared" si="8"/>
        <v>1.8159799999999999</v>
      </c>
      <c r="K31" s="125">
        <f t="shared" si="8"/>
        <v>1.824516</v>
      </c>
      <c r="L31" s="125">
        <f t="shared" si="8"/>
        <v>1.838449</v>
      </c>
      <c r="M31" s="27">
        <f t="shared" si="8"/>
        <v>1.7953547516868538</v>
      </c>
      <c r="N31" s="27">
        <f t="shared" si="8"/>
        <v>1.7953547516868538</v>
      </c>
      <c r="O31" s="27">
        <f t="shared" si="8"/>
        <v>1.7953547516868538</v>
      </c>
      <c r="P31" s="27">
        <f t="shared" si="8"/>
        <v>1.7953547516868538</v>
      </c>
    </row>
    <row r="32" spans="1:16" x14ac:dyDescent="0.3">
      <c r="A32" s="31" t="s">
        <v>14</v>
      </c>
      <c r="B32" s="32">
        <f>B24/10^6</f>
        <v>5.6059140000000003</v>
      </c>
      <c r="C32" s="32">
        <f t="shared" ref="C32:P32" si="9">C24/10^6</f>
        <v>5.2319659999999999</v>
      </c>
      <c r="D32" s="32">
        <f t="shared" si="9"/>
        <v>4.6959530000000003</v>
      </c>
      <c r="E32" s="32">
        <f t="shared" si="9"/>
        <v>3.8651499999999999</v>
      </c>
      <c r="F32" s="32">
        <f t="shared" si="9"/>
        <v>8.9401821166043298</v>
      </c>
      <c r="G32" s="27">
        <f t="shared" si="9"/>
        <v>10.511676772513354</v>
      </c>
      <c r="H32" s="125">
        <f t="shared" si="9"/>
        <v>13.836506</v>
      </c>
      <c r="I32" s="125">
        <f t="shared" si="9"/>
        <v>13.286182999999999</v>
      </c>
      <c r="J32" s="125">
        <f t="shared" si="9"/>
        <v>13.262397</v>
      </c>
      <c r="K32" s="125">
        <f t="shared" si="9"/>
        <v>13.309313</v>
      </c>
      <c r="L32" s="125">
        <f t="shared" si="9"/>
        <v>13.547283999999999</v>
      </c>
      <c r="M32" s="27">
        <f t="shared" si="9"/>
        <v>13.54370333124478</v>
      </c>
      <c r="N32" s="27">
        <f t="shared" si="9"/>
        <v>13.54370333124478</v>
      </c>
      <c r="O32" s="27">
        <f t="shared" si="9"/>
        <v>13.54370333124478</v>
      </c>
      <c r="P32" s="27">
        <f t="shared" si="9"/>
        <v>13.54370333124478</v>
      </c>
    </row>
    <row r="33" spans="1:16" x14ac:dyDescent="0.3">
      <c r="A33" s="31" t="s">
        <v>15</v>
      </c>
      <c r="B33" s="32">
        <f>B25/10^6</f>
        <v>1.0561560000000001</v>
      </c>
      <c r="C33" s="32">
        <f t="shared" ref="C33:P33" si="10">C25/10^6</f>
        <v>0.83378699999999994</v>
      </c>
      <c r="D33" s="32">
        <f t="shared" si="10"/>
        <v>0.62907500000000005</v>
      </c>
      <c r="E33" s="32">
        <f t="shared" si="10"/>
        <v>0.64290700000000001</v>
      </c>
      <c r="F33" s="32">
        <f t="shared" si="10"/>
        <v>1.1489180033383342</v>
      </c>
      <c r="G33" s="27">
        <f t="shared" si="10"/>
        <v>1.3356276144505441</v>
      </c>
      <c r="H33" s="125">
        <f t="shared" si="10"/>
        <v>1.7315210000000001</v>
      </c>
      <c r="I33" s="125">
        <f t="shared" si="10"/>
        <v>1.6665749999999999</v>
      </c>
      <c r="J33" s="125">
        <f t="shared" si="10"/>
        <v>1.6641889999999999</v>
      </c>
      <c r="K33" s="125">
        <f t="shared" si="10"/>
        <v>1.6702049999999999</v>
      </c>
      <c r="L33" s="125">
        <f t="shared" si="10"/>
        <v>1.698923</v>
      </c>
      <c r="M33" s="27">
        <f t="shared" si="10"/>
        <v>1.695863328605852</v>
      </c>
      <c r="N33" s="27">
        <f t="shared" si="10"/>
        <v>1.695863328605852</v>
      </c>
      <c r="O33" s="27">
        <f t="shared" si="10"/>
        <v>1.695863328605852</v>
      </c>
      <c r="P33" s="27">
        <f t="shared" si="10"/>
        <v>1.695863328605852</v>
      </c>
    </row>
    <row r="34" spans="1:16" x14ac:dyDescent="0.3">
      <c r="A34" s="31" t="s">
        <v>16</v>
      </c>
      <c r="B34" s="32">
        <f>B26/10^6</f>
        <v>6.5088280000000003</v>
      </c>
      <c r="C34" s="32">
        <f t="shared" ref="C34:P34" si="11">C26/10^6</f>
        <v>7.0820819999999998</v>
      </c>
      <c r="D34" s="32">
        <f t="shared" si="11"/>
        <v>9.5235500000000002</v>
      </c>
      <c r="E34" s="32">
        <f t="shared" si="11"/>
        <v>9.0198509999999992</v>
      </c>
      <c r="F34" s="32">
        <f t="shared" si="11"/>
        <v>27.66777864966253</v>
      </c>
      <c r="G34" s="27">
        <f t="shared" si="11"/>
        <v>32.90677238437091</v>
      </c>
      <c r="H34" s="125">
        <f t="shared" si="11"/>
        <v>43.969549999999998</v>
      </c>
      <c r="I34" s="125">
        <f t="shared" si="11"/>
        <v>42.124113000000001</v>
      </c>
      <c r="J34" s="125">
        <f t="shared" si="11"/>
        <v>42.033971000000001</v>
      </c>
      <c r="K34" s="125">
        <f t="shared" si="11"/>
        <v>42.179479000000001</v>
      </c>
      <c r="L34" s="125">
        <f t="shared" si="11"/>
        <v>42.961866000000001</v>
      </c>
      <c r="M34" s="27">
        <f t="shared" si="11"/>
        <v>43.014836121612753</v>
      </c>
      <c r="N34" s="27">
        <f t="shared" si="11"/>
        <v>43.014836121612753</v>
      </c>
      <c r="O34" s="27">
        <f t="shared" si="11"/>
        <v>43.014836121612753</v>
      </c>
      <c r="P34" s="27">
        <f t="shared" si="11"/>
        <v>43.014836121612753</v>
      </c>
    </row>
    <row r="35" spans="1:16" x14ac:dyDescent="0.3">
      <c r="A35" s="31"/>
      <c r="B35" s="32"/>
      <c r="C35" s="32"/>
      <c r="D35" s="32"/>
      <c r="E35" s="32"/>
      <c r="F35" s="32"/>
      <c r="G35" s="27">
        <f t="shared" ref="G35:L35" si="12">G27/10^6</f>
        <v>1.9552259999999999</v>
      </c>
      <c r="H35" s="125">
        <f t="shared" si="12"/>
        <v>2.1527310000000002</v>
      </c>
      <c r="I35" s="125">
        <f t="shared" si="12"/>
        <v>2.2065489999999999</v>
      </c>
      <c r="J35" s="125">
        <f t="shared" si="12"/>
        <v>2.2617129999999999</v>
      </c>
      <c r="K35" s="125">
        <f t="shared" si="12"/>
        <v>2.3182550000000002</v>
      </c>
      <c r="L35" s="125">
        <f t="shared" si="12"/>
        <v>2.3762120000000002</v>
      </c>
      <c r="M35" s="27"/>
      <c r="N35" s="27"/>
      <c r="O35" s="27"/>
      <c r="P35" s="27"/>
    </row>
    <row r="36" spans="1:16" x14ac:dyDescent="0.3">
      <c r="A36" s="31" t="s">
        <v>52</v>
      </c>
      <c r="B36" s="33">
        <f t="shared" ref="B36:D36" si="13">SUM(B31:B34)</f>
        <v>14.543510000000001</v>
      </c>
      <c r="C36" s="33">
        <f t="shared" si="13"/>
        <v>15.624651999999999</v>
      </c>
      <c r="D36" s="33">
        <f t="shared" si="13"/>
        <v>16.397632999999999</v>
      </c>
      <c r="E36" s="33">
        <f>SUM(E31:E34)</f>
        <v>15.046332999999999</v>
      </c>
      <c r="F36" s="33">
        <f t="shared" ref="F36:P36" si="14">SUM(F31:F34)</f>
        <v>39.423055357806611</v>
      </c>
      <c r="G36" s="28">
        <f>SUM(G31:G35)</f>
        <v>48.419576645963822</v>
      </c>
      <c r="H36" s="125">
        <f t="shared" ref="H36:L36" si="15">SUM(H31:H35)</f>
        <v>63.508066999999997</v>
      </c>
      <c r="I36" s="125">
        <f t="shared" si="15"/>
        <v>61.092884000000005</v>
      </c>
      <c r="J36" s="125">
        <f t="shared" si="15"/>
        <v>61.038250000000005</v>
      </c>
      <c r="K36" s="125">
        <f t="shared" si="15"/>
        <v>61.301768000000003</v>
      </c>
      <c r="L36" s="125">
        <f t="shared" si="15"/>
        <v>62.422733999999998</v>
      </c>
      <c r="M36" s="28">
        <f t="shared" si="14"/>
        <v>60.049757533150242</v>
      </c>
      <c r="N36" s="28">
        <f t="shared" si="14"/>
        <v>60.049757533150242</v>
      </c>
      <c r="O36" s="28">
        <f t="shared" si="14"/>
        <v>60.049757533150242</v>
      </c>
      <c r="P36" s="28">
        <f t="shared" si="14"/>
        <v>60.049757533150242</v>
      </c>
    </row>
    <row r="37" spans="1:16" x14ac:dyDescent="0.3">
      <c r="B37" s="16"/>
      <c r="G37" s="34"/>
    </row>
    <row r="38" spans="1:16" x14ac:dyDescent="0.3">
      <c r="F38" t="s">
        <v>116</v>
      </c>
      <c r="G38" s="122"/>
      <c r="H38" s="122"/>
      <c r="I38" s="122"/>
    </row>
    <row r="39" spans="1:16" x14ac:dyDescent="0.3">
      <c r="G39" t="s">
        <v>111</v>
      </c>
      <c r="H39" s="23">
        <v>1817759</v>
      </c>
      <c r="I39" s="23">
        <v>1809464</v>
      </c>
      <c r="J39" s="23">
        <v>1815980</v>
      </c>
      <c r="K39" s="23">
        <v>1824516</v>
      </c>
      <c r="L39" s="23">
        <v>1838449</v>
      </c>
    </row>
    <row r="40" spans="1:16" x14ac:dyDescent="0.3">
      <c r="G40" t="s">
        <v>113</v>
      </c>
      <c r="H40" s="23">
        <v>13836506</v>
      </c>
      <c r="I40" s="23">
        <v>13286183</v>
      </c>
      <c r="J40" s="23">
        <v>13262397</v>
      </c>
      <c r="K40" s="23">
        <v>13309313</v>
      </c>
      <c r="L40" s="23">
        <v>13547284</v>
      </c>
    </row>
    <row r="41" spans="1:16" x14ac:dyDescent="0.3">
      <c r="G41" t="s">
        <v>114</v>
      </c>
      <c r="H41" s="23">
        <v>1731521</v>
      </c>
      <c r="I41" s="23">
        <v>1666575</v>
      </c>
      <c r="J41" s="23">
        <v>1664189</v>
      </c>
      <c r="K41" s="23">
        <v>1670205</v>
      </c>
      <c r="L41" s="23">
        <v>1698923</v>
      </c>
    </row>
    <row r="42" spans="1:16" x14ac:dyDescent="0.3">
      <c r="G42" t="s">
        <v>115</v>
      </c>
      <c r="H42" s="23">
        <v>43969550</v>
      </c>
      <c r="I42" s="23">
        <v>42124113</v>
      </c>
      <c r="J42" s="23">
        <v>42033971</v>
      </c>
      <c r="K42" s="23">
        <v>42179479</v>
      </c>
      <c r="L42" s="23">
        <v>42961866</v>
      </c>
    </row>
    <row r="43" spans="1:16" x14ac:dyDescent="0.3">
      <c r="G43" t="s">
        <v>112</v>
      </c>
      <c r="H43" s="23">
        <v>2152731</v>
      </c>
      <c r="I43" s="23">
        <v>2206549</v>
      </c>
      <c r="J43" s="23">
        <v>2261713</v>
      </c>
      <c r="K43" s="23">
        <v>2318255</v>
      </c>
      <c r="L43" s="23">
        <v>2376212</v>
      </c>
    </row>
    <row r="44" spans="1:16" x14ac:dyDescent="0.3">
      <c r="F44" t="s">
        <v>117</v>
      </c>
    </row>
    <row r="45" spans="1:16" x14ac:dyDescent="0.3">
      <c r="G45" t="s">
        <v>111</v>
      </c>
      <c r="H45" s="106">
        <f>H39-H23</f>
        <v>0</v>
      </c>
      <c r="I45" s="106">
        <f t="shared" ref="I45:L45" si="16">I39-I23</f>
        <v>0</v>
      </c>
      <c r="J45" s="106">
        <f t="shared" si="16"/>
        <v>0</v>
      </c>
      <c r="K45" s="106">
        <f t="shared" si="16"/>
        <v>0</v>
      </c>
      <c r="L45" s="106">
        <f t="shared" si="16"/>
        <v>0</v>
      </c>
    </row>
    <row r="46" spans="1:16" x14ac:dyDescent="0.3">
      <c r="G46" t="s">
        <v>113</v>
      </c>
      <c r="H46" s="106">
        <f t="shared" ref="H46:L46" si="17">H40-H24</f>
        <v>0</v>
      </c>
      <c r="I46" s="106">
        <f t="shared" si="17"/>
        <v>0</v>
      </c>
      <c r="J46" s="106">
        <f t="shared" si="17"/>
        <v>0</v>
      </c>
      <c r="K46" s="106">
        <f t="shared" si="17"/>
        <v>0</v>
      </c>
      <c r="L46" s="106">
        <f t="shared" si="17"/>
        <v>0</v>
      </c>
    </row>
    <row r="47" spans="1:16" x14ac:dyDescent="0.3">
      <c r="G47" t="s">
        <v>114</v>
      </c>
      <c r="H47" s="106">
        <f t="shared" ref="H47:L47" si="18">H41-H25</f>
        <v>0</v>
      </c>
      <c r="I47" s="106">
        <f t="shared" si="18"/>
        <v>0</v>
      </c>
      <c r="J47" s="106">
        <f t="shared" si="18"/>
        <v>0</v>
      </c>
      <c r="K47" s="106">
        <f t="shared" si="18"/>
        <v>0</v>
      </c>
      <c r="L47" s="106">
        <f t="shared" si="18"/>
        <v>0</v>
      </c>
    </row>
    <row r="48" spans="1:16" x14ac:dyDescent="0.3">
      <c r="G48" t="s">
        <v>115</v>
      </c>
      <c r="H48" s="106">
        <f t="shared" ref="H48:L48" si="19">H42-H26</f>
        <v>0</v>
      </c>
      <c r="I48" s="106">
        <f t="shared" si="19"/>
        <v>0</v>
      </c>
      <c r="J48" s="106">
        <f t="shared" si="19"/>
        <v>0</v>
      </c>
      <c r="K48" s="106">
        <f t="shared" si="19"/>
        <v>0</v>
      </c>
      <c r="L48" s="106">
        <f t="shared" si="19"/>
        <v>0</v>
      </c>
    </row>
    <row r="49" spans="7:12" x14ac:dyDescent="0.3">
      <c r="G49" t="s">
        <v>112</v>
      </c>
      <c r="H49" s="106">
        <f t="shared" ref="H49:L49" si="20">H43-H27</f>
        <v>0</v>
      </c>
      <c r="I49" s="106">
        <f t="shared" si="20"/>
        <v>0</v>
      </c>
      <c r="J49" s="106">
        <f t="shared" si="20"/>
        <v>0</v>
      </c>
      <c r="K49" s="106">
        <f t="shared" si="20"/>
        <v>0</v>
      </c>
      <c r="L49" s="106">
        <f t="shared" si="20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16" workbookViewId="0">
      <selection activeCell="C21" sqref="C21"/>
    </sheetView>
  </sheetViews>
  <sheetFormatPr defaultRowHeight="14.4" x14ac:dyDescent="0.3"/>
  <cols>
    <col min="1" max="1" width="30.88671875" customWidth="1"/>
    <col min="2" max="2" width="16" customWidth="1"/>
    <col min="3" max="3" width="18.5546875" customWidth="1"/>
    <col min="4" max="4" width="15.109375" customWidth="1"/>
    <col min="5" max="5" width="14.88671875" customWidth="1"/>
    <col min="6" max="6" width="17.88671875" customWidth="1"/>
    <col min="7" max="7" width="15.44140625" customWidth="1"/>
    <col min="8" max="8" width="13.33203125" customWidth="1"/>
    <col min="9" max="9" width="14" customWidth="1"/>
    <col min="10" max="10" width="16.5546875" customWidth="1"/>
    <col min="11" max="11" width="15.33203125" customWidth="1"/>
    <col min="12" max="12" width="12.5546875" bestFit="1" customWidth="1"/>
    <col min="13" max="13" width="13.6640625" bestFit="1" customWidth="1"/>
  </cols>
  <sheetData>
    <row r="1" spans="1:13" x14ac:dyDescent="0.25">
      <c r="A1" s="2" t="s">
        <v>21</v>
      </c>
    </row>
    <row r="2" spans="1:13" x14ac:dyDescent="0.25">
      <c r="B2" t="s">
        <v>24</v>
      </c>
    </row>
    <row r="3" spans="1:13" x14ac:dyDescent="0.25">
      <c r="A3" t="s">
        <v>23</v>
      </c>
      <c r="B3" s="6">
        <v>0.12</v>
      </c>
      <c r="E3" s="24"/>
    </row>
    <row r="4" spans="1:13" x14ac:dyDescent="0.25">
      <c r="A4" t="s">
        <v>25</v>
      </c>
      <c r="B4" s="6">
        <v>0.12</v>
      </c>
      <c r="E4" s="9"/>
    </row>
    <row r="5" spans="1:13" x14ac:dyDescent="0.25">
      <c r="E5" s="1"/>
    </row>
    <row r="6" spans="1:13" x14ac:dyDescent="0.25">
      <c r="A6" t="s">
        <v>26</v>
      </c>
      <c r="B6" t="s">
        <v>11</v>
      </c>
      <c r="C6" t="s">
        <v>0</v>
      </c>
      <c r="D6" t="s">
        <v>1</v>
      </c>
      <c r="E6" t="s">
        <v>2</v>
      </c>
      <c r="F6" t="s">
        <v>3</v>
      </c>
      <c r="G6" t="s">
        <v>4</v>
      </c>
      <c r="H6" t="s">
        <v>5</v>
      </c>
      <c r="I6" t="s">
        <v>6</v>
      </c>
      <c r="J6" t="s">
        <v>7</v>
      </c>
      <c r="K6" t="s">
        <v>8</v>
      </c>
      <c r="L6" t="s">
        <v>9</v>
      </c>
      <c r="M6" t="s">
        <v>10</v>
      </c>
    </row>
    <row r="7" spans="1:13" x14ac:dyDescent="0.25">
      <c r="A7" t="s">
        <v>49</v>
      </c>
      <c r="B7" s="8">
        <f>'Customer Forecast'!J9*1000</f>
        <v>22449.999999999931</v>
      </c>
      <c r="C7" s="8">
        <f>'Customer Forecast'!K9*1000</f>
        <v>23041.878987035489</v>
      </c>
      <c r="D7" s="8">
        <f>'Customer Forecast'!L9*1000</f>
        <v>23414.732645512915</v>
      </c>
      <c r="E7" s="8">
        <f>'Customer Forecast'!M9*1000</f>
        <v>23010.434175406317</v>
      </c>
      <c r="F7" s="8">
        <f>'Customer Forecast'!N9*1000</f>
        <v>20376.610398425553</v>
      </c>
      <c r="G7" s="8">
        <f>'Customer Forecast'!O9*1000</f>
        <v>20174.625324362067</v>
      </c>
      <c r="H7" s="8">
        <f>'Customer Forecast'!P9*1000</f>
        <v>20295.793414463787</v>
      </c>
      <c r="I7" s="8">
        <f>'Customer Forecast'!Q9*1000</f>
        <v>21300.38491055552</v>
      </c>
      <c r="J7" s="8">
        <f>AVERAGE(B7:I7)</f>
        <v>21758.057481970198</v>
      </c>
      <c r="K7" s="8">
        <f>J7</f>
        <v>21758.057481970198</v>
      </c>
      <c r="L7" s="8">
        <f t="shared" ref="L7:M7" si="0">K7</f>
        <v>21758.057481970198</v>
      </c>
      <c r="M7" s="8">
        <f t="shared" si="0"/>
        <v>21758.057481970198</v>
      </c>
    </row>
    <row r="8" spans="1:13" x14ac:dyDescent="0.25">
      <c r="A8" s="1"/>
      <c r="B8" s="23">
        <v>182000000</v>
      </c>
      <c r="C8" s="23">
        <f>0.5*$B$8+0.5*$B$8*C7/$B$7</f>
        <v>184399153.13230449</v>
      </c>
      <c r="D8" s="23">
        <f t="shared" ref="D8:M8" si="1">0.5*$B$8+0.5*$B$8*D7/$B$7</f>
        <v>185910497.58314842</v>
      </c>
      <c r="E8" s="23">
        <f t="shared" si="1"/>
        <v>184271693.0940749</v>
      </c>
      <c r="F8" s="23">
        <f t="shared" si="1"/>
        <v>173595614.53259382</v>
      </c>
      <c r="G8" s="23">
        <f t="shared" si="1"/>
        <v>172776877.70676854</v>
      </c>
      <c r="H8" s="23">
        <f t="shared" si="1"/>
        <v>173268026.75796038</v>
      </c>
      <c r="I8" s="23">
        <f t="shared" si="1"/>
        <v>177340090.28332108</v>
      </c>
      <c r="J8" s="23">
        <f t="shared" si="1"/>
        <v>179195244.13627148</v>
      </c>
      <c r="K8" s="1">
        <f t="shared" si="1"/>
        <v>179195244.13627148</v>
      </c>
      <c r="L8" s="1">
        <f t="shared" si="1"/>
        <v>179195244.13627148</v>
      </c>
      <c r="M8" s="1">
        <f t="shared" si="1"/>
        <v>179195244.13627148</v>
      </c>
    </row>
    <row r="9" spans="1:13" x14ac:dyDescent="0.25">
      <c r="A9" s="1" t="s">
        <v>28</v>
      </c>
      <c r="B9" s="23">
        <f>B8</f>
        <v>182000000</v>
      </c>
      <c r="C9" s="23">
        <f>C8</f>
        <v>184399153.13230449</v>
      </c>
      <c r="D9" s="23">
        <f t="shared" ref="D9:M9" si="2">D8</f>
        <v>185910497.58314842</v>
      </c>
      <c r="E9" s="23">
        <f t="shared" si="2"/>
        <v>184271693.0940749</v>
      </c>
      <c r="F9" s="23">
        <f t="shared" si="2"/>
        <v>173595614.53259382</v>
      </c>
      <c r="G9" s="23">
        <f t="shared" si="2"/>
        <v>172776877.70676854</v>
      </c>
      <c r="H9" s="23">
        <f t="shared" si="2"/>
        <v>173268026.75796038</v>
      </c>
      <c r="I9" s="23">
        <f t="shared" si="2"/>
        <v>177340090.28332108</v>
      </c>
      <c r="J9" s="23">
        <f t="shared" si="2"/>
        <v>179195244.13627148</v>
      </c>
      <c r="K9" s="1">
        <f t="shared" si="2"/>
        <v>179195244.13627148</v>
      </c>
      <c r="L9" s="1">
        <f t="shared" si="2"/>
        <v>179195244.13627148</v>
      </c>
      <c r="M9" s="1">
        <f t="shared" si="2"/>
        <v>179195244.13627148</v>
      </c>
    </row>
    <row r="10" spans="1:13" x14ac:dyDescent="0.3">
      <c r="A10" t="s">
        <v>27</v>
      </c>
    </row>
    <row r="11" spans="1:13" x14ac:dyDescent="0.3">
      <c r="A11" t="s">
        <v>23</v>
      </c>
      <c r="C11" s="23">
        <f>C9*$B$3</f>
        <v>22127898.375876538</v>
      </c>
      <c r="D11" s="23">
        <f>D9*$B$3</f>
        <v>22309259.709977809</v>
      </c>
      <c r="E11" s="23">
        <f t="shared" ref="E11:M11" si="3">E9*$B$3</f>
        <v>22112603.171288989</v>
      </c>
      <c r="F11" s="23">
        <f t="shared" si="3"/>
        <v>20831473.743911259</v>
      </c>
      <c r="G11" s="23">
        <f t="shared" si="3"/>
        <v>20733225.324812226</v>
      </c>
      <c r="H11" s="23">
        <f t="shared" si="3"/>
        <v>20792163.210955244</v>
      </c>
      <c r="I11" s="23">
        <f t="shared" si="3"/>
        <v>21280810.833998527</v>
      </c>
      <c r="J11" s="23">
        <f t="shared" si="3"/>
        <v>21503429.296352576</v>
      </c>
      <c r="K11" s="23">
        <f t="shared" si="3"/>
        <v>21503429.296352576</v>
      </c>
      <c r="L11" s="23">
        <f t="shared" si="3"/>
        <v>21503429.296352576</v>
      </c>
      <c r="M11" s="23">
        <f t="shared" si="3"/>
        <v>21503429.296352576</v>
      </c>
    </row>
    <row r="12" spans="1:13" x14ac:dyDescent="0.3">
      <c r="A12" t="s">
        <v>25</v>
      </c>
      <c r="C12" s="23">
        <f>C9*$B$3</f>
        <v>22127898.375876538</v>
      </c>
      <c r="D12" s="23">
        <f t="shared" ref="D12:M12" si="4">D9*$B$3</f>
        <v>22309259.709977809</v>
      </c>
      <c r="E12" s="23">
        <f t="shared" si="4"/>
        <v>22112603.171288989</v>
      </c>
      <c r="F12" s="23">
        <f t="shared" si="4"/>
        <v>20831473.743911259</v>
      </c>
      <c r="G12" s="23">
        <f t="shared" si="4"/>
        <v>20733225.324812226</v>
      </c>
      <c r="H12" s="23">
        <f t="shared" si="4"/>
        <v>20792163.210955244</v>
      </c>
      <c r="I12" s="23">
        <f t="shared" si="4"/>
        <v>21280810.833998527</v>
      </c>
      <c r="J12" s="23">
        <f t="shared" si="4"/>
        <v>21503429.296352576</v>
      </c>
      <c r="K12" s="23">
        <f t="shared" si="4"/>
        <v>21503429.296352576</v>
      </c>
      <c r="L12" s="23">
        <f t="shared" si="4"/>
        <v>21503429.296352576</v>
      </c>
      <c r="M12" s="23">
        <f t="shared" si="4"/>
        <v>21503429.296352576</v>
      </c>
    </row>
    <row r="13" spans="1:13" x14ac:dyDescent="0.3">
      <c r="A13" s="3" t="s">
        <v>29</v>
      </c>
      <c r="B13" s="3"/>
      <c r="C13" s="12">
        <f>SUM(C11:C12)</f>
        <v>44255796.751753077</v>
      </c>
      <c r="D13" s="12">
        <f t="shared" ref="D13:M13" si="5">SUM(D11:D12)</f>
        <v>44618519.419955619</v>
      </c>
      <c r="E13" s="118">
        <f t="shared" si="5"/>
        <v>44225206.342577979</v>
      </c>
      <c r="F13" s="118">
        <f t="shared" si="5"/>
        <v>41662947.487822518</v>
      </c>
      <c r="G13" s="118">
        <f t="shared" si="5"/>
        <v>41466450.649624452</v>
      </c>
      <c r="H13" s="118">
        <f t="shared" si="5"/>
        <v>41584326.421910487</v>
      </c>
      <c r="I13" s="119">
        <f t="shared" si="5"/>
        <v>42561621.667997055</v>
      </c>
      <c r="J13" s="11">
        <f t="shared" si="5"/>
        <v>43006858.592705153</v>
      </c>
      <c r="K13" s="11">
        <f t="shared" si="5"/>
        <v>43006858.592705153</v>
      </c>
      <c r="L13" s="11">
        <f t="shared" si="5"/>
        <v>43006858.592705153</v>
      </c>
      <c r="M13" s="12">
        <f t="shared" si="5"/>
        <v>43006858.592705153</v>
      </c>
    </row>
    <row r="14" spans="1:13" x14ac:dyDescent="0.3">
      <c r="A14" s="3" t="s">
        <v>101</v>
      </c>
      <c r="B14" s="3"/>
      <c r="C14" s="12">
        <f>C9-C13</f>
        <v>140143356.3805514</v>
      </c>
      <c r="D14" s="12">
        <f t="shared" ref="D14:M14" si="6">D9-D13</f>
        <v>141291978.16319281</v>
      </c>
      <c r="E14" s="12">
        <f t="shared" si="6"/>
        <v>140046486.75149691</v>
      </c>
      <c r="F14" s="12">
        <f t="shared" si="6"/>
        <v>131932667.0447713</v>
      </c>
      <c r="G14" s="11">
        <f t="shared" si="6"/>
        <v>131310427.05714409</v>
      </c>
      <c r="H14" s="11">
        <f t="shared" si="6"/>
        <v>131683700.33604988</v>
      </c>
      <c r="I14" s="11">
        <f t="shared" si="6"/>
        <v>134778468.61532402</v>
      </c>
      <c r="J14" s="11">
        <f t="shared" si="6"/>
        <v>136188385.54356632</v>
      </c>
      <c r="K14" s="11">
        <f t="shared" si="6"/>
        <v>136188385.54356632</v>
      </c>
      <c r="L14" s="11">
        <f t="shared" si="6"/>
        <v>136188385.54356632</v>
      </c>
      <c r="M14" s="12">
        <f t="shared" si="6"/>
        <v>136188385.54356632</v>
      </c>
    </row>
    <row r="15" spans="1:13" x14ac:dyDescent="0.3">
      <c r="A15" s="3" t="s">
        <v>13</v>
      </c>
      <c r="B15" s="3"/>
      <c r="C15" s="11">
        <f>C$13*$D28</f>
        <v>277159.31026580022</v>
      </c>
      <c r="D15" s="11">
        <f t="shared" ref="D15:M15" si="7">D$13*$D28</f>
        <v>279430.92148773139</v>
      </c>
      <c r="E15" s="119">
        <f t="shared" si="7"/>
        <v>276967.73272500309</v>
      </c>
      <c r="F15" s="119">
        <f t="shared" si="7"/>
        <v>260921.15919046756</v>
      </c>
      <c r="G15" s="119">
        <f t="shared" si="7"/>
        <v>259690.56496006929</v>
      </c>
      <c r="H15" s="119">
        <f t="shared" si="7"/>
        <v>260428.78164899495</v>
      </c>
      <c r="I15" s="119">
        <f t="shared" si="7"/>
        <v>266549.25616786507</v>
      </c>
      <c r="J15" s="11">
        <f t="shared" si="7"/>
        <v>269337.62668685417</v>
      </c>
      <c r="K15" s="11">
        <f t="shared" si="7"/>
        <v>269337.62668685417</v>
      </c>
      <c r="L15" s="11">
        <f t="shared" si="7"/>
        <v>269337.62668685417</v>
      </c>
      <c r="M15" s="11">
        <f t="shared" si="7"/>
        <v>269337.62668685417</v>
      </c>
    </row>
    <row r="16" spans="1:13" x14ac:dyDescent="0.3">
      <c r="A16" s="3" t="s">
        <v>14</v>
      </c>
      <c r="B16" s="3"/>
      <c r="C16" s="11">
        <f>C$13*$D29</f>
        <v>9877124.1997688431</v>
      </c>
      <c r="D16" s="11">
        <f t="shared" ref="D16:M16" si="8">D$13*$D29</f>
        <v>9958077.5913438387</v>
      </c>
      <c r="E16" s="119">
        <f t="shared" si="8"/>
        <v>9870296.9524267819</v>
      </c>
      <c r="F16" s="119">
        <f t="shared" si="8"/>
        <v>9298445.3352852464</v>
      </c>
      <c r="G16" s="119">
        <f t="shared" si="8"/>
        <v>9254590.6581989657</v>
      </c>
      <c r="H16" s="119">
        <f t="shared" si="8"/>
        <v>9280898.4806418344</v>
      </c>
      <c r="I16" s="119">
        <f t="shared" si="8"/>
        <v>9499013.7838096246</v>
      </c>
      <c r="J16" s="11">
        <f t="shared" si="8"/>
        <v>9598382.922463553</v>
      </c>
      <c r="K16" s="11">
        <f t="shared" si="8"/>
        <v>9598382.922463553</v>
      </c>
      <c r="L16" s="11">
        <f t="shared" si="8"/>
        <v>9598382.922463553</v>
      </c>
      <c r="M16" s="11">
        <f t="shared" si="8"/>
        <v>9598382.922463553</v>
      </c>
    </row>
    <row r="17" spans="1:13" x14ac:dyDescent="0.3">
      <c r="A17" s="3" t="s">
        <v>15</v>
      </c>
      <c r="B17" s="3"/>
      <c r="C17" s="11">
        <f>C$13*$D30</f>
        <v>1173503.2068429776</v>
      </c>
      <c r="D17" s="11">
        <f t="shared" ref="D17:M17" si="9">D$13*$D30</f>
        <v>1183121.2963492626</v>
      </c>
      <c r="E17" s="119">
        <f t="shared" si="9"/>
        <v>1172692.0601480715</v>
      </c>
      <c r="F17" s="119">
        <f t="shared" si="9"/>
        <v>1104750.2490519185</v>
      </c>
      <c r="G17" s="119">
        <f t="shared" si="9"/>
        <v>1099539.8656290779</v>
      </c>
      <c r="H17" s="119">
        <f t="shared" si="9"/>
        <v>1102665.503555397</v>
      </c>
      <c r="I17" s="119">
        <f t="shared" si="9"/>
        <v>1128579.828671904</v>
      </c>
      <c r="J17" s="11">
        <f t="shared" si="9"/>
        <v>1140385.896968012</v>
      </c>
      <c r="K17" s="11">
        <f t="shared" si="9"/>
        <v>1140385.896968012</v>
      </c>
      <c r="L17" s="11">
        <f t="shared" si="9"/>
        <v>1140385.896968012</v>
      </c>
      <c r="M17" s="11">
        <f t="shared" si="9"/>
        <v>1140385.896968012</v>
      </c>
    </row>
    <row r="18" spans="1:13" x14ac:dyDescent="0.3">
      <c r="A18" s="3" t="s">
        <v>16</v>
      </c>
      <c r="B18" s="3"/>
      <c r="C18" s="11">
        <f>C$13*$D31</f>
        <v>32928010.034875456</v>
      </c>
      <c r="D18" s="11">
        <f t="shared" ref="D18:M18" si="10">D$13*$D31</f>
        <v>33197889.610774785</v>
      </c>
      <c r="E18" s="119">
        <f t="shared" si="10"/>
        <v>32905249.597278122</v>
      </c>
      <c r="F18" s="119">
        <f t="shared" si="10"/>
        <v>30998830.744294886</v>
      </c>
      <c r="G18" s="119">
        <f t="shared" si="10"/>
        <v>30852629.560836338</v>
      </c>
      <c r="H18" s="119">
        <f t="shared" si="10"/>
        <v>30940333.656064261</v>
      </c>
      <c r="I18" s="119">
        <f t="shared" si="10"/>
        <v>31667478.799347661</v>
      </c>
      <c r="J18" s="11">
        <f t="shared" si="10"/>
        <v>31998752.146586735</v>
      </c>
      <c r="K18" s="11">
        <f t="shared" si="10"/>
        <v>31998752.146586735</v>
      </c>
      <c r="L18" s="11">
        <f t="shared" si="10"/>
        <v>31998752.146586735</v>
      </c>
      <c r="M18" s="11">
        <f t="shared" si="10"/>
        <v>31998752.146586735</v>
      </c>
    </row>
    <row r="19" spans="1:13" x14ac:dyDescent="0.3">
      <c r="C19" s="9"/>
    </row>
    <row r="20" spans="1:13" x14ac:dyDescent="0.3">
      <c r="A20" t="s">
        <v>102</v>
      </c>
      <c r="C20" s="9"/>
    </row>
    <row r="21" spans="1:13" x14ac:dyDescent="0.3">
      <c r="A21" t="s">
        <v>103</v>
      </c>
      <c r="C21" s="9">
        <f>C8*0.1</f>
        <v>18439915.313230451</v>
      </c>
      <c r="D21" s="9">
        <f t="shared" ref="D21:I21" si="11">D8*0.1</f>
        <v>18591049.758314844</v>
      </c>
      <c r="E21" s="9">
        <f t="shared" si="11"/>
        <v>18427169.309407491</v>
      </c>
      <c r="F21" s="9">
        <f t="shared" si="11"/>
        <v>17359561.453259382</v>
      </c>
      <c r="G21" s="9">
        <f t="shared" si="11"/>
        <v>17277687.770676855</v>
      </c>
      <c r="H21" s="9">
        <f t="shared" si="11"/>
        <v>17326802.675796039</v>
      </c>
      <c r="I21" s="9">
        <f t="shared" si="11"/>
        <v>17734009.02833211</v>
      </c>
    </row>
    <row r="22" spans="1:13" x14ac:dyDescent="0.3">
      <c r="A22" t="s">
        <v>107</v>
      </c>
      <c r="C22" s="23">
        <f>D22/2</f>
        <v>2450813.5181511962</v>
      </c>
      <c r="D22" s="23">
        <f>E22/2</f>
        <v>4901627.0363023924</v>
      </c>
      <c r="E22" s="23">
        <f>E14*0.07</f>
        <v>9803254.0726047847</v>
      </c>
      <c r="F22" s="23">
        <f t="shared" ref="F22:I22" si="12">F14*0.07</f>
        <v>9235286.6931339912</v>
      </c>
      <c r="G22" s="23">
        <f t="shared" si="12"/>
        <v>9191729.8940000869</v>
      </c>
      <c r="H22" s="23">
        <f t="shared" si="12"/>
        <v>9217859.0235234927</v>
      </c>
      <c r="I22" s="23">
        <f t="shared" si="12"/>
        <v>9434492.8030726817</v>
      </c>
    </row>
    <row r="23" spans="1:13" x14ac:dyDescent="0.3">
      <c r="A23" s="3"/>
      <c r="B23" s="3" t="s">
        <v>11</v>
      </c>
      <c r="C23" s="3" t="s">
        <v>0</v>
      </c>
      <c r="D23" s="3" t="s">
        <v>1</v>
      </c>
      <c r="E23" s="3" t="s">
        <v>2</v>
      </c>
      <c r="F23" s="3" t="s">
        <v>3</v>
      </c>
      <c r="G23" s="3" t="s">
        <v>4</v>
      </c>
      <c r="H23" s="3" t="s">
        <v>5</v>
      </c>
      <c r="I23" s="3" t="s">
        <v>6</v>
      </c>
    </row>
    <row r="24" spans="1:13" x14ac:dyDescent="0.3">
      <c r="A24" s="26" t="s">
        <v>105</v>
      </c>
      <c r="B24" s="26"/>
      <c r="C24" s="109">
        <f>C14-C21-C22+0.5*C13</f>
        <v>141380525.92504629</v>
      </c>
      <c r="D24" s="109">
        <f>D14-D21-D22</f>
        <v>117799301.36857557</v>
      </c>
      <c r="E24" s="121">
        <f>E14-E21-E22</f>
        <v>111816063.36948463</v>
      </c>
      <c r="F24" s="121">
        <f t="shared" ref="F24:I24" si="13">F14-F21-F22</f>
        <v>105337818.89837793</v>
      </c>
      <c r="G24" s="121">
        <f t="shared" si="13"/>
        <v>104841009.39246716</v>
      </c>
      <c r="H24" s="121">
        <f t="shared" si="13"/>
        <v>105139038.63673036</v>
      </c>
      <c r="I24" s="121">
        <f t="shared" si="13"/>
        <v>107609966.78391923</v>
      </c>
    </row>
    <row r="25" spans="1:13" x14ac:dyDescent="0.3">
      <c r="A25" s="26" t="s">
        <v>104</v>
      </c>
      <c r="B25" s="109">
        <f>SUM(E24:I24)</f>
        <v>534743897.08097929</v>
      </c>
      <c r="C25" s="3"/>
      <c r="D25" s="3"/>
      <c r="E25" s="110"/>
      <c r="F25" s="11"/>
      <c r="G25" s="110"/>
      <c r="H25" s="3"/>
      <c r="I25" s="3"/>
    </row>
    <row r="26" spans="1:13" x14ac:dyDescent="0.3">
      <c r="B26" s="23"/>
      <c r="C26" s="23"/>
      <c r="D26" s="108"/>
      <c r="E26" s="106"/>
      <c r="F26" s="8"/>
      <c r="G26" s="113"/>
    </row>
    <row r="27" spans="1:13" x14ac:dyDescent="0.3">
      <c r="B27" t="s">
        <v>108</v>
      </c>
      <c r="C27" t="s">
        <v>59</v>
      </c>
      <c r="G27" s="108"/>
    </row>
    <row r="28" spans="1:13" x14ac:dyDescent="0.3">
      <c r="A28" s="3" t="s">
        <v>13</v>
      </c>
      <c r="B28" s="8">
        <v>1518425</v>
      </c>
      <c r="C28" s="8">
        <f>B28*0.05</f>
        <v>75921.25</v>
      </c>
      <c r="D28" s="10">
        <f>C28/$C$32</f>
        <v>6.2626668280426172E-3</v>
      </c>
    </row>
    <row r="29" spans="1:13" x14ac:dyDescent="0.3">
      <c r="A29" s="3" t="s">
        <v>14</v>
      </c>
      <c r="B29" s="8">
        <v>3865150</v>
      </c>
      <c r="C29" s="8">
        <f>B29*0.7</f>
        <v>2705605</v>
      </c>
      <c r="D29" s="10">
        <f t="shared" ref="D29:D31" si="14">C29/$C$32</f>
        <v>0.22318260939178747</v>
      </c>
      <c r="F29" s="106"/>
    </row>
    <row r="30" spans="1:13" x14ac:dyDescent="0.3">
      <c r="A30" s="3" t="s">
        <v>15</v>
      </c>
      <c r="B30" s="8">
        <v>642907</v>
      </c>
      <c r="C30" s="8">
        <f>B30*0.5</f>
        <v>321453.5</v>
      </c>
      <c r="D30" s="10">
        <f t="shared" si="14"/>
        <v>2.6516372836435088E-2</v>
      </c>
    </row>
    <row r="31" spans="1:13" x14ac:dyDescent="0.3">
      <c r="A31" s="3" t="s">
        <v>16</v>
      </c>
      <c r="B31" s="8">
        <v>9019851</v>
      </c>
      <c r="C31" s="8">
        <f>B31</f>
        <v>9019851</v>
      </c>
      <c r="D31" s="10">
        <f t="shared" si="14"/>
        <v>0.74403835094373483</v>
      </c>
    </row>
    <row r="32" spans="1:13" x14ac:dyDescent="0.3">
      <c r="B32" s="9">
        <f>SUM(B28:B31)</f>
        <v>15046333</v>
      </c>
      <c r="C32" s="9">
        <f>SUM(C28:C31)</f>
        <v>12122830.75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6"/>
  <sheetViews>
    <sheetView workbookViewId="0">
      <selection activeCell="M25" sqref="M25"/>
    </sheetView>
  </sheetViews>
  <sheetFormatPr defaultRowHeight="14.4" x14ac:dyDescent="0.3"/>
  <cols>
    <col min="1" max="1" width="4.5546875" customWidth="1"/>
    <col min="2" max="2" width="11.5546875" bestFit="1" customWidth="1"/>
    <col min="3" max="17" width="13.109375" customWidth="1"/>
    <col min="18" max="18" width="11.109375" customWidth="1"/>
  </cols>
  <sheetData>
    <row r="2" spans="2:18" ht="15.75" x14ac:dyDescent="0.25">
      <c r="B2" s="18" t="s">
        <v>106</v>
      </c>
      <c r="G2" t="s">
        <v>55</v>
      </c>
    </row>
    <row r="4" spans="2:18" x14ac:dyDescent="0.3">
      <c r="B4" s="3"/>
      <c r="C4" s="19" t="s">
        <v>30</v>
      </c>
      <c r="D4" s="19" t="s">
        <v>31</v>
      </c>
      <c r="E4" s="19" t="s">
        <v>32</v>
      </c>
      <c r="F4" s="19" t="s">
        <v>33</v>
      </c>
      <c r="G4" s="19" t="s">
        <v>34</v>
      </c>
      <c r="H4" s="19" t="s">
        <v>35</v>
      </c>
      <c r="I4" s="19" t="s">
        <v>36</v>
      </c>
      <c r="J4" s="19" t="s">
        <v>37</v>
      </c>
      <c r="K4" s="19" t="s">
        <v>38</v>
      </c>
      <c r="L4" s="19" t="s">
        <v>39</v>
      </c>
      <c r="M4" s="19" t="s">
        <v>40</v>
      </c>
      <c r="N4" s="19" t="s">
        <v>41</v>
      </c>
      <c r="O4" s="19" t="s">
        <v>42</v>
      </c>
      <c r="P4" s="19" t="s">
        <v>43</v>
      </c>
      <c r="Q4" s="19" t="s">
        <v>44</v>
      </c>
    </row>
    <row r="5" spans="2:18" ht="15" customHeight="1" x14ac:dyDescent="0.3">
      <c r="B5" s="3" t="s">
        <v>45</v>
      </c>
      <c r="C5" s="20">
        <v>786.94</v>
      </c>
      <c r="D5" s="20">
        <v>796.89400000000001</v>
      </c>
      <c r="E5" s="20">
        <v>803.173</v>
      </c>
      <c r="F5" s="20">
        <v>823.721</v>
      </c>
      <c r="G5" s="20">
        <v>837.59400000000005</v>
      </c>
      <c r="H5" s="20">
        <v>850.13900000000001</v>
      </c>
      <c r="I5" s="20">
        <v>868.75</v>
      </c>
      <c r="J5" s="20">
        <v>889.96299999999997</v>
      </c>
      <c r="K5" s="111">
        <v>912.89260000000013</v>
      </c>
      <c r="L5" s="111">
        <v>936.41297349975275</v>
      </c>
      <c r="M5" s="111">
        <v>957.57431293702393</v>
      </c>
      <c r="N5" s="111">
        <v>976.91792796109121</v>
      </c>
      <c r="O5" s="111">
        <v>996.21133991107592</v>
      </c>
      <c r="P5" s="111">
        <v>1014.9542858787812</v>
      </c>
      <c r="Q5" s="111">
        <v>1034.1139289721864</v>
      </c>
      <c r="R5" s="22">
        <f>Q5-L5</f>
        <v>97.700955472433634</v>
      </c>
    </row>
    <row r="6" spans="2:18" ht="15" customHeight="1" x14ac:dyDescent="0.3">
      <c r="B6" s="3" t="s">
        <v>46</v>
      </c>
      <c r="C6" s="20">
        <v>75.116</v>
      </c>
      <c r="D6" s="20">
        <v>76.114000000000004</v>
      </c>
      <c r="E6" s="20">
        <v>76.421000000000006</v>
      </c>
      <c r="F6" s="20">
        <v>79.745999999999995</v>
      </c>
      <c r="G6" s="20">
        <v>80.033000000000001</v>
      </c>
      <c r="H6" s="20">
        <v>78.587999999999994</v>
      </c>
      <c r="I6" s="20">
        <v>77.867000000000004</v>
      </c>
      <c r="J6" s="20">
        <v>79.00500000000001</v>
      </c>
      <c r="K6" s="111">
        <v>78.591672496163127</v>
      </c>
      <c r="L6" s="111">
        <v>78.273302008764674</v>
      </c>
      <c r="M6" s="111">
        <v>79.990563649684077</v>
      </c>
      <c r="N6" s="111">
        <v>80.949910564175951</v>
      </c>
      <c r="O6" s="111">
        <v>81.768296931339535</v>
      </c>
      <c r="P6" s="111">
        <v>83.210432533979215</v>
      </c>
      <c r="Q6" s="111">
        <v>85.198547977654471</v>
      </c>
      <c r="R6" s="22">
        <f t="shared" ref="R6:R7" si="0">Q6-L6</f>
        <v>6.9252459688897972</v>
      </c>
    </row>
    <row r="7" spans="2:18" ht="15" customHeight="1" x14ac:dyDescent="0.3">
      <c r="B7" s="3" t="s">
        <v>47</v>
      </c>
      <c r="C7" s="20">
        <v>4.2450000000000001</v>
      </c>
      <c r="D7" s="20">
        <v>4.3709999999999987</v>
      </c>
      <c r="E7" s="20">
        <v>4.4880000000000004</v>
      </c>
      <c r="F7" s="20">
        <v>4.5289999999999999</v>
      </c>
      <c r="G7" s="20">
        <v>4.5779999999999994</v>
      </c>
      <c r="H7" s="20">
        <v>4.83</v>
      </c>
      <c r="I7" s="20">
        <v>5.1840000000000002</v>
      </c>
      <c r="J7" s="20">
        <v>5.2829999999999995</v>
      </c>
      <c r="K7" s="112">
        <v>5.8086064908722106</v>
      </c>
      <c r="L7" s="111">
        <v>6.0213361240310075</v>
      </c>
      <c r="M7" s="111">
        <v>6.1531692212464772</v>
      </c>
      <c r="N7" s="111">
        <v>6.2268176811130003</v>
      </c>
      <c r="O7" s="111">
        <v>6.28964468832684</v>
      </c>
      <c r="P7" s="111">
        <v>6.4003565324456542</v>
      </c>
      <c r="Q7" s="111">
        <v>6.5529829059208655</v>
      </c>
      <c r="R7" s="22">
        <f t="shared" si="0"/>
        <v>0.53164678188985803</v>
      </c>
    </row>
    <row r="8" spans="2:18" x14ac:dyDescent="0.3">
      <c r="B8" s="5" t="s">
        <v>48</v>
      </c>
      <c r="C8" s="21">
        <v>866.30100000000004</v>
      </c>
      <c r="D8" s="21">
        <v>877.37900000000002</v>
      </c>
      <c r="E8" s="21">
        <v>884.08199999999999</v>
      </c>
      <c r="F8" s="21">
        <v>907.99599999999998</v>
      </c>
      <c r="G8" s="21">
        <v>922.20500000000004</v>
      </c>
      <c r="H8" s="21">
        <v>933.55700000000002</v>
      </c>
      <c r="I8" s="21">
        <v>951.80100000000004</v>
      </c>
      <c r="J8" s="21">
        <v>974.25099999999998</v>
      </c>
      <c r="K8" s="21">
        <f>SUM(K5:K7)</f>
        <v>997.29287898703546</v>
      </c>
      <c r="L8" s="21">
        <f t="shared" ref="L8:Q8" si="1">SUM(L5:L7)</f>
        <v>1020.7076116325484</v>
      </c>
      <c r="M8" s="21">
        <f t="shared" si="1"/>
        <v>1043.7180458079547</v>
      </c>
      <c r="N8" s="21">
        <f t="shared" si="1"/>
        <v>1064.0946562063803</v>
      </c>
      <c r="O8" s="21">
        <f t="shared" si="1"/>
        <v>1084.2692815307423</v>
      </c>
      <c r="P8" s="21">
        <f t="shared" si="1"/>
        <v>1104.5650749452061</v>
      </c>
      <c r="Q8" s="21">
        <f t="shared" si="1"/>
        <v>1125.8654598557616</v>
      </c>
    </row>
    <row r="9" spans="2:18" x14ac:dyDescent="0.3">
      <c r="C9" s="22"/>
      <c r="D9" s="22">
        <f t="shared" ref="D9" si="2">D8-C8</f>
        <v>11.077999999999975</v>
      </c>
      <c r="E9" s="22">
        <f t="shared" ref="E9" si="3">E8-D8</f>
        <v>6.7029999999999745</v>
      </c>
      <c r="F9" s="22">
        <f t="shared" ref="F9:G9" si="4">F8-E8</f>
        <v>23.913999999999987</v>
      </c>
      <c r="G9" s="22">
        <f t="shared" si="4"/>
        <v>14.20900000000006</v>
      </c>
      <c r="H9" s="22">
        <f t="shared" ref="H9" si="5">H8-G8</f>
        <v>11.351999999999975</v>
      </c>
      <c r="I9" s="22">
        <f>I8-H8</f>
        <v>18.244000000000028</v>
      </c>
      <c r="J9" s="22">
        <f t="shared" ref="J9:Q9" si="6">J8-I8</f>
        <v>22.449999999999932</v>
      </c>
      <c r="K9" s="22">
        <f t="shared" si="6"/>
        <v>23.041878987035489</v>
      </c>
      <c r="L9" s="22">
        <f>L8-K8</f>
        <v>23.414732645512913</v>
      </c>
      <c r="M9" s="22">
        <f t="shared" si="6"/>
        <v>23.010434175406317</v>
      </c>
      <c r="N9" s="22">
        <f t="shared" si="6"/>
        <v>20.376610398425555</v>
      </c>
      <c r="O9" s="22">
        <f t="shared" si="6"/>
        <v>20.174625324362069</v>
      </c>
      <c r="P9" s="22">
        <f t="shared" si="6"/>
        <v>20.295793414463787</v>
      </c>
      <c r="Q9" s="22">
        <f t="shared" si="6"/>
        <v>21.300384910555522</v>
      </c>
    </row>
    <row r="10" spans="2:18" x14ac:dyDescent="0.3">
      <c r="L10" s="24">
        <f>Q5-J5</f>
        <v>144.15092897218642</v>
      </c>
      <c r="M10" s="24">
        <f t="shared" ref="M10:P10" si="7">M5-L5</f>
        <v>21.161339437271181</v>
      </c>
      <c r="N10" s="24">
        <f t="shared" si="7"/>
        <v>19.343615024067276</v>
      </c>
      <c r="O10" s="24">
        <f t="shared" si="7"/>
        <v>19.293411949984716</v>
      </c>
      <c r="P10" s="24">
        <f t="shared" si="7"/>
        <v>18.742945967705282</v>
      </c>
      <c r="Q10" s="24">
        <f>Q5-P5</f>
        <v>19.15964309340518</v>
      </c>
    </row>
    <row r="11" spans="2:18" x14ac:dyDescent="0.3">
      <c r="L11" s="24">
        <f>L10/7</f>
        <v>20.592989853169488</v>
      </c>
    </row>
    <row r="12" spans="2:18" x14ac:dyDescent="0.3">
      <c r="B12" t="s">
        <v>60</v>
      </c>
    </row>
    <row r="13" spans="2:18" x14ac:dyDescent="0.3">
      <c r="C13" s="24">
        <f>C6+C7</f>
        <v>79.361000000000004</v>
      </c>
      <c r="D13" s="24">
        <f t="shared" ref="D13:Q13" si="8">D6+D7</f>
        <v>80.484999999999999</v>
      </c>
      <c r="E13" s="24">
        <f t="shared" si="8"/>
        <v>80.909000000000006</v>
      </c>
      <c r="F13" s="24">
        <f t="shared" si="8"/>
        <v>84.274999999999991</v>
      </c>
      <c r="G13" s="24">
        <f t="shared" si="8"/>
        <v>84.611000000000004</v>
      </c>
      <c r="H13" s="24">
        <f t="shared" si="8"/>
        <v>83.417999999999992</v>
      </c>
      <c r="I13" s="24">
        <f t="shared" si="8"/>
        <v>83.051000000000002</v>
      </c>
      <c r="J13" s="24">
        <f t="shared" si="8"/>
        <v>84.288000000000011</v>
      </c>
      <c r="K13" s="24">
        <f t="shared" si="8"/>
        <v>84.400278987035335</v>
      </c>
      <c r="L13" s="24">
        <f t="shared" si="8"/>
        <v>84.294638132795683</v>
      </c>
      <c r="M13" s="24">
        <f t="shared" si="8"/>
        <v>86.143732870930549</v>
      </c>
      <c r="N13" s="24">
        <f t="shared" si="8"/>
        <v>87.176728245288956</v>
      </c>
      <c r="O13" s="24">
        <f t="shared" si="8"/>
        <v>88.05794161966638</v>
      </c>
      <c r="P13" s="24">
        <f t="shared" si="8"/>
        <v>89.610789066424871</v>
      </c>
      <c r="Q13" s="24">
        <f t="shared" si="8"/>
        <v>91.751530883575342</v>
      </c>
    </row>
    <row r="14" spans="2:18" x14ac:dyDescent="0.3">
      <c r="B14" t="s">
        <v>61</v>
      </c>
      <c r="D14" s="24">
        <f>D13-C13</f>
        <v>1.1239999999999952</v>
      </c>
      <c r="E14" s="24">
        <f t="shared" ref="E14:Q14" si="9">E13-D13</f>
        <v>0.42400000000000659</v>
      </c>
      <c r="F14" s="24">
        <f t="shared" si="9"/>
        <v>3.3659999999999854</v>
      </c>
      <c r="G14" s="24">
        <f t="shared" si="9"/>
        <v>0.33600000000001273</v>
      </c>
      <c r="H14" s="24">
        <f t="shared" si="9"/>
        <v>-1.1930000000000121</v>
      </c>
      <c r="I14" s="24">
        <f t="shared" si="9"/>
        <v>-0.36699999999999022</v>
      </c>
      <c r="J14" s="24">
        <f t="shared" si="9"/>
        <v>1.237000000000009</v>
      </c>
      <c r="K14" s="24">
        <f t="shared" si="9"/>
        <v>0.11227898703532446</v>
      </c>
      <c r="L14" s="24">
        <f t="shared" si="9"/>
        <v>-0.10564085423965253</v>
      </c>
      <c r="M14" s="24">
        <f t="shared" si="9"/>
        <v>1.8490947381348661</v>
      </c>
      <c r="N14" s="24">
        <f t="shared" si="9"/>
        <v>1.032995374358407</v>
      </c>
      <c r="O14" s="24">
        <f t="shared" si="9"/>
        <v>0.88121337437742397</v>
      </c>
      <c r="P14" s="24">
        <f t="shared" si="9"/>
        <v>1.5528474467584914</v>
      </c>
      <c r="Q14" s="24">
        <f t="shared" si="9"/>
        <v>2.1407418171504702</v>
      </c>
    </row>
    <row r="16" spans="2:18" ht="15" thickBot="1" x14ac:dyDescent="0.35"/>
    <row r="17" spans="11:17" ht="16.8" thickTop="1" thickBot="1" x14ac:dyDescent="0.35">
      <c r="K17" s="114">
        <v>912.89260000000013</v>
      </c>
      <c r="L17" s="114">
        <v>936.41297349975275</v>
      </c>
      <c r="M17" s="114">
        <v>957.57431293702393</v>
      </c>
      <c r="N17" s="114">
        <v>976.91792796109121</v>
      </c>
      <c r="O17" s="114">
        <v>996.21133991107592</v>
      </c>
      <c r="P17" s="114">
        <v>1014.9542858787812</v>
      </c>
      <c r="Q17" s="114">
        <v>1034.1139289721864</v>
      </c>
    </row>
    <row r="18" spans="11:17" ht="16.2" thickBot="1" x14ac:dyDescent="0.35">
      <c r="K18" s="115">
        <v>78.591672496163127</v>
      </c>
      <c r="L18" s="115">
        <v>78.273302008764674</v>
      </c>
      <c r="M18" s="115">
        <v>79.990563649684077</v>
      </c>
      <c r="N18" s="115">
        <v>80.949910564175951</v>
      </c>
      <c r="O18" s="115">
        <v>81.768296931339535</v>
      </c>
      <c r="P18" s="115">
        <v>83.210432533979215</v>
      </c>
      <c r="Q18" s="115">
        <v>85.198547977654471</v>
      </c>
    </row>
    <row r="19" spans="11:17" ht="16.2" thickBot="1" x14ac:dyDescent="0.35">
      <c r="K19" s="116">
        <v>5.8086064908722106</v>
      </c>
      <c r="L19" s="117">
        <v>6.0213361240310075</v>
      </c>
      <c r="M19" s="117">
        <v>6.1531692212464772</v>
      </c>
      <c r="N19" s="117">
        <v>6.2268176811130003</v>
      </c>
      <c r="O19" s="117">
        <v>6.28964468832684</v>
      </c>
      <c r="P19" s="117">
        <v>6.4003565324456542</v>
      </c>
      <c r="Q19" s="117">
        <v>6.5529829059208655</v>
      </c>
    </row>
    <row r="36" spans="6:18" ht="15" thickBot="1" x14ac:dyDescent="0.35"/>
    <row r="37" spans="6:18" ht="15" thickBot="1" x14ac:dyDescent="0.35">
      <c r="F37" s="35" t="s">
        <v>62</v>
      </c>
      <c r="G37" s="36" t="s">
        <v>63</v>
      </c>
      <c r="H37" s="37" t="s">
        <v>64</v>
      </c>
      <c r="I37" s="37" t="s">
        <v>64</v>
      </c>
      <c r="J37" s="38" t="s">
        <v>65</v>
      </c>
      <c r="K37" s="38" t="s">
        <v>65</v>
      </c>
      <c r="L37" s="38" t="s">
        <v>65</v>
      </c>
      <c r="M37" s="38" t="s">
        <v>65</v>
      </c>
      <c r="N37" s="38" t="s">
        <v>65</v>
      </c>
      <c r="O37" s="38" t="s">
        <v>65</v>
      </c>
      <c r="P37" s="38" t="s">
        <v>65</v>
      </c>
      <c r="Q37" s="38" t="s">
        <v>65</v>
      </c>
      <c r="R37" s="38" t="s">
        <v>65</v>
      </c>
    </row>
    <row r="38" spans="6:18" ht="15" thickBot="1" x14ac:dyDescent="0.35">
      <c r="F38" s="39"/>
      <c r="G38" s="40"/>
      <c r="H38" s="40"/>
      <c r="I38" s="40"/>
      <c r="J38" s="41" t="s">
        <v>66</v>
      </c>
      <c r="K38" s="41" t="s">
        <v>66</v>
      </c>
      <c r="L38" s="41" t="s">
        <v>66</v>
      </c>
      <c r="M38" s="41" t="s">
        <v>66</v>
      </c>
      <c r="N38" s="41" t="s">
        <v>66</v>
      </c>
      <c r="O38" s="41" t="s">
        <v>66</v>
      </c>
      <c r="P38" s="41" t="s">
        <v>66</v>
      </c>
      <c r="Q38" s="41" t="s">
        <v>66</v>
      </c>
      <c r="R38" s="41" t="s">
        <v>66</v>
      </c>
    </row>
    <row r="39" spans="6:18" ht="16.2" thickBot="1" x14ac:dyDescent="0.35">
      <c r="F39" s="42"/>
      <c r="G39" s="43" t="s">
        <v>17</v>
      </c>
      <c r="H39" s="44" t="s">
        <v>12</v>
      </c>
      <c r="I39" s="44" t="s">
        <v>11</v>
      </c>
      <c r="J39" s="44" t="s">
        <v>0</v>
      </c>
      <c r="K39" s="44" t="s">
        <v>1</v>
      </c>
      <c r="L39" s="44" t="s">
        <v>2</v>
      </c>
      <c r="M39" s="44" t="s">
        <v>3</v>
      </c>
      <c r="N39" s="44" t="s">
        <v>4</v>
      </c>
      <c r="O39" s="44" t="s">
        <v>5</v>
      </c>
      <c r="P39" s="44" t="s">
        <v>6</v>
      </c>
      <c r="Q39" s="44" t="s">
        <v>7</v>
      </c>
      <c r="R39" s="44" t="s">
        <v>8</v>
      </c>
    </row>
    <row r="40" spans="6:18" x14ac:dyDescent="0.3">
      <c r="F40" s="45"/>
      <c r="G40" s="46"/>
      <c r="H40" s="47"/>
      <c r="I40" s="48"/>
      <c r="J40" s="48"/>
      <c r="K40" s="48"/>
      <c r="L40" s="48"/>
      <c r="M40" s="48"/>
      <c r="N40" s="49"/>
      <c r="O40" s="49"/>
      <c r="P40" s="49"/>
      <c r="Q40" s="49"/>
      <c r="R40" s="49"/>
    </row>
    <row r="41" spans="6:18" x14ac:dyDescent="0.3">
      <c r="F41" s="50" t="s">
        <v>67</v>
      </c>
      <c r="G41" s="51"/>
      <c r="H41" s="52"/>
      <c r="I41" s="53"/>
      <c r="J41" s="53"/>
      <c r="K41" s="53"/>
      <c r="L41" s="53"/>
      <c r="M41" s="53"/>
      <c r="N41" s="54"/>
      <c r="O41" s="54"/>
      <c r="P41" s="54"/>
      <c r="Q41" s="54"/>
      <c r="R41" s="54"/>
    </row>
    <row r="42" spans="6:18" x14ac:dyDescent="0.3">
      <c r="F42" s="50" t="s">
        <v>68</v>
      </c>
      <c r="G42" s="51">
        <v>850139</v>
      </c>
      <c r="H42" s="52">
        <v>865644.6326113001</v>
      </c>
      <c r="I42" s="53">
        <v>882077.6865232687</v>
      </c>
      <c r="J42" s="53">
        <v>898259.66305185098</v>
      </c>
      <c r="K42" s="53">
        <v>914804.34587418404</v>
      </c>
      <c r="L42" s="53">
        <v>930796.88412446645</v>
      </c>
      <c r="M42" s="53">
        <v>946434.52959115233</v>
      </c>
      <c r="N42" s="53">
        <v>961177.73825092474</v>
      </c>
      <c r="O42" s="53">
        <v>974413.94226605911</v>
      </c>
      <c r="P42" s="53">
        <v>988878.50995172339</v>
      </c>
      <c r="Q42" s="54">
        <v>1005330.3804155651</v>
      </c>
      <c r="R42" s="54">
        <v>1021810.1932746604</v>
      </c>
    </row>
    <row r="43" spans="6:18" x14ac:dyDescent="0.3">
      <c r="F43" s="50" t="s">
        <v>69</v>
      </c>
      <c r="G43" s="51">
        <v>340665</v>
      </c>
      <c r="H43" s="52">
        <v>337283.88</v>
      </c>
      <c r="I43" s="53">
        <v>334862.32120000001</v>
      </c>
      <c r="J43" s="53">
        <v>331178.83566680003</v>
      </c>
      <c r="K43" s="53">
        <v>327204.68963879842</v>
      </c>
      <c r="L43" s="53">
        <v>322951.028673494</v>
      </c>
      <c r="M43" s="53">
        <v>318429.71427206509</v>
      </c>
      <c r="N43" s="53">
        <v>313653.26855798415</v>
      </c>
      <c r="O43" s="53">
        <v>308634.81626105634</v>
      </c>
      <c r="P43" s="53">
        <v>303388.02438461845</v>
      </c>
      <c r="Q43" s="54">
        <v>297927.03994569532</v>
      </c>
      <c r="R43" s="54">
        <v>291968.4991467814</v>
      </c>
    </row>
    <row r="44" spans="6:18" x14ac:dyDescent="0.3">
      <c r="F44" s="50"/>
      <c r="G44" s="51"/>
      <c r="H44" s="52"/>
      <c r="I44" s="53"/>
      <c r="J44" s="53"/>
      <c r="K44" s="53"/>
      <c r="L44" s="53"/>
      <c r="M44" s="53"/>
      <c r="N44" s="53"/>
      <c r="O44" s="53"/>
      <c r="P44" s="53"/>
      <c r="Q44" s="54"/>
      <c r="R44" s="54"/>
    </row>
    <row r="45" spans="6:18" x14ac:dyDescent="0.3">
      <c r="F45" s="50" t="s">
        <v>70</v>
      </c>
      <c r="G45" s="51">
        <v>78588</v>
      </c>
      <c r="H45" s="52">
        <v>78424.241565003584</v>
      </c>
      <c r="I45" s="53">
        <v>78614.607350849823</v>
      </c>
      <c r="J45" s="53">
        <v>80352.519089384266</v>
      </c>
      <c r="K45" s="53">
        <v>81995.360004762188</v>
      </c>
      <c r="L45" s="53">
        <v>83578.342826454129</v>
      </c>
      <c r="M45" s="53">
        <v>85749.22101376846</v>
      </c>
      <c r="N45" s="53">
        <v>87506.711044550713</v>
      </c>
      <c r="O45" s="53">
        <v>89125.252198874907</v>
      </c>
      <c r="P45" s="53">
        <v>90729.182738454663</v>
      </c>
      <c r="Q45" s="54">
        <v>92401.245794842747</v>
      </c>
      <c r="R45" s="54">
        <v>94091.859192888369</v>
      </c>
    </row>
    <row r="46" spans="6:18" x14ac:dyDescent="0.3">
      <c r="F46" s="50" t="s">
        <v>71</v>
      </c>
      <c r="G46" s="51">
        <v>75880</v>
      </c>
      <c r="H46" s="52">
        <v>75790.652410179347</v>
      </c>
      <c r="I46" s="53">
        <v>75840.650752229922</v>
      </c>
      <c r="J46" s="53">
        <v>77517.623355029762</v>
      </c>
      <c r="K46" s="53">
        <v>79102.858752640139</v>
      </c>
      <c r="L46" s="53">
        <v>80630.334955153594</v>
      </c>
      <c r="M46" s="53">
        <v>82725.092222408086</v>
      </c>
      <c r="N46" s="53">
        <v>84420.956612967449</v>
      </c>
      <c r="O46" s="53">
        <v>85982.74431030736</v>
      </c>
      <c r="P46" s="53">
        <v>87530.433707892895</v>
      </c>
      <c r="Q46" s="54">
        <v>89143.86658457118</v>
      </c>
      <c r="R46" s="54">
        <v>90775.199343068831</v>
      </c>
    </row>
    <row r="47" spans="6:18" x14ac:dyDescent="0.3">
      <c r="F47" s="55" t="s">
        <v>72</v>
      </c>
      <c r="G47" s="51">
        <v>2691</v>
      </c>
      <c r="H47" s="52">
        <v>2615.5891548242334</v>
      </c>
      <c r="I47" s="53">
        <v>2755.9565986198959</v>
      </c>
      <c r="J47" s="53">
        <v>2816.8957343545035</v>
      </c>
      <c r="K47" s="53">
        <v>2874.5012521220533</v>
      </c>
      <c r="L47" s="53">
        <v>2930.0078713005296</v>
      </c>
      <c r="M47" s="53">
        <v>3006.1287913603733</v>
      </c>
      <c r="N47" s="53">
        <v>3067.7544315832615</v>
      </c>
      <c r="O47" s="53">
        <v>3124.5078885675516</v>
      </c>
      <c r="P47" s="53">
        <v>3180.7490305617675</v>
      </c>
      <c r="Q47" s="54">
        <v>3239.3792102715729</v>
      </c>
      <c r="R47" s="54">
        <v>3298.6598498195422</v>
      </c>
    </row>
    <row r="48" spans="6:18" x14ac:dyDescent="0.3">
      <c r="F48" s="55" t="s">
        <v>73</v>
      </c>
      <c r="G48" s="51">
        <v>17</v>
      </c>
      <c r="H48" s="52">
        <v>18</v>
      </c>
      <c r="I48" s="53">
        <v>18</v>
      </c>
      <c r="J48" s="53">
        <v>18</v>
      </c>
      <c r="K48" s="53">
        <v>18</v>
      </c>
      <c r="L48" s="53">
        <v>18</v>
      </c>
      <c r="M48" s="53">
        <v>18</v>
      </c>
      <c r="N48" s="53">
        <v>18</v>
      </c>
      <c r="O48" s="53">
        <v>18</v>
      </c>
      <c r="P48" s="53">
        <v>18</v>
      </c>
      <c r="Q48" s="54">
        <v>18</v>
      </c>
      <c r="R48" s="54">
        <v>18</v>
      </c>
    </row>
    <row r="49" spans="6:18" x14ac:dyDescent="0.3">
      <c r="F49" s="55" t="s">
        <v>74</v>
      </c>
      <c r="G49" s="56">
        <v>4830</v>
      </c>
      <c r="H49" s="57">
        <v>5176.1193100358414</v>
      </c>
      <c r="I49" s="58">
        <v>5270.9240318195998</v>
      </c>
      <c r="J49" s="58">
        <v>5387.3630423264713</v>
      </c>
      <c r="K49" s="58">
        <v>5497.4323665420479</v>
      </c>
      <c r="L49" s="58">
        <v>5603.4912355399747</v>
      </c>
      <c r="M49" s="58">
        <v>5748.9387300571525</v>
      </c>
      <c r="N49" s="58">
        <v>5866.6894740233238</v>
      </c>
      <c r="O49" s="58">
        <v>5975.1307292927549</v>
      </c>
      <c r="P49" s="58">
        <v>6082.593082420025</v>
      </c>
      <c r="Q49" s="59">
        <v>6194.620271991289</v>
      </c>
      <c r="R49" s="59">
        <v>6307.8903229687276</v>
      </c>
    </row>
    <row r="50" spans="6:18" x14ac:dyDescent="0.3">
      <c r="F50" s="55" t="s">
        <v>75</v>
      </c>
      <c r="G50" s="51">
        <v>4477</v>
      </c>
      <c r="H50" s="52">
        <v>4826.3693100358414</v>
      </c>
      <c r="I50" s="53">
        <v>4921.1740318195998</v>
      </c>
      <c r="J50" s="53">
        <v>5029.9900024516683</v>
      </c>
      <c r="K50" s="53">
        <v>5132.8532980018053</v>
      </c>
      <c r="L50" s="53">
        <v>5231.9686951862195</v>
      </c>
      <c r="M50" s="53">
        <v>5367.8940197230095</v>
      </c>
      <c r="N50" s="53">
        <v>5477.9358471273308</v>
      </c>
      <c r="O50" s="53">
        <v>5579.2776602991862</v>
      </c>
      <c r="P50" s="53">
        <v>5679.7046581845716</v>
      </c>
      <c r="Q50" s="54">
        <v>5784.3976413807868</v>
      </c>
      <c r="R50" s="54">
        <v>5890.2521182180544</v>
      </c>
    </row>
    <row r="51" spans="6:18" x14ac:dyDescent="0.3">
      <c r="F51" s="55" t="s">
        <v>76</v>
      </c>
      <c r="G51" s="51">
        <v>277</v>
      </c>
      <c r="H51" s="52">
        <v>272.75</v>
      </c>
      <c r="I51" s="53">
        <v>272.75</v>
      </c>
      <c r="J51" s="53">
        <v>278.78099093793332</v>
      </c>
      <c r="K51" s="53">
        <v>284.48206220261409</v>
      </c>
      <c r="L51" s="53">
        <v>289.97541082374653</v>
      </c>
      <c r="M51" s="53">
        <v>297.50890426000723</v>
      </c>
      <c r="N51" s="53">
        <v>303.60783679733737</v>
      </c>
      <c r="O51" s="53">
        <v>309.22458177808807</v>
      </c>
      <c r="P51" s="53">
        <v>314.79062425009369</v>
      </c>
      <c r="Q51" s="54">
        <v>320.59310369547302</v>
      </c>
      <c r="R51" s="54">
        <v>326.45995749310015</v>
      </c>
    </row>
    <row r="52" spans="6:18" x14ac:dyDescent="0.3">
      <c r="F52" s="55" t="s">
        <v>77</v>
      </c>
      <c r="G52" s="51">
        <v>71</v>
      </c>
      <c r="H52" s="52">
        <v>72</v>
      </c>
      <c r="I52" s="53">
        <v>72</v>
      </c>
      <c r="J52" s="53">
        <v>73.592048936869645</v>
      </c>
      <c r="K52" s="53">
        <v>75.097006337628642</v>
      </c>
      <c r="L52" s="53">
        <v>76.547129530008235</v>
      </c>
      <c r="M52" s="53">
        <v>78.535806074135721</v>
      </c>
      <c r="N52" s="53">
        <v>80.145790098655496</v>
      </c>
      <c r="O52" s="53">
        <v>81.628487215480632</v>
      </c>
      <c r="P52" s="53">
        <v>83.097799985359302</v>
      </c>
      <c r="Q52" s="54">
        <v>84.629526915028592</v>
      </c>
      <c r="R52" s="54">
        <v>86.178247257573616</v>
      </c>
    </row>
    <row r="53" spans="6:18" x14ac:dyDescent="0.3">
      <c r="F53" s="55" t="s">
        <v>78</v>
      </c>
      <c r="G53" s="51">
        <v>5</v>
      </c>
      <c r="H53" s="52">
        <v>5</v>
      </c>
      <c r="I53" s="53">
        <v>5</v>
      </c>
      <c r="J53" s="53">
        <v>5</v>
      </c>
      <c r="K53" s="53">
        <v>5</v>
      </c>
      <c r="L53" s="53">
        <v>5</v>
      </c>
      <c r="M53" s="53">
        <v>5</v>
      </c>
      <c r="N53" s="53">
        <v>5</v>
      </c>
      <c r="O53" s="53">
        <v>5</v>
      </c>
      <c r="P53" s="53">
        <v>5</v>
      </c>
      <c r="Q53" s="54">
        <v>5</v>
      </c>
      <c r="R53" s="54">
        <v>5</v>
      </c>
    </row>
    <row r="54" spans="6:18" ht="15" thickBot="1" x14ac:dyDescent="0.35">
      <c r="F54" s="60" t="s">
        <v>48</v>
      </c>
      <c r="G54" s="61">
        <v>933557</v>
      </c>
      <c r="H54" s="62">
        <v>949244.99348633946</v>
      </c>
      <c r="I54" s="63">
        <v>965963.21790593804</v>
      </c>
      <c r="J54" s="63">
        <v>983999.54518356174</v>
      </c>
      <c r="K54" s="63">
        <v>1002297.1382454883</v>
      </c>
      <c r="L54" s="63">
        <v>1019978.7181864606</v>
      </c>
      <c r="M54" s="63">
        <v>1037932.6893349779</v>
      </c>
      <c r="N54" s="63">
        <v>1054551.1387694988</v>
      </c>
      <c r="O54" s="63">
        <v>1069514.3251942268</v>
      </c>
      <c r="P54" s="63">
        <v>1085690.2857725981</v>
      </c>
      <c r="Q54" s="64">
        <v>1103926.2464823991</v>
      </c>
      <c r="R54" s="65">
        <v>1122209.9427905176</v>
      </c>
    </row>
    <row r="55" spans="6:18" x14ac:dyDescent="0.3">
      <c r="F55" s="66"/>
      <c r="G55" s="67"/>
      <c r="H55" s="67">
        <f>+H54-G54</f>
        <v>15687.993486339459</v>
      </c>
      <c r="I55" s="67">
        <f>+I54-H54</f>
        <v>16718.224419598584</v>
      </c>
      <c r="J55" s="67">
        <f t="shared" ref="J55:R55" si="10">+J54-I54</f>
        <v>18036.327277623699</v>
      </c>
      <c r="K55" s="67">
        <f t="shared" si="10"/>
        <v>18297.593061926542</v>
      </c>
      <c r="L55" s="67">
        <f t="shared" si="10"/>
        <v>17681.579940972268</v>
      </c>
      <c r="M55" s="67">
        <f t="shared" si="10"/>
        <v>17953.971148517332</v>
      </c>
      <c r="N55" s="67">
        <f t="shared" si="10"/>
        <v>16618.44943452091</v>
      </c>
      <c r="O55" s="67">
        <f t="shared" si="10"/>
        <v>14963.186424728017</v>
      </c>
      <c r="P55" s="67">
        <f t="shared" si="10"/>
        <v>16175.960578371305</v>
      </c>
      <c r="Q55" s="67">
        <f t="shared" si="10"/>
        <v>18235.960709800944</v>
      </c>
      <c r="R55" s="67">
        <f t="shared" si="10"/>
        <v>18283.696308118524</v>
      </c>
    </row>
    <row r="56" spans="6:18" x14ac:dyDescent="0.3">
      <c r="F56" s="39"/>
      <c r="G56" s="68"/>
      <c r="H56" s="69"/>
      <c r="I56" s="70">
        <f>I54/H54-1</f>
        <v>1.7612128095821467E-2</v>
      </c>
      <c r="J56" s="70">
        <f t="shared" ref="J56:R56" si="11">J54/I54-1</f>
        <v>1.867185721286968E-2</v>
      </c>
      <c r="K56" s="70">
        <f t="shared" si="11"/>
        <v>1.8595123495217969E-2</v>
      </c>
      <c r="L56" s="70">
        <f t="shared" si="11"/>
        <v>1.7641055996551858E-2</v>
      </c>
      <c r="M56" s="70">
        <f t="shared" si="11"/>
        <v>1.760229976213612E-2</v>
      </c>
      <c r="N56" s="70">
        <f t="shared" si="11"/>
        <v>1.601110515670201E-2</v>
      </c>
      <c r="O56" s="70">
        <f t="shared" si="11"/>
        <v>1.4189152023663665E-2</v>
      </c>
      <c r="P56" s="70">
        <f t="shared" si="11"/>
        <v>1.5124585241468091E-2</v>
      </c>
      <c r="Q56" s="70">
        <f t="shared" si="11"/>
        <v>1.6796650894618459E-2</v>
      </c>
      <c r="R56" s="70">
        <f t="shared" si="11"/>
        <v>1.6562425584479623E-2</v>
      </c>
    </row>
    <row r="58" spans="6:18" x14ac:dyDescent="0.3">
      <c r="F58" t="s">
        <v>79</v>
      </c>
    </row>
    <row r="59" spans="6:18" x14ac:dyDescent="0.3">
      <c r="G59" s="1">
        <f>G45+G49</f>
        <v>83418</v>
      </c>
      <c r="H59" s="1">
        <f t="shared" ref="H59:R59" si="12">H45+H49</f>
        <v>83600.36087503942</v>
      </c>
      <c r="I59" s="1">
        <f t="shared" si="12"/>
        <v>83885.531382669418</v>
      </c>
      <c r="J59" s="1">
        <f t="shared" si="12"/>
        <v>85739.882131710736</v>
      </c>
      <c r="K59" s="1">
        <f t="shared" si="12"/>
        <v>87492.79237130424</v>
      </c>
      <c r="L59" s="1">
        <f t="shared" si="12"/>
        <v>89181.834061994101</v>
      </c>
      <c r="M59" s="1">
        <f t="shared" si="12"/>
        <v>91498.159743825614</v>
      </c>
      <c r="N59" s="1">
        <f t="shared" si="12"/>
        <v>93373.400518574039</v>
      </c>
      <c r="O59" s="1">
        <f t="shared" si="12"/>
        <v>95100.382928167659</v>
      </c>
      <c r="P59" s="1">
        <f t="shared" si="12"/>
        <v>96811.775820874682</v>
      </c>
      <c r="Q59" s="1">
        <f t="shared" si="12"/>
        <v>98595.866066834031</v>
      </c>
      <c r="R59" s="1">
        <f t="shared" si="12"/>
        <v>100399.7495158571</v>
      </c>
    </row>
    <row r="60" spans="6:18" x14ac:dyDescent="0.3">
      <c r="F60" t="s">
        <v>61</v>
      </c>
      <c r="H60" s="1">
        <f>H59-G59</f>
        <v>182.36087503941962</v>
      </c>
      <c r="I60" s="1">
        <f t="shared" ref="I60:R60" si="13">I59-H59</f>
        <v>285.17050762999861</v>
      </c>
      <c r="J60" s="105">
        <f t="shared" si="13"/>
        <v>1854.3507490413176</v>
      </c>
      <c r="K60" s="105">
        <f t="shared" si="13"/>
        <v>1752.9102395935042</v>
      </c>
      <c r="L60" s="105">
        <f t="shared" si="13"/>
        <v>1689.0416906898608</v>
      </c>
      <c r="M60" s="105">
        <f t="shared" si="13"/>
        <v>2316.3256818315131</v>
      </c>
      <c r="N60" s="105">
        <f t="shared" si="13"/>
        <v>1875.2407747484249</v>
      </c>
      <c r="O60" s="105">
        <f t="shared" si="13"/>
        <v>1726.9824095936201</v>
      </c>
      <c r="P60" s="105">
        <f t="shared" si="13"/>
        <v>1711.3928927070228</v>
      </c>
      <c r="Q60" s="1">
        <f t="shared" si="13"/>
        <v>1784.090245959349</v>
      </c>
      <c r="R60" s="1">
        <f t="shared" si="13"/>
        <v>1803.8834490230656</v>
      </c>
    </row>
    <row r="67" spans="6:17" x14ac:dyDescent="0.3">
      <c r="F67" t="s">
        <v>96</v>
      </c>
    </row>
    <row r="68" spans="6:17" ht="15" thickBot="1" x14ac:dyDescent="0.35"/>
    <row r="69" spans="6:17" ht="15" thickBot="1" x14ac:dyDescent="0.35">
      <c r="F69" s="71"/>
      <c r="G69" s="71"/>
      <c r="H69" s="72"/>
      <c r="I69" s="127" t="s">
        <v>80</v>
      </c>
      <c r="J69" s="127"/>
      <c r="K69" s="127"/>
      <c r="L69" s="127"/>
      <c r="M69" s="127"/>
      <c r="N69" s="127"/>
      <c r="O69" s="127"/>
      <c r="P69" s="127"/>
      <c r="Q69" s="127"/>
    </row>
    <row r="70" spans="6:17" ht="15" thickBot="1" x14ac:dyDescent="0.35">
      <c r="F70" s="73"/>
      <c r="G70" s="74"/>
      <c r="H70" s="75"/>
      <c r="I70" s="76" t="s">
        <v>121</v>
      </c>
      <c r="J70" s="77" t="s">
        <v>120</v>
      </c>
      <c r="K70" s="77" t="s">
        <v>119</v>
      </c>
      <c r="L70" s="77" t="s">
        <v>118</v>
      </c>
      <c r="M70" s="77" t="s">
        <v>126</v>
      </c>
      <c r="N70" s="77" t="s">
        <v>125</v>
      </c>
      <c r="O70" s="77" t="s">
        <v>124</v>
      </c>
      <c r="P70" s="78" t="s">
        <v>123</v>
      </c>
      <c r="Q70" s="78" t="s">
        <v>122</v>
      </c>
    </row>
    <row r="71" spans="6:17" x14ac:dyDescent="0.3">
      <c r="F71" s="79" t="s">
        <v>81</v>
      </c>
      <c r="G71" s="80" t="s">
        <v>82</v>
      </c>
      <c r="H71" s="81"/>
      <c r="I71" s="82">
        <v>1884</v>
      </c>
      <c r="J71" s="83">
        <v>1861</v>
      </c>
      <c r="K71" s="83">
        <v>3056</v>
      </c>
      <c r="L71" s="83">
        <v>1928</v>
      </c>
      <c r="M71" s="83">
        <v>2434</v>
      </c>
      <c r="N71" s="83">
        <v>4188</v>
      </c>
      <c r="O71" s="83">
        <v>3080</v>
      </c>
      <c r="P71" s="84">
        <v>5937</v>
      </c>
      <c r="Q71" s="84">
        <v>9122</v>
      </c>
    </row>
    <row r="72" spans="6:17" x14ac:dyDescent="0.3">
      <c r="F72" s="79"/>
      <c r="G72" s="85" t="s">
        <v>83</v>
      </c>
      <c r="H72" s="86"/>
      <c r="I72" s="87"/>
      <c r="J72" s="88"/>
      <c r="K72" s="88"/>
      <c r="L72" s="88"/>
      <c r="M72" s="88"/>
      <c r="N72" s="88"/>
      <c r="O72" s="88"/>
      <c r="P72" s="89"/>
      <c r="Q72" s="89"/>
    </row>
    <row r="73" spans="6:17" ht="15" thickBot="1" x14ac:dyDescent="0.35">
      <c r="F73" s="90"/>
      <c r="G73" s="91" t="s">
        <v>84</v>
      </c>
      <c r="H73" s="92"/>
      <c r="I73" s="87"/>
      <c r="J73" s="88"/>
      <c r="K73" s="88"/>
      <c r="L73" s="88"/>
      <c r="M73" s="88"/>
      <c r="N73" s="88"/>
      <c r="O73" s="88"/>
      <c r="P73" s="89"/>
      <c r="Q73" s="89"/>
    </row>
    <row r="74" spans="6:17" x14ac:dyDescent="0.3">
      <c r="F74" s="93" t="s">
        <v>85</v>
      </c>
      <c r="G74" s="80" t="s">
        <v>82</v>
      </c>
      <c r="H74" s="81"/>
      <c r="I74" s="94"/>
      <c r="J74" s="95"/>
      <c r="K74" s="95"/>
      <c r="L74" s="95"/>
      <c r="M74" s="95"/>
      <c r="N74" s="95"/>
      <c r="O74" s="95"/>
      <c r="P74" s="96"/>
      <c r="Q74" s="96"/>
    </row>
    <row r="75" spans="6:17" x14ac:dyDescent="0.3">
      <c r="F75" s="79"/>
      <c r="G75" s="85" t="s">
        <v>86</v>
      </c>
      <c r="H75" s="86"/>
      <c r="I75" s="94">
        <v>267</v>
      </c>
      <c r="J75" s="95">
        <v>951</v>
      </c>
      <c r="K75" s="95">
        <v>685</v>
      </c>
      <c r="L75" s="95">
        <v>420</v>
      </c>
      <c r="M75" s="95">
        <v>2144</v>
      </c>
      <c r="N75" s="95">
        <v>950</v>
      </c>
      <c r="O75" s="95">
        <v>418</v>
      </c>
      <c r="P75" s="96">
        <v>354</v>
      </c>
      <c r="Q75" s="96">
        <v>1237</v>
      </c>
    </row>
    <row r="76" spans="6:17" x14ac:dyDescent="0.3">
      <c r="F76" s="79"/>
      <c r="G76" s="85" t="s">
        <v>87</v>
      </c>
      <c r="H76" s="86"/>
      <c r="I76" s="94"/>
      <c r="J76" s="95"/>
      <c r="K76" s="95"/>
      <c r="L76" s="95"/>
      <c r="M76" s="95"/>
      <c r="N76" s="95"/>
      <c r="O76" s="95"/>
      <c r="P76" s="96"/>
      <c r="Q76" s="96"/>
    </row>
    <row r="77" spans="6:17" x14ac:dyDescent="0.3">
      <c r="F77" s="79"/>
      <c r="G77" s="85" t="s">
        <v>88</v>
      </c>
      <c r="H77" s="86"/>
      <c r="I77" s="94"/>
      <c r="J77" s="95"/>
      <c r="K77" s="95"/>
      <c r="L77" s="95"/>
      <c r="M77" s="95"/>
      <c r="N77" s="95"/>
      <c r="O77" s="95"/>
      <c r="P77" s="96"/>
      <c r="Q77" s="96"/>
    </row>
    <row r="78" spans="6:17" ht="15" thickBot="1" x14ac:dyDescent="0.35">
      <c r="F78" s="90"/>
      <c r="G78" s="97" t="s">
        <v>89</v>
      </c>
      <c r="H78" s="98"/>
      <c r="I78" s="94"/>
      <c r="J78" s="95"/>
      <c r="K78" s="95"/>
      <c r="L78" s="95"/>
      <c r="M78" s="95"/>
      <c r="N78" s="95"/>
      <c r="O78" s="95"/>
      <c r="P78" s="96"/>
      <c r="Q78" s="96"/>
    </row>
    <row r="79" spans="6:17" x14ac:dyDescent="0.3">
      <c r="F79" s="93" t="s">
        <v>90</v>
      </c>
      <c r="G79" s="99" t="s">
        <v>83</v>
      </c>
      <c r="H79" s="100"/>
      <c r="I79" s="87"/>
      <c r="J79" s="88"/>
      <c r="K79" s="88"/>
      <c r="L79" s="88"/>
      <c r="M79" s="88"/>
      <c r="N79" s="88"/>
      <c r="O79" s="88"/>
      <c r="P79" s="89"/>
      <c r="Q79" s="89"/>
    </row>
    <row r="80" spans="6:17" x14ac:dyDescent="0.3">
      <c r="F80" s="79"/>
      <c r="G80" s="85" t="s">
        <v>91</v>
      </c>
      <c r="H80" s="86"/>
      <c r="I80" s="87"/>
      <c r="J80" s="88"/>
      <c r="K80" s="88"/>
      <c r="L80" s="88"/>
      <c r="M80" s="88"/>
      <c r="N80" s="88"/>
      <c r="O80" s="88"/>
      <c r="P80" s="89"/>
      <c r="Q80" s="89"/>
    </row>
    <row r="81" spans="6:17" ht="15" thickBot="1" x14ac:dyDescent="0.35">
      <c r="F81" s="90"/>
      <c r="G81" s="97" t="s">
        <v>92</v>
      </c>
      <c r="H81" s="98"/>
      <c r="I81" s="87">
        <v>4252</v>
      </c>
      <c r="J81" s="88">
        <v>4200</v>
      </c>
      <c r="K81" s="88">
        <v>6898</v>
      </c>
      <c r="L81" s="88">
        <v>4351</v>
      </c>
      <c r="M81" s="88">
        <v>5493</v>
      </c>
      <c r="N81" s="88">
        <v>9451</v>
      </c>
      <c r="O81" s="88">
        <v>9464</v>
      </c>
      <c r="P81" s="89">
        <v>12673</v>
      </c>
      <c r="Q81" s="89">
        <v>12091</v>
      </c>
    </row>
    <row r="82" spans="6:17" x14ac:dyDescent="0.3">
      <c r="F82" s="93" t="s">
        <v>93</v>
      </c>
      <c r="G82" s="99" t="s">
        <v>82</v>
      </c>
      <c r="H82" s="100"/>
      <c r="I82" s="94">
        <v>294</v>
      </c>
      <c r="J82" s="95">
        <v>5404</v>
      </c>
      <c r="K82" s="95">
        <v>31214</v>
      </c>
      <c r="L82" s="95">
        <v>14861</v>
      </c>
      <c r="M82" s="95">
        <v>8750</v>
      </c>
      <c r="N82" s="95">
        <v>1487</v>
      </c>
      <c r="O82" s="95">
        <v>5075</v>
      </c>
      <c r="P82" s="96">
        <v>3124</v>
      </c>
      <c r="Q82" s="96">
        <v>1885</v>
      </c>
    </row>
    <row r="83" spans="6:17" x14ac:dyDescent="0.3">
      <c r="F83" s="79"/>
      <c r="G83" s="85" t="s">
        <v>94</v>
      </c>
      <c r="H83" s="86"/>
      <c r="I83" s="94"/>
      <c r="J83" s="95"/>
      <c r="K83" s="95"/>
      <c r="L83" s="95"/>
      <c r="M83" s="95"/>
      <c r="N83" s="95"/>
      <c r="O83" s="95"/>
      <c r="P83" s="96"/>
      <c r="Q83" s="96"/>
    </row>
    <row r="84" spans="6:17" ht="15" thickBot="1" x14ac:dyDescent="0.35">
      <c r="F84" s="90"/>
      <c r="G84" s="97" t="s">
        <v>95</v>
      </c>
      <c r="H84" s="98"/>
      <c r="I84" s="101"/>
      <c r="J84" s="102"/>
      <c r="K84" s="102"/>
      <c r="L84" s="102"/>
      <c r="M84" s="102"/>
      <c r="N84" s="102"/>
      <c r="O84" s="102"/>
      <c r="P84" s="103"/>
      <c r="Q84" s="103"/>
    </row>
    <row r="85" spans="6:17" x14ac:dyDescent="0.3">
      <c r="H85" s="104"/>
    </row>
    <row r="86" spans="6:17" x14ac:dyDescent="0.3">
      <c r="H86" s="104"/>
    </row>
  </sheetData>
  <mergeCells count="1">
    <mergeCell ref="I69:Q69"/>
  </mergeCells>
  <dataValidations disablePrompts="1" count="1">
    <dataValidation allowBlank="1" showInputMessage="1" showErrorMessage="1" sqref="I69:Q86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Reverse Reimbursement Policy</vt:lpstr>
      <vt:lpstr>Connections Capex</vt:lpstr>
      <vt:lpstr>Captial Contributions</vt:lpstr>
      <vt:lpstr>Customer Forecast</vt:lpstr>
    </vt:vector>
  </TitlesOfParts>
  <Company>Endeavour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Lu</dc:creator>
  <cp:lastModifiedBy>Terry Niemeier</cp:lastModifiedBy>
  <dcterms:created xsi:type="dcterms:W3CDTF">2017-08-06T23:16:32Z</dcterms:created>
  <dcterms:modified xsi:type="dcterms:W3CDTF">2018-04-20T04:30:33Z</dcterms:modified>
</cp:coreProperties>
</file>